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06"/>
  <workbookPr saveExternalLinkValues="0" codeName="EstaPastaDeTrabalho"/>
  <mc:AlternateContent xmlns:mc="http://schemas.openxmlformats.org/markup-compatibility/2006">
    <mc:Choice Requires="x15">
      <x15ac:absPath xmlns:x15ac="http://schemas.microsoft.com/office/spreadsheetml/2010/11/ac" url="https://pfgovbr-my.sharepoint.com/personal/luan_lls_pf_gov_br/Documents/Área de Trabalho/SR-RS/"/>
    </mc:Choice>
  </mc:AlternateContent>
  <xr:revisionPtr revIDLastSave="0" documentId="8_{A98A9ECF-E5FB-4E90-AAE1-E8CEF4E0EB4A}" xr6:coauthVersionLast="47" xr6:coauthVersionMax="47" xr10:uidLastSave="{00000000-0000-0000-0000-000000000000}"/>
  <bookViews>
    <workbookView xWindow="0" yWindow="0" windowWidth="28800" windowHeight="12225" tabRatio="970" firstSheet="2" activeTab="2" xr2:uid="{00000000-000D-0000-FFFF-FFFF00000000}"/>
  </bookViews>
  <sheets>
    <sheet name="VALOR HR" sheetId="35" state="hidden" r:id="rId1"/>
    <sheet name="AJUSTE LANCE " sheetId="33" state="hidden" r:id="rId2"/>
    <sheet name="Resumo" sheetId="38" r:id="rId3"/>
    <sheet name="INSUMOS" sheetId="41" r:id="rId4"/>
    <sheet name="MATERIAIS" sheetId="59" r:id="rId5"/>
    <sheet name="EQUIPAMENTOS" sheetId="60" r:id="rId6"/>
    <sheet name="Materiais - Tratador" sheetId="62" r:id="rId7"/>
    <sheet name="Planilha1" sheetId="61" state="hidden" r:id="rId8"/>
    <sheet name="SR - ASG" sheetId="40" r:id="rId9"/>
    <sheet name="SR - Encarregado" sheetId="42" r:id="rId10"/>
    <sheet name="SR - Copeira" sheetId="43" r:id="rId11"/>
    <sheet name="SR - Lavador" sheetId="44" r:id="rId12"/>
    <sheet name="SR - Tratador" sheetId="48" r:id="rId13"/>
    <sheet name=" CXS" sheetId="45" r:id="rId14"/>
    <sheet name="PFO" sheetId="50" r:id="rId15"/>
    <sheet name="SAG" sheetId="56" r:id="rId16"/>
    <sheet name="SBA" sheetId="57" r:id="rId17"/>
    <sheet name="UGA" sheetId="58" r:id="rId18"/>
    <sheet name="SMA" sheetId="54" r:id="rId19"/>
    <sheet name="SCS" sheetId="53" r:id="rId20"/>
    <sheet name="SLI" sheetId="55" r:id="rId21"/>
    <sheet name="BGE" sheetId="46" r:id="rId22"/>
    <sheet name="PTS" sheetId="51" r:id="rId23"/>
    <sheet name="RGE" sheetId="52" r:id="rId24"/>
    <sheet name="JGO" sheetId="49" r:id="rId25"/>
    <sheet name="CHI" sheetId="47" r:id="rId26"/>
  </sheets>
  <calcPr calcId="191028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5" i="60" l="1"/>
  <c r="G66" i="60" s="1"/>
  <c r="H63" i="60"/>
  <c r="G63" i="60"/>
  <c r="G64" i="60" s="1"/>
  <c r="G96" i="59"/>
  <c r="T66" i="60"/>
  <c r="S66" i="60"/>
  <c r="R66" i="60"/>
  <c r="Q66" i="60"/>
  <c r="P66" i="60"/>
  <c r="O66" i="60"/>
  <c r="N66" i="60"/>
  <c r="M66" i="60"/>
  <c r="L66" i="60"/>
  <c r="K66" i="60"/>
  <c r="J66" i="60"/>
  <c r="I66" i="60"/>
  <c r="H66" i="60"/>
  <c r="C11" i="43"/>
  <c r="G139" i="60"/>
  <c r="F134" i="60"/>
  <c r="G135" i="60" s="1"/>
  <c r="G133" i="60"/>
  <c r="F130" i="60"/>
  <c r="G131" i="60" s="1"/>
  <c r="F128" i="60"/>
  <c r="G129" i="60" s="1"/>
  <c r="G137" i="60"/>
  <c r="G41" i="62"/>
  <c r="G23" i="62"/>
  <c r="G24" i="62"/>
  <c r="G25" i="62"/>
  <c r="G26" i="62"/>
  <c r="G27" i="62"/>
  <c r="G28" i="62"/>
  <c r="G29" i="62"/>
  <c r="G30" i="62"/>
  <c r="G31" i="62"/>
  <c r="G32" i="62"/>
  <c r="G33" i="62"/>
  <c r="G34" i="62"/>
  <c r="G35" i="62"/>
  <c r="G36" i="62"/>
  <c r="G37" i="62"/>
  <c r="G38" i="62"/>
  <c r="G39" i="62"/>
  <c r="G40" i="62"/>
  <c r="G22" i="62"/>
  <c r="G5" i="62"/>
  <c r="G6" i="62"/>
  <c r="G7" i="62"/>
  <c r="G8" i="62"/>
  <c r="G9" i="62"/>
  <c r="G10" i="62"/>
  <c r="G11" i="62"/>
  <c r="G12" i="62"/>
  <c r="G13" i="62"/>
  <c r="G14" i="62"/>
  <c r="G15" i="62"/>
  <c r="G16" i="62"/>
  <c r="G4" i="62"/>
  <c r="F14" i="38"/>
  <c r="G42" i="62" l="1"/>
  <c r="G17" i="62"/>
  <c r="F108" i="59"/>
  <c r="G110" i="60" s="1"/>
  <c r="G32" i="41"/>
  <c r="H22" i="38"/>
  <c r="F5" i="38"/>
  <c r="C11" i="40" s="1"/>
  <c r="G43" i="62" l="1"/>
  <c r="D179" i="48" s="1"/>
  <c r="J22" i="38"/>
  <c r="B214" i="40"/>
  <c r="E123" i="59" l="1"/>
  <c r="G123" i="59" s="1"/>
  <c r="E121" i="59"/>
  <c r="G121" i="59" s="1"/>
  <c r="E120" i="59"/>
  <c r="G120" i="59" s="1"/>
  <c r="E118" i="59"/>
  <c r="C123" i="59"/>
  <c r="C121" i="59"/>
  <c r="C120" i="59"/>
  <c r="C118" i="59"/>
  <c r="E99" i="59"/>
  <c r="R88" i="59"/>
  <c r="H96" i="59"/>
  <c r="F96" i="59"/>
  <c r="G94" i="59"/>
  <c r="H94" i="59"/>
  <c r="I94" i="59"/>
  <c r="J94" i="59"/>
  <c r="K94" i="59"/>
  <c r="L94" i="59"/>
  <c r="M94" i="59"/>
  <c r="N94" i="59"/>
  <c r="O94" i="59"/>
  <c r="P94" i="59"/>
  <c r="Q94" i="59"/>
  <c r="R94" i="59"/>
  <c r="S94" i="59"/>
  <c r="G92" i="59"/>
  <c r="H92" i="59"/>
  <c r="I92" i="59"/>
  <c r="J92" i="59"/>
  <c r="K92" i="59"/>
  <c r="L92" i="59"/>
  <c r="M92" i="59"/>
  <c r="N92" i="59"/>
  <c r="O92" i="59"/>
  <c r="P92" i="59"/>
  <c r="Q92" i="59"/>
  <c r="R92" i="59"/>
  <c r="S92" i="59"/>
  <c r="F94" i="59"/>
  <c r="F92" i="59"/>
  <c r="G90" i="59"/>
  <c r="H90" i="59"/>
  <c r="I90" i="59"/>
  <c r="J90" i="59"/>
  <c r="K90" i="59"/>
  <c r="L90" i="59"/>
  <c r="M90" i="59"/>
  <c r="N90" i="59"/>
  <c r="O90" i="59"/>
  <c r="P90" i="59"/>
  <c r="Q90" i="59"/>
  <c r="R90" i="59"/>
  <c r="S90" i="59"/>
  <c r="F90" i="59"/>
  <c r="J86" i="59"/>
  <c r="G88" i="59"/>
  <c r="H88" i="59"/>
  <c r="I88" i="59"/>
  <c r="J88" i="59"/>
  <c r="K88" i="59"/>
  <c r="L88" i="59"/>
  <c r="M88" i="59"/>
  <c r="N88" i="59"/>
  <c r="O88" i="59"/>
  <c r="P88" i="59"/>
  <c r="Q88" i="59"/>
  <c r="S88" i="59"/>
  <c r="F88" i="59"/>
  <c r="G86" i="59"/>
  <c r="H86" i="59"/>
  <c r="I86" i="59"/>
  <c r="K86" i="59"/>
  <c r="L86" i="59"/>
  <c r="M86" i="59"/>
  <c r="N86" i="59"/>
  <c r="O86" i="59"/>
  <c r="P86" i="59"/>
  <c r="Q86" i="59"/>
  <c r="R86" i="59"/>
  <c r="S86" i="59"/>
  <c r="F86" i="59"/>
  <c r="N80" i="59"/>
  <c r="N82" i="59"/>
  <c r="G82" i="59"/>
  <c r="F82" i="59"/>
  <c r="G84" i="59"/>
  <c r="H84" i="59"/>
  <c r="I84" i="59"/>
  <c r="J84" i="59"/>
  <c r="K84" i="59"/>
  <c r="L84" i="59"/>
  <c r="M84" i="59"/>
  <c r="N84" i="59"/>
  <c r="O84" i="59"/>
  <c r="P84" i="59"/>
  <c r="Q84" i="59"/>
  <c r="R84" i="59"/>
  <c r="S84" i="59"/>
  <c r="F84" i="59"/>
  <c r="G106" i="60"/>
  <c r="G104" i="60"/>
  <c r="F57" i="59"/>
  <c r="G108" i="60"/>
  <c r="G102" i="60"/>
  <c r="G100" i="60"/>
  <c r="G98" i="60"/>
  <c r="G96" i="60"/>
  <c r="G94" i="60"/>
  <c r="F117" i="60"/>
  <c r="G118" i="60" s="1"/>
  <c r="F115" i="60"/>
  <c r="G115" i="59"/>
  <c r="G116" i="59"/>
  <c r="G117" i="59"/>
  <c r="G118" i="59"/>
  <c r="G119" i="59"/>
  <c r="G122" i="59"/>
  <c r="G124" i="59"/>
  <c r="G125" i="59"/>
  <c r="G114" i="59"/>
  <c r="G116" i="60" l="1"/>
  <c r="G119" i="60" s="1"/>
  <c r="F126" i="60"/>
  <c r="G127" i="60" s="1"/>
  <c r="G126" i="59"/>
  <c r="J108" i="59"/>
  <c r="H5" i="61" s="1"/>
  <c r="E17" i="61" s="1"/>
  <c r="E27" i="59"/>
  <c r="O16" i="59" s="1"/>
  <c r="N26" i="59"/>
  <c r="O26" i="59"/>
  <c r="F26" i="59"/>
  <c r="G24" i="59"/>
  <c r="H24" i="59"/>
  <c r="I24" i="59"/>
  <c r="J24" i="59"/>
  <c r="K24" i="59"/>
  <c r="L24" i="59"/>
  <c r="M24" i="59"/>
  <c r="N24" i="59"/>
  <c r="O24" i="59"/>
  <c r="P24" i="59"/>
  <c r="Q24" i="59"/>
  <c r="R24" i="59"/>
  <c r="S24" i="59"/>
  <c r="F24" i="59"/>
  <c r="F21" i="59"/>
  <c r="S14" i="59"/>
  <c r="R14" i="59"/>
  <c r="Q14" i="59"/>
  <c r="P14" i="59"/>
  <c r="O14" i="59"/>
  <c r="N14" i="59"/>
  <c r="M14" i="59"/>
  <c r="L14" i="59"/>
  <c r="K14" i="59"/>
  <c r="J14" i="59"/>
  <c r="I14" i="59"/>
  <c r="H14" i="59"/>
  <c r="G14" i="59"/>
  <c r="F14" i="59"/>
  <c r="G138" i="60" l="1"/>
  <c r="G140" i="60" s="1"/>
  <c r="D180" i="48" s="1"/>
  <c r="C13" i="61"/>
  <c r="D13" i="61"/>
  <c r="E29" i="59"/>
  <c r="O18" i="59" s="1"/>
  <c r="P16" i="59"/>
  <c r="Q16" i="59"/>
  <c r="J16" i="59"/>
  <c r="K16" i="59"/>
  <c r="S16" i="59"/>
  <c r="H16" i="59"/>
  <c r="I16" i="59"/>
  <c r="R16" i="59"/>
  <c r="N28" i="59"/>
  <c r="F16" i="59"/>
  <c r="N16" i="59"/>
  <c r="O28" i="59"/>
  <c r="L16" i="59"/>
  <c r="M16" i="59"/>
  <c r="G16" i="59"/>
  <c r="S57" i="59"/>
  <c r="R57" i="59"/>
  <c r="Q57" i="59"/>
  <c r="P57" i="59"/>
  <c r="O57" i="59"/>
  <c r="N57" i="59"/>
  <c r="M57" i="59"/>
  <c r="L57" i="59"/>
  <c r="K57" i="59"/>
  <c r="J57" i="59"/>
  <c r="I57" i="59"/>
  <c r="H57" i="59"/>
  <c r="G57" i="59"/>
  <c r="S77" i="59"/>
  <c r="R77" i="59"/>
  <c r="Q77" i="59"/>
  <c r="P77" i="59"/>
  <c r="O77" i="59"/>
  <c r="N77" i="59"/>
  <c r="M77" i="59"/>
  <c r="L77" i="59"/>
  <c r="K77" i="59"/>
  <c r="J77" i="59"/>
  <c r="I77" i="59"/>
  <c r="H77" i="59"/>
  <c r="G77" i="59"/>
  <c r="F77" i="59"/>
  <c r="M59" i="59"/>
  <c r="F59" i="59"/>
  <c r="F11" i="59"/>
  <c r="F7" i="59"/>
  <c r="N18" i="59" l="1"/>
  <c r="F18" i="59"/>
  <c r="L18" i="59"/>
  <c r="I18" i="59"/>
  <c r="O30" i="59"/>
  <c r="P18" i="59"/>
  <c r="H18" i="59"/>
  <c r="Q18" i="59"/>
  <c r="N30" i="59"/>
  <c r="G18" i="59"/>
  <c r="R18" i="59"/>
  <c r="E31" i="59"/>
  <c r="M18" i="59"/>
  <c r="K18" i="59"/>
  <c r="J18" i="59"/>
  <c r="S18" i="59"/>
  <c r="H6" i="60"/>
  <c r="Q20" i="59" l="1"/>
  <c r="E33" i="59"/>
  <c r="L20" i="59"/>
  <c r="P20" i="59"/>
  <c r="M20" i="59"/>
  <c r="I20" i="59"/>
  <c r="S20" i="59"/>
  <c r="N20" i="59"/>
  <c r="H20" i="59"/>
  <c r="J20" i="59"/>
  <c r="G20" i="59"/>
  <c r="R20" i="59"/>
  <c r="O20" i="59"/>
  <c r="O32" i="59"/>
  <c r="N32" i="59"/>
  <c r="K20" i="59"/>
  <c r="F20" i="59"/>
  <c r="S22" i="59" l="1"/>
  <c r="F34" i="59"/>
  <c r="E35" i="59"/>
  <c r="L22" i="59"/>
  <c r="J22" i="59"/>
  <c r="Q22" i="59"/>
  <c r="N34" i="59"/>
  <c r="R22" i="59"/>
  <c r="O34" i="59"/>
  <c r="K22" i="59"/>
  <c r="M22" i="59"/>
  <c r="F22" i="59"/>
  <c r="H22" i="59"/>
  <c r="O22" i="59"/>
  <c r="N22" i="59"/>
  <c r="P22" i="59"/>
  <c r="G22" i="59"/>
  <c r="I22" i="59"/>
  <c r="H92" i="60"/>
  <c r="I92" i="60"/>
  <c r="J92" i="60"/>
  <c r="K92" i="60"/>
  <c r="L92" i="60"/>
  <c r="M92" i="60"/>
  <c r="N92" i="60"/>
  <c r="O92" i="60"/>
  <c r="P92" i="60"/>
  <c r="Q92" i="60"/>
  <c r="R92" i="60"/>
  <c r="S92" i="60"/>
  <c r="T92" i="60"/>
  <c r="H90" i="60"/>
  <c r="I90" i="60"/>
  <c r="J90" i="60"/>
  <c r="K90" i="60"/>
  <c r="L90" i="60"/>
  <c r="M90" i="60"/>
  <c r="N90" i="60"/>
  <c r="O90" i="60"/>
  <c r="P90" i="60"/>
  <c r="Q90" i="60"/>
  <c r="R90" i="60"/>
  <c r="S90" i="60"/>
  <c r="T90" i="60"/>
  <c r="H88" i="60"/>
  <c r="I88" i="60"/>
  <c r="J88" i="60"/>
  <c r="K88" i="60"/>
  <c r="L88" i="60"/>
  <c r="M88" i="60"/>
  <c r="N88" i="60"/>
  <c r="O88" i="60"/>
  <c r="P88" i="60"/>
  <c r="Q88" i="60"/>
  <c r="R88" i="60"/>
  <c r="S88" i="60"/>
  <c r="T88" i="60"/>
  <c r="H86" i="60"/>
  <c r="I86" i="60"/>
  <c r="J86" i="60"/>
  <c r="K86" i="60"/>
  <c r="L86" i="60"/>
  <c r="M86" i="60"/>
  <c r="N86" i="60"/>
  <c r="O86" i="60"/>
  <c r="P86" i="60"/>
  <c r="Q86" i="60"/>
  <c r="R86" i="60"/>
  <c r="S86" i="60"/>
  <c r="T86" i="60"/>
  <c r="H84" i="60"/>
  <c r="I84" i="60"/>
  <c r="J84" i="60"/>
  <c r="K84" i="60"/>
  <c r="L84" i="60"/>
  <c r="M84" i="60"/>
  <c r="N84" i="60"/>
  <c r="O84" i="60"/>
  <c r="P84" i="60"/>
  <c r="Q84" i="60"/>
  <c r="R84" i="60"/>
  <c r="S84" i="60"/>
  <c r="T84" i="60"/>
  <c r="T82" i="60"/>
  <c r="H82" i="60"/>
  <c r="I82" i="60"/>
  <c r="J82" i="60"/>
  <c r="K82" i="60"/>
  <c r="L82" i="60"/>
  <c r="M82" i="60"/>
  <c r="N82" i="60"/>
  <c r="O82" i="60"/>
  <c r="P82" i="60"/>
  <c r="Q82" i="60"/>
  <c r="R82" i="60"/>
  <c r="S82" i="60"/>
  <c r="H80" i="60"/>
  <c r="I80" i="60"/>
  <c r="J80" i="60"/>
  <c r="K80" i="60"/>
  <c r="L80" i="60"/>
  <c r="M80" i="60"/>
  <c r="N80" i="60"/>
  <c r="O80" i="60"/>
  <c r="P80" i="60"/>
  <c r="Q80" i="60"/>
  <c r="R80" i="60"/>
  <c r="S80" i="60"/>
  <c r="T80" i="60"/>
  <c r="H78" i="60"/>
  <c r="I78" i="60"/>
  <c r="J78" i="60"/>
  <c r="K78" i="60"/>
  <c r="L78" i="60"/>
  <c r="M78" i="60"/>
  <c r="N78" i="60"/>
  <c r="O78" i="60"/>
  <c r="P78" i="60"/>
  <c r="Q78" i="60"/>
  <c r="R78" i="60"/>
  <c r="S78" i="60"/>
  <c r="T78" i="60"/>
  <c r="H76" i="60"/>
  <c r="I76" i="60"/>
  <c r="J76" i="60"/>
  <c r="K76" i="60"/>
  <c r="L76" i="60"/>
  <c r="M76" i="60"/>
  <c r="N76" i="60"/>
  <c r="O76" i="60"/>
  <c r="P76" i="60"/>
  <c r="Q76" i="60"/>
  <c r="R76" i="60"/>
  <c r="S76" i="60"/>
  <c r="T76" i="60"/>
  <c r="H74" i="60"/>
  <c r="I74" i="60"/>
  <c r="J74" i="60"/>
  <c r="K74" i="60"/>
  <c r="L74" i="60"/>
  <c r="M74" i="60"/>
  <c r="N74" i="60"/>
  <c r="O74" i="60"/>
  <c r="P74" i="60"/>
  <c r="Q74" i="60"/>
  <c r="R74" i="60"/>
  <c r="S74" i="60"/>
  <c r="T74" i="60"/>
  <c r="H72" i="60"/>
  <c r="I72" i="60"/>
  <c r="J72" i="60"/>
  <c r="K72" i="60"/>
  <c r="L72" i="60"/>
  <c r="M72" i="60"/>
  <c r="N72" i="60"/>
  <c r="O72" i="60"/>
  <c r="P72" i="60"/>
  <c r="Q72" i="60"/>
  <c r="R72" i="60"/>
  <c r="S72" i="60"/>
  <c r="T72" i="60"/>
  <c r="H70" i="60"/>
  <c r="I70" i="60"/>
  <c r="J70" i="60"/>
  <c r="K70" i="60"/>
  <c r="L70" i="60"/>
  <c r="M70" i="60"/>
  <c r="N70" i="60"/>
  <c r="O70" i="60"/>
  <c r="P70" i="60"/>
  <c r="Q70" i="60"/>
  <c r="R70" i="60"/>
  <c r="S70" i="60"/>
  <c r="T70" i="60"/>
  <c r="H68" i="60"/>
  <c r="I68" i="60"/>
  <c r="J68" i="60"/>
  <c r="K68" i="60"/>
  <c r="L68" i="60"/>
  <c r="M68" i="60"/>
  <c r="N68" i="60"/>
  <c r="O68" i="60"/>
  <c r="P68" i="60"/>
  <c r="Q68" i="60"/>
  <c r="R68" i="60"/>
  <c r="S68" i="60"/>
  <c r="T68" i="60"/>
  <c r="H64" i="60"/>
  <c r="I64" i="60"/>
  <c r="J64" i="60"/>
  <c r="K64" i="60"/>
  <c r="L64" i="60"/>
  <c r="M64" i="60"/>
  <c r="N64" i="60"/>
  <c r="O64" i="60"/>
  <c r="P64" i="60"/>
  <c r="Q64" i="60"/>
  <c r="R64" i="60"/>
  <c r="S64" i="60"/>
  <c r="T64" i="60"/>
  <c r="H62" i="60"/>
  <c r="I62" i="60"/>
  <c r="J62" i="60"/>
  <c r="K62" i="60"/>
  <c r="L62" i="60"/>
  <c r="M62" i="60"/>
  <c r="N62" i="60"/>
  <c r="O62" i="60"/>
  <c r="P62" i="60"/>
  <c r="Q62" i="60"/>
  <c r="R62" i="60"/>
  <c r="S62" i="60"/>
  <c r="T62" i="60"/>
  <c r="H60" i="60"/>
  <c r="I60" i="60"/>
  <c r="J60" i="60"/>
  <c r="K60" i="60"/>
  <c r="L60" i="60"/>
  <c r="M60" i="60"/>
  <c r="N60" i="60"/>
  <c r="O60" i="60"/>
  <c r="P60" i="60"/>
  <c r="Q60" i="60"/>
  <c r="R60" i="60"/>
  <c r="S60" i="60"/>
  <c r="T60" i="60"/>
  <c r="H58" i="60"/>
  <c r="I58" i="60"/>
  <c r="J58" i="60"/>
  <c r="K58" i="60"/>
  <c r="L58" i="60"/>
  <c r="M58" i="60"/>
  <c r="N58" i="60"/>
  <c r="O58" i="60"/>
  <c r="P58" i="60"/>
  <c r="Q58" i="60"/>
  <c r="R58" i="60"/>
  <c r="S58" i="60"/>
  <c r="T58" i="60"/>
  <c r="H56" i="60"/>
  <c r="I56" i="60"/>
  <c r="J56" i="60"/>
  <c r="K56" i="60"/>
  <c r="L56" i="60"/>
  <c r="M56" i="60"/>
  <c r="N56" i="60"/>
  <c r="O56" i="60"/>
  <c r="P56" i="60"/>
  <c r="Q56" i="60"/>
  <c r="R56" i="60"/>
  <c r="S56" i="60"/>
  <c r="T56" i="60"/>
  <c r="H54" i="60"/>
  <c r="I54" i="60"/>
  <c r="J54" i="60"/>
  <c r="K54" i="60"/>
  <c r="L54" i="60"/>
  <c r="M54" i="60"/>
  <c r="N54" i="60"/>
  <c r="O54" i="60"/>
  <c r="P54" i="60"/>
  <c r="Q54" i="60"/>
  <c r="R54" i="60"/>
  <c r="S54" i="60"/>
  <c r="T54" i="60"/>
  <c r="H52" i="60"/>
  <c r="I52" i="60"/>
  <c r="J52" i="60"/>
  <c r="K52" i="60"/>
  <c r="L52" i="60"/>
  <c r="M52" i="60"/>
  <c r="N52" i="60"/>
  <c r="O52" i="60"/>
  <c r="P52" i="60"/>
  <c r="Q52" i="60"/>
  <c r="R52" i="60"/>
  <c r="S52" i="60"/>
  <c r="T52" i="60"/>
  <c r="H50" i="60"/>
  <c r="I50" i="60"/>
  <c r="J50" i="60"/>
  <c r="K50" i="60"/>
  <c r="L50" i="60"/>
  <c r="M50" i="60"/>
  <c r="N50" i="60"/>
  <c r="O50" i="60"/>
  <c r="P50" i="60"/>
  <c r="Q50" i="60"/>
  <c r="R50" i="60"/>
  <c r="S50" i="60"/>
  <c r="T50" i="60"/>
  <c r="T48" i="60"/>
  <c r="T46" i="60"/>
  <c r="H48" i="60"/>
  <c r="I48" i="60"/>
  <c r="J48" i="60"/>
  <c r="K48" i="60"/>
  <c r="L48" i="60"/>
  <c r="M48" i="60"/>
  <c r="N48" i="60"/>
  <c r="O48" i="60"/>
  <c r="P48" i="60"/>
  <c r="Q48" i="60"/>
  <c r="R48" i="60"/>
  <c r="S48" i="60"/>
  <c r="G48" i="60"/>
  <c r="H46" i="60"/>
  <c r="I46" i="60"/>
  <c r="J46" i="60"/>
  <c r="K46" i="60"/>
  <c r="L46" i="60"/>
  <c r="M46" i="60"/>
  <c r="N46" i="60"/>
  <c r="O46" i="60"/>
  <c r="P46" i="60"/>
  <c r="Q46" i="60"/>
  <c r="R46" i="60"/>
  <c r="S46" i="60"/>
  <c r="H44" i="60"/>
  <c r="I44" i="60"/>
  <c r="J44" i="60"/>
  <c r="K44" i="60"/>
  <c r="L44" i="60"/>
  <c r="M44" i="60"/>
  <c r="N44" i="60"/>
  <c r="O44" i="60"/>
  <c r="P44" i="60"/>
  <c r="Q44" i="60"/>
  <c r="R44" i="60"/>
  <c r="S44" i="60"/>
  <c r="T44" i="60"/>
  <c r="H42" i="60"/>
  <c r="I42" i="60"/>
  <c r="J42" i="60"/>
  <c r="K42" i="60"/>
  <c r="L42" i="60"/>
  <c r="M42" i="60"/>
  <c r="N42" i="60"/>
  <c r="O42" i="60"/>
  <c r="P42" i="60"/>
  <c r="Q42" i="60"/>
  <c r="R42" i="60"/>
  <c r="S42" i="60"/>
  <c r="T42" i="60"/>
  <c r="H40" i="60"/>
  <c r="I40" i="60"/>
  <c r="J40" i="60"/>
  <c r="K40" i="60"/>
  <c r="L40" i="60"/>
  <c r="M40" i="60"/>
  <c r="N40" i="60"/>
  <c r="O40" i="60"/>
  <c r="P40" i="60"/>
  <c r="Q40" i="60"/>
  <c r="R40" i="60"/>
  <c r="S40" i="60"/>
  <c r="T40" i="60"/>
  <c r="H38" i="60"/>
  <c r="I38" i="60"/>
  <c r="J38" i="60"/>
  <c r="K38" i="60"/>
  <c r="L38" i="60"/>
  <c r="M38" i="60"/>
  <c r="N38" i="60"/>
  <c r="O38" i="60"/>
  <c r="P38" i="60"/>
  <c r="Q38" i="60"/>
  <c r="R38" i="60"/>
  <c r="S38" i="60"/>
  <c r="T38" i="60"/>
  <c r="H36" i="60"/>
  <c r="I36" i="60"/>
  <c r="J36" i="60"/>
  <c r="K36" i="60"/>
  <c r="L36" i="60"/>
  <c r="M36" i="60"/>
  <c r="N36" i="60"/>
  <c r="O36" i="60"/>
  <c r="P36" i="60"/>
  <c r="Q36" i="60"/>
  <c r="R36" i="60"/>
  <c r="S36" i="60"/>
  <c r="T36" i="60"/>
  <c r="H34" i="60"/>
  <c r="I34" i="60"/>
  <c r="J34" i="60"/>
  <c r="K34" i="60"/>
  <c r="L34" i="60"/>
  <c r="M34" i="60"/>
  <c r="N34" i="60"/>
  <c r="O34" i="60"/>
  <c r="P34" i="60"/>
  <c r="Q34" i="60"/>
  <c r="R34" i="60"/>
  <c r="S34" i="60"/>
  <c r="T34" i="60"/>
  <c r="H32" i="60"/>
  <c r="I32" i="60"/>
  <c r="J32" i="60"/>
  <c r="K32" i="60"/>
  <c r="L32" i="60"/>
  <c r="M32" i="60"/>
  <c r="N32" i="60"/>
  <c r="O32" i="60"/>
  <c r="P32" i="60"/>
  <c r="Q32" i="60"/>
  <c r="R32" i="60"/>
  <c r="S32" i="60"/>
  <c r="T32" i="60"/>
  <c r="H30" i="60"/>
  <c r="I30" i="60"/>
  <c r="J30" i="60"/>
  <c r="K30" i="60"/>
  <c r="L30" i="60"/>
  <c r="M30" i="60"/>
  <c r="N30" i="60"/>
  <c r="O30" i="60"/>
  <c r="P30" i="60"/>
  <c r="Q30" i="60"/>
  <c r="R30" i="60"/>
  <c r="S30" i="60"/>
  <c r="T30" i="60"/>
  <c r="H28" i="60"/>
  <c r="I28" i="60"/>
  <c r="J28" i="60"/>
  <c r="K28" i="60"/>
  <c r="L28" i="60"/>
  <c r="M28" i="60"/>
  <c r="N28" i="60"/>
  <c r="O28" i="60"/>
  <c r="P28" i="60"/>
  <c r="Q28" i="60"/>
  <c r="R28" i="60"/>
  <c r="S28" i="60"/>
  <c r="T28" i="60"/>
  <c r="H26" i="60"/>
  <c r="I26" i="60"/>
  <c r="J26" i="60"/>
  <c r="K26" i="60"/>
  <c r="L26" i="60"/>
  <c r="M26" i="60"/>
  <c r="N26" i="60"/>
  <c r="O26" i="60"/>
  <c r="P26" i="60"/>
  <c r="Q26" i="60"/>
  <c r="R26" i="60"/>
  <c r="S26" i="60"/>
  <c r="T26" i="60"/>
  <c r="H24" i="60"/>
  <c r="I24" i="60"/>
  <c r="J24" i="60"/>
  <c r="K24" i="60"/>
  <c r="L24" i="60"/>
  <c r="M24" i="60"/>
  <c r="N24" i="60"/>
  <c r="O24" i="60"/>
  <c r="P24" i="60"/>
  <c r="Q24" i="60"/>
  <c r="R24" i="60"/>
  <c r="S24" i="60"/>
  <c r="T24" i="60"/>
  <c r="T22" i="60"/>
  <c r="H22" i="60"/>
  <c r="I22" i="60"/>
  <c r="J22" i="60"/>
  <c r="K22" i="60"/>
  <c r="L22" i="60"/>
  <c r="M22" i="60"/>
  <c r="N22" i="60"/>
  <c r="O22" i="60"/>
  <c r="P22" i="60"/>
  <c r="Q22" i="60"/>
  <c r="R22" i="60"/>
  <c r="S22" i="60"/>
  <c r="H20" i="60"/>
  <c r="I20" i="60"/>
  <c r="J20" i="60"/>
  <c r="K20" i="60"/>
  <c r="L20" i="60"/>
  <c r="M20" i="60"/>
  <c r="N20" i="60"/>
  <c r="O20" i="60"/>
  <c r="P20" i="60"/>
  <c r="Q20" i="60"/>
  <c r="R20" i="60"/>
  <c r="S20" i="60"/>
  <c r="T20" i="60"/>
  <c r="H18" i="60"/>
  <c r="I18" i="60"/>
  <c r="J18" i="60"/>
  <c r="K18" i="60"/>
  <c r="L18" i="60"/>
  <c r="M18" i="60"/>
  <c r="N18" i="60"/>
  <c r="O18" i="60"/>
  <c r="P18" i="60"/>
  <c r="Q18" i="60"/>
  <c r="R18" i="60"/>
  <c r="S18" i="60"/>
  <c r="T18" i="60"/>
  <c r="H16" i="60"/>
  <c r="I16" i="60"/>
  <c r="J16" i="60"/>
  <c r="K16" i="60"/>
  <c r="L16" i="60"/>
  <c r="M16" i="60"/>
  <c r="N16" i="60"/>
  <c r="O16" i="60"/>
  <c r="P16" i="60"/>
  <c r="Q16" i="60"/>
  <c r="R16" i="60"/>
  <c r="S16" i="60"/>
  <c r="T16" i="60"/>
  <c r="H14" i="60"/>
  <c r="I14" i="60"/>
  <c r="J14" i="60"/>
  <c r="K14" i="60"/>
  <c r="L14" i="60"/>
  <c r="M14" i="60"/>
  <c r="N14" i="60"/>
  <c r="O14" i="60"/>
  <c r="P14" i="60"/>
  <c r="Q14" i="60"/>
  <c r="R14" i="60"/>
  <c r="S14" i="60"/>
  <c r="T14" i="60"/>
  <c r="G14" i="60"/>
  <c r="T12" i="60"/>
  <c r="H12" i="60"/>
  <c r="I12" i="60"/>
  <c r="J12" i="60"/>
  <c r="K12" i="60"/>
  <c r="L12" i="60"/>
  <c r="M12" i="60"/>
  <c r="N12" i="60"/>
  <c r="O12" i="60"/>
  <c r="P12" i="60"/>
  <c r="Q12" i="60"/>
  <c r="R12" i="60"/>
  <c r="S12" i="60"/>
  <c r="G12" i="60"/>
  <c r="G10" i="60"/>
  <c r="H10" i="60"/>
  <c r="I10" i="60"/>
  <c r="J10" i="60"/>
  <c r="K10" i="60"/>
  <c r="L10" i="60"/>
  <c r="M10" i="60"/>
  <c r="N10" i="60"/>
  <c r="O10" i="60"/>
  <c r="P10" i="60"/>
  <c r="Q10" i="60"/>
  <c r="R10" i="60"/>
  <c r="S10" i="60"/>
  <c r="T10" i="60"/>
  <c r="H8" i="60"/>
  <c r="I8" i="60"/>
  <c r="J8" i="60"/>
  <c r="K8" i="60"/>
  <c r="L8" i="60"/>
  <c r="M8" i="60"/>
  <c r="N8" i="60"/>
  <c r="O8" i="60"/>
  <c r="P8" i="60"/>
  <c r="Q8" i="60"/>
  <c r="R8" i="60"/>
  <c r="S8" i="60"/>
  <c r="T8" i="60"/>
  <c r="G8" i="60"/>
  <c r="I6" i="60"/>
  <c r="J6" i="60"/>
  <c r="K6" i="60"/>
  <c r="L6" i="60"/>
  <c r="M6" i="60"/>
  <c r="N6" i="60"/>
  <c r="O6" i="60"/>
  <c r="P6" i="60"/>
  <c r="Q6" i="60"/>
  <c r="R6" i="60"/>
  <c r="S6" i="60"/>
  <c r="T6" i="60"/>
  <c r="G6" i="60"/>
  <c r="H29" i="41"/>
  <c r="H27" i="41"/>
  <c r="B179" i="42"/>
  <c r="F20" i="41"/>
  <c r="H20" i="41" s="1"/>
  <c r="F19" i="41"/>
  <c r="H19" i="41" s="1"/>
  <c r="F18" i="41"/>
  <c r="H18" i="41" s="1"/>
  <c r="F17" i="41"/>
  <c r="H17" i="41" s="1"/>
  <c r="F16" i="41"/>
  <c r="H16" i="41" s="1"/>
  <c r="F15" i="41"/>
  <c r="H15" i="41" s="1"/>
  <c r="Q109" i="60" l="1"/>
  <c r="N109" i="60"/>
  <c r="M109" i="60"/>
  <c r="I109" i="60"/>
  <c r="K109" i="60"/>
  <c r="S109" i="60"/>
  <c r="O109" i="60"/>
  <c r="T109" i="60"/>
  <c r="Q3" i="61" s="1"/>
  <c r="D26" i="61" s="1"/>
  <c r="L109" i="60"/>
  <c r="I3" i="61" s="1"/>
  <c r="D18" i="61" s="1"/>
  <c r="R109" i="60"/>
  <c r="O3" i="61" s="1"/>
  <c r="D24" i="61" s="1"/>
  <c r="J109" i="60"/>
  <c r="P109" i="60"/>
  <c r="M3" i="61" s="1"/>
  <c r="D22" i="61" s="1"/>
  <c r="H109" i="60"/>
  <c r="E3" i="61" s="1"/>
  <c r="D14" i="61" s="1"/>
  <c r="P3" i="61"/>
  <c r="D25" i="61" s="1"/>
  <c r="L3" i="61"/>
  <c r="D21" i="61" s="1"/>
  <c r="K3" i="61"/>
  <c r="D20" i="61" s="1"/>
  <c r="G3" i="61"/>
  <c r="D16" i="61" s="1"/>
  <c r="H3" i="61"/>
  <c r="D17" i="61" s="1"/>
  <c r="F3" i="61"/>
  <c r="D15" i="61" s="1"/>
  <c r="J3" i="61"/>
  <c r="D19" i="61" s="1"/>
  <c r="G16" i="60"/>
  <c r="N36" i="59"/>
  <c r="O36" i="59"/>
  <c r="N3" i="61"/>
  <c r="D23" i="61" s="1"/>
  <c r="H21" i="41"/>
  <c r="D177" i="43" s="1"/>
  <c r="G7" i="59"/>
  <c r="G18" i="60" l="1"/>
  <c r="G20" i="60" s="1"/>
  <c r="G22" i="60" s="1"/>
  <c r="G24" i="60" s="1"/>
  <c r="G26" i="60" s="1"/>
  <c r="G28" i="60" s="1"/>
  <c r="G30" i="60" s="1"/>
  <c r="G32" i="60" s="1"/>
  <c r="G34" i="60" s="1"/>
  <c r="G36" i="60" s="1"/>
  <c r="G38" i="60" s="1"/>
  <c r="G40" i="60" s="1"/>
  <c r="G42" i="60" s="1"/>
  <c r="G44" i="60" s="1"/>
  <c r="G46" i="60" s="1"/>
  <c r="G50" i="60" s="1"/>
  <c r="G52" i="60" s="1"/>
  <c r="G54" i="60" s="1"/>
  <c r="G56" i="60" s="1"/>
  <c r="G58" i="60" s="1"/>
  <c r="G60" i="60" s="1"/>
  <c r="G62" i="60" s="1"/>
  <c r="G68" i="60" s="1"/>
  <c r="G70" i="60" s="1"/>
  <c r="G72" i="60" s="1"/>
  <c r="G74" i="60" s="1"/>
  <c r="G76" i="60" s="1"/>
  <c r="G78" i="60"/>
  <c r="I80" i="59"/>
  <c r="G80" i="59"/>
  <c r="H80" i="59"/>
  <c r="J80" i="59"/>
  <c r="K80" i="59"/>
  <c r="L80" i="59"/>
  <c r="M80" i="59"/>
  <c r="O80" i="59"/>
  <c r="P80" i="59"/>
  <c r="Q80" i="59"/>
  <c r="R80" i="59"/>
  <c r="S80" i="59"/>
  <c r="F80" i="59"/>
  <c r="G106" i="59"/>
  <c r="H106" i="59"/>
  <c r="I106" i="59"/>
  <c r="J106" i="59"/>
  <c r="K106" i="59"/>
  <c r="L106" i="59"/>
  <c r="M106" i="59"/>
  <c r="N106" i="59"/>
  <c r="O106" i="59"/>
  <c r="P106" i="59"/>
  <c r="Q106" i="59"/>
  <c r="R106" i="59"/>
  <c r="S106" i="59"/>
  <c r="F106" i="59"/>
  <c r="G68" i="59"/>
  <c r="H68" i="59"/>
  <c r="I68" i="59"/>
  <c r="J68" i="59"/>
  <c r="K68" i="59"/>
  <c r="L68" i="59"/>
  <c r="M68" i="59"/>
  <c r="N68" i="59"/>
  <c r="O68" i="59"/>
  <c r="P68" i="59"/>
  <c r="Q68" i="59"/>
  <c r="R68" i="59"/>
  <c r="S68" i="59"/>
  <c r="F68" i="59"/>
  <c r="G100" i="59"/>
  <c r="H100" i="59"/>
  <c r="I100" i="59"/>
  <c r="J100" i="59"/>
  <c r="K100" i="59"/>
  <c r="L100" i="59"/>
  <c r="M100" i="59"/>
  <c r="N100" i="59"/>
  <c r="O100" i="59"/>
  <c r="P100" i="59"/>
  <c r="Q100" i="59"/>
  <c r="R100" i="59"/>
  <c r="S100" i="59"/>
  <c r="F100" i="59"/>
  <c r="G102" i="59"/>
  <c r="F102" i="59"/>
  <c r="I96" i="59"/>
  <c r="J96" i="59"/>
  <c r="K96" i="59"/>
  <c r="L96" i="59"/>
  <c r="M96" i="59"/>
  <c r="N96" i="59"/>
  <c r="O96" i="59"/>
  <c r="P96" i="59"/>
  <c r="Q96" i="59"/>
  <c r="R96" i="59"/>
  <c r="S96" i="59"/>
  <c r="G78" i="59"/>
  <c r="H78" i="59"/>
  <c r="I78" i="59"/>
  <c r="J78" i="59"/>
  <c r="K78" i="59"/>
  <c r="L78" i="59"/>
  <c r="M78" i="59"/>
  <c r="N78" i="59"/>
  <c r="O78" i="59"/>
  <c r="P78" i="59"/>
  <c r="Q78" i="59"/>
  <c r="R78" i="59"/>
  <c r="S78" i="59"/>
  <c r="F78" i="59"/>
  <c r="G76" i="59"/>
  <c r="H76" i="59"/>
  <c r="I76" i="59"/>
  <c r="J76" i="59"/>
  <c r="K76" i="59"/>
  <c r="L76" i="59"/>
  <c r="M76" i="59"/>
  <c r="N76" i="59"/>
  <c r="O76" i="59"/>
  <c r="P76" i="59"/>
  <c r="Q76" i="59"/>
  <c r="R76" i="59"/>
  <c r="S76" i="59"/>
  <c r="F76" i="59"/>
  <c r="L70" i="59"/>
  <c r="G74" i="59"/>
  <c r="P74" i="59"/>
  <c r="Q74" i="59"/>
  <c r="S74" i="59"/>
  <c r="F74" i="59"/>
  <c r="R73" i="59"/>
  <c r="R74" i="59" s="1"/>
  <c r="O73" i="59"/>
  <c r="O74" i="59" s="1"/>
  <c r="N73" i="59"/>
  <c r="N74" i="59" s="1"/>
  <c r="M73" i="59"/>
  <c r="M74" i="59" s="1"/>
  <c r="L73" i="59"/>
  <c r="L74" i="59" s="1"/>
  <c r="K73" i="59"/>
  <c r="K74" i="59" s="1"/>
  <c r="J73" i="59"/>
  <c r="J74" i="59" s="1"/>
  <c r="I73" i="59"/>
  <c r="I74" i="59" s="1"/>
  <c r="H73" i="59"/>
  <c r="H74" i="59" s="1"/>
  <c r="S72" i="59"/>
  <c r="R72" i="59"/>
  <c r="G72" i="59"/>
  <c r="H72" i="59"/>
  <c r="I72" i="59"/>
  <c r="J72" i="59"/>
  <c r="K72" i="59"/>
  <c r="L72" i="59"/>
  <c r="M72" i="59"/>
  <c r="N72" i="59"/>
  <c r="O72" i="59"/>
  <c r="P72" i="59"/>
  <c r="Q72" i="59"/>
  <c r="F72" i="59"/>
  <c r="F70" i="59"/>
  <c r="H70" i="59"/>
  <c r="G70" i="59"/>
  <c r="I70" i="59"/>
  <c r="J70" i="59"/>
  <c r="K70" i="59"/>
  <c r="M70" i="59"/>
  <c r="N70" i="59"/>
  <c r="O70" i="59"/>
  <c r="P70" i="59"/>
  <c r="Q70" i="59"/>
  <c r="R70" i="59"/>
  <c r="S70" i="59"/>
  <c r="I66" i="59"/>
  <c r="H66" i="59"/>
  <c r="F66" i="59"/>
  <c r="G64" i="59"/>
  <c r="H64" i="59"/>
  <c r="I64" i="59"/>
  <c r="J64" i="59"/>
  <c r="K64" i="59"/>
  <c r="L64" i="59"/>
  <c r="M64" i="59"/>
  <c r="N64" i="59"/>
  <c r="O64" i="59"/>
  <c r="P64" i="59"/>
  <c r="Q64" i="59"/>
  <c r="R64" i="59"/>
  <c r="S64" i="59"/>
  <c r="F64" i="59"/>
  <c r="G62" i="59"/>
  <c r="H62" i="59"/>
  <c r="I62" i="59"/>
  <c r="J62" i="59"/>
  <c r="K62" i="59"/>
  <c r="L62" i="59"/>
  <c r="M62" i="59"/>
  <c r="N62" i="59"/>
  <c r="O62" i="59"/>
  <c r="P62" i="59"/>
  <c r="Q62" i="59"/>
  <c r="R62" i="59"/>
  <c r="S62" i="59"/>
  <c r="F62" i="59"/>
  <c r="G60" i="59"/>
  <c r="H60" i="59"/>
  <c r="I60" i="59"/>
  <c r="J60" i="59"/>
  <c r="K60" i="59"/>
  <c r="L60" i="59"/>
  <c r="M60" i="59"/>
  <c r="N60" i="59"/>
  <c r="O60" i="59"/>
  <c r="P60" i="59"/>
  <c r="Q60" i="59"/>
  <c r="R60" i="59"/>
  <c r="S60" i="59"/>
  <c r="F60" i="59"/>
  <c r="G58" i="59"/>
  <c r="G56" i="59"/>
  <c r="G54" i="59"/>
  <c r="G52" i="59"/>
  <c r="F56" i="59"/>
  <c r="F54" i="59"/>
  <c r="F52" i="59"/>
  <c r="F48" i="59"/>
  <c r="F50" i="59"/>
  <c r="F58" i="59"/>
  <c r="H58" i="59"/>
  <c r="I58" i="59"/>
  <c r="J58" i="59"/>
  <c r="K58" i="59"/>
  <c r="L58" i="59"/>
  <c r="M58" i="59"/>
  <c r="N58" i="59"/>
  <c r="O58" i="59"/>
  <c r="P58" i="59"/>
  <c r="Q58" i="59"/>
  <c r="R58" i="59"/>
  <c r="S58" i="59"/>
  <c r="H54" i="59"/>
  <c r="I54" i="59"/>
  <c r="J54" i="59"/>
  <c r="K54" i="59"/>
  <c r="L54" i="59"/>
  <c r="M54" i="59"/>
  <c r="N54" i="59"/>
  <c r="O54" i="59"/>
  <c r="P54" i="59"/>
  <c r="Q54" i="59"/>
  <c r="R54" i="59"/>
  <c r="S54" i="59"/>
  <c r="H56" i="59"/>
  <c r="I56" i="59"/>
  <c r="J56" i="59"/>
  <c r="K56" i="59"/>
  <c r="L56" i="59"/>
  <c r="M56" i="59"/>
  <c r="N56" i="59"/>
  <c r="O56" i="59"/>
  <c r="P56" i="59"/>
  <c r="Q56" i="59"/>
  <c r="R56" i="59"/>
  <c r="S56" i="59"/>
  <c r="H52" i="59"/>
  <c r="I52" i="59"/>
  <c r="J52" i="59"/>
  <c r="K52" i="59"/>
  <c r="L52" i="59"/>
  <c r="M52" i="59"/>
  <c r="N52" i="59"/>
  <c r="O52" i="59"/>
  <c r="P52" i="59"/>
  <c r="Q52" i="59"/>
  <c r="R52" i="59"/>
  <c r="S52" i="59"/>
  <c r="F10" i="59"/>
  <c r="F12" i="59"/>
  <c r="F36" i="59"/>
  <c r="F38" i="59"/>
  <c r="G40" i="59"/>
  <c r="H40" i="59"/>
  <c r="I40" i="59"/>
  <c r="J40" i="59"/>
  <c r="K40" i="59"/>
  <c r="L40" i="59"/>
  <c r="M40" i="59"/>
  <c r="N40" i="59"/>
  <c r="O40" i="59"/>
  <c r="P40" i="59"/>
  <c r="Q40" i="59"/>
  <c r="R40" i="59"/>
  <c r="S40" i="59"/>
  <c r="F40" i="59"/>
  <c r="G30" i="59"/>
  <c r="H30" i="59"/>
  <c r="I30" i="59"/>
  <c r="J30" i="59"/>
  <c r="K30" i="59"/>
  <c r="L30" i="59"/>
  <c r="M30" i="59"/>
  <c r="P30" i="59"/>
  <c r="Q30" i="59"/>
  <c r="R30" i="59"/>
  <c r="S30" i="59"/>
  <c r="F30" i="59"/>
  <c r="G28" i="59"/>
  <c r="C196" i="44"/>
  <c r="C195" i="44"/>
  <c r="C196" i="43"/>
  <c r="C195" i="43"/>
  <c r="C196" i="48"/>
  <c r="C195" i="48"/>
  <c r="C195" i="42"/>
  <c r="C194" i="42"/>
  <c r="C123" i="47"/>
  <c r="C122" i="47"/>
  <c r="C111" i="47"/>
  <c r="C99" i="47"/>
  <c r="C123" i="49"/>
  <c r="C122" i="49"/>
  <c r="C111" i="49"/>
  <c r="C99" i="49"/>
  <c r="C123" i="52"/>
  <c r="C122" i="52"/>
  <c r="C111" i="52"/>
  <c r="C99" i="52"/>
  <c r="C123" i="51"/>
  <c r="C122" i="51"/>
  <c r="C111" i="51"/>
  <c r="C99" i="51"/>
  <c r="C123" i="46"/>
  <c r="C122" i="46"/>
  <c r="C111" i="46"/>
  <c r="C99" i="46"/>
  <c r="C123" i="55"/>
  <c r="C122" i="55"/>
  <c r="C111" i="55"/>
  <c r="C99" i="55"/>
  <c r="C123" i="53"/>
  <c r="C122" i="53"/>
  <c r="C111" i="53"/>
  <c r="C99" i="53"/>
  <c r="C123" i="54"/>
  <c r="C122" i="54"/>
  <c r="C111" i="54"/>
  <c r="C99" i="54"/>
  <c r="C123" i="58"/>
  <c r="C122" i="58"/>
  <c r="C111" i="58"/>
  <c r="C99" i="58"/>
  <c r="C123" i="57"/>
  <c r="C122" i="57"/>
  <c r="C111" i="57"/>
  <c r="C99" i="57"/>
  <c r="C123" i="56"/>
  <c r="C122" i="56"/>
  <c r="C111" i="56"/>
  <c r="C99" i="56"/>
  <c r="C123" i="50"/>
  <c r="C122" i="50"/>
  <c r="C111" i="50"/>
  <c r="C99" i="50"/>
  <c r="C123" i="45"/>
  <c r="C122" i="45"/>
  <c r="C111" i="45"/>
  <c r="C99" i="45"/>
  <c r="C123" i="44"/>
  <c r="C122" i="44"/>
  <c r="C111" i="44"/>
  <c r="C99" i="44"/>
  <c r="C123" i="43"/>
  <c r="C122" i="43"/>
  <c r="C111" i="43"/>
  <c r="C99" i="43"/>
  <c r="C123" i="48"/>
  <c r="C122" i="48"/>
  <c r="C111" i="48"/>
  <c r="C99" i="48"/>
  <c r="C123" i="42"/>
  <c r="C122" i="42"/>
  <c r="C111" i="42"/>
  <c r="C99" i="42"/>
  <c r="K108" i="59"/>
  <c r="L108" i="59"/>
  <c r="M108" i="59"/>
  <c r="N108" i="59"/>
  <c r="O108" i="59"/>
  <c r="P108" i="59"/>
  <c r="Q108" i="59"/>
  <c r="R108" i="59"/>
  <c r="S108" i="59"/>
  <c r="I108" i="59"/>
  <c r="G108" i="59"/>
  <c r="Q7" i="59"/>
  <c r="Q8" i="59" s="1"/>
  <c r="O7" i="59"/>
  <c r="O8" i="59" s="1"/>
  <c r="N7" i="59"/>
  <c r="N8" i="59" s="1"/>
  <c r="L7" i="59"/>
  <c r="L8" i="59" s="1"/>
  <c r="G66" i="59"/>
  <c r="G98" i="59"/>
  <c r="G104" i="59"/>
  <c r="G50" i="59"/>
  <c r="G44" i="59"/>
  <c r="G46" i="59"/>
  <c r="G48" i="59"/>
  <c r="G42" i="59"/>
  <c r="G36" i="59"/>
  <c r="G38" i="59"/>
  <c r="G34" i="59"/>
  <c r="G32" i="59"/>
  <c r="G26" i="59"/>
  <c r="G10" i="59"/>
  <c r="G8" i="59"/>
  <c r="G6" i="59"/>
  <c r="O6" i="59"/>
  <c r="F6" i="59"/>
  <c r="S8" i="59"/>
  <c r="H8" i="59"/>
  <c r="I8" i="59"/>
  <c r="J8" i="59"/>
  <c r="K8" i="59"/>
  <c r="M8" i="59"/>
  <c r="P8" i="59"/>
  <c r="R8" i="59"/>
  <c r="F8" i="59"/>
  <c r="S66" i="59"/>
  <c r="S98" i="59"/>
  <c r="S104" i="59"/>
  <c r="S102" i="59"/>
  <c r="S82" i="59"/>
  <c r="S50" i="59"/>
  <c r="S44" i="59"/>
  <c r="S46" i="59"/>
  <c r="S48" i="59"/>
  <c r="S42" i="59"/>
  <c r="S36" i="59"/>
  <c r="S38" i="59"/>
  <c r="S34" i="59"/>
  <c r="S32" i="59"/>
  <c r="S28" i="59"/>
  <c r="S26" i="59"/>
  <c r="S10" i="59"/>
  <c r="S6" i="59"/>
  <c r="R66" i="59"/>
  <c r="R98" i="59"/>
  <c r="R104" i="59"/>
  <c r="R102" i="59"/>
  <c r="R82" i="59"/>
  <c r="R50" i="59"/>
  <c r="R44" i="59"/>
  <c r="R46" i="59"/>
  <c r="R48" i="59"/>
  <c r="R42" i="59"/>
  <c r="R36" i="59"/>
  <c r="R38" i="59"/>
  <c r="R34" i="59"/>
  <c r="R32" i="59"/>
  <c r="R28" i="59"/>
  <c r="R26" i="59"/>
  <c r="R10" i="59"/>
  <c r="R6" i="59"/>
  <c r="Q66" i="59"/>
  <c r="Q98" i="59"/>
  <c r="Q104" i="59"/>
  <c r="Q102" i="59"/>
  <c r="Q82" i="59"/>
  <c r="Q50" i="59"/>
  <c r="Q44" i="59"/>
  <c r="Q46" i="59"/>
  <c r="Q48" i="59"/>
  <c r="Q42" i="59"/>
  <c r="Q36" i="59"/>
  <c r="Q38" i="59"/>
  <c r="Q34" i="59"/>
  <c r="Q32" i="59"/>
  <c r="Q28" i="59"/>
  <c r="Q26" i="59"/>
  <c r="Q10" i="59"/>
  <c r="Q6" i="59"/>
  <c r="P66" i="59"/>
  <c r="P98" i="59"/>
  <c r="P104" i="59"/>
  <c r="P102" i="59"/>
  <c r="P82" i="59"/>
  <c r="P50" i="59"/>
  <c r="P44" i="59"/>
  <c r="P46" i="59"/>
  <c r="P48" i="59"/>
  <c r="P42" i="59"/>
  <c r="P36" i="59"/>
  <c r="P38" i="59"/>
  <c r="P34" i="59"/>
  <c r="P32" i="59"/>
  <c r="P28" i="59"/>
  <c r="P26" i="59"/>
  <c r="P10" i="59"/>
  <c r="P6" i="59"/>
  <c r="O66" i="59"/>
  <c r="O98" i="59"/>
  <c r="O104" i="59"/>
  <c r="O102" i="59"/>
  <c r="O82" i="59"/>
  <c r="O50" i="59"/>
  <c r="O44" i="59"/>
  <c r="O46" i="59"/>
  <c r="O48" i="59"/>
  <c r="O42" i="59"/>
  <c r="O38" i="59"/>
  <c r="O10" i="59"/>
  <c r="N66" i="59"/>
  <c r="N98" i="59"/>
  <c r="N104" i="59"/>
  <c r="N102" i="59"/>
  <c r="N50" i="59"/>
  <c r="N44" i="59"/>
  <c r="N46" i="59"/>
  <c r="N48" i="59"/>
  <c r="N42" i="59"/>
  <c r="N38" i="59"/>
  <c r="N10" i="59"/>
  <c r="N6" i="59"/>
  <c r="M66" i="59"/>
  <c r="M98" i="59"/>
  <c r="M104" i="59"/>
  <c r="M102" i="59"/>
  <c r="M82" i="59"/>
  <c r="M50" i="59"/>
  <c r="M44" i="59"/>
  <c r="M46" i="59"/>
  <c r="M48" i="59"/>
  <c r="M42" i="59"/>
  <c r="M36" i="59"/>
  <c r="M38" i="59"/>
  <c r="M34" i="59"/>
  <c r="M32" i="59"/>
  <c r="M28" i="59"/>
  <c r="M26" i="59"/>
  <c r="M10" i="59"/>
  <c r="M6" i="59"/>
  <c r="L66" i="59"/>
  <c r="L98" i="59"/>
  <c r="L104" i="59"/>
  <c r="L102" i="59"/>
  <c r="L82" i="59"/>
  <c r="L50" i="59"/>
  <c r="L44" i="59"/>
  <c r="L46" i="59"/>
  <c r="L48" i="59"/>
  <c r="L42" i="59"/>
  <c r="L36" i="59"/>
  <c r="L38" i="59"/>
  <c r="L34" i="59"/>
  <c r="L32" i="59"/>
  <c r="L28" i="59"/>
  <c r="L26" i="59"/>
  <c r="L10" i="59"/>
  <c r="L6" i="59"/>
  <c r="K66" i="59"/>
  <c r="K98" i="59"/>
  <c r="K104" i="59"/>
  <c r="K102" i="59"/>
  <c r="K82" i="59"/>
  <c r="K50" i="59"/>
  <c r="K44" i="59"/>
  <c r="K46" i="59"/>
  <c r="K48" i="59"/>
  <c r="K42" i="59"/>
  <c r="K36" i="59"/>
  <c r="K38" i="59"/>
  <c r="K34" i="59"/>
  <c r="K32" i="59"/>
  <c r="K28" i="59"/>
  <c r="K26" i="59"/>
  <c r="K10" i="59"/>
  <c r="K6" i="59"/>
  <c r="G80" i="60" l="1"/>
  <c r="G82" i="60" s="1"/>
  <c r="G84" i="60" s="1"/>
  <c r="G86" i="60" s="1"/>
  <c r="G88" i="60" s="1"/>
  <c r="G90" i="60" s="1"/>
  <c r="G92" i="60" s="1"/>
  <c r="G109" i="60"/>
  <c r="D3" i="61" s="1"/>
  <c r="D12" i="61" s="1"/>
  <c r="P110" i="60"/>
  <c r="P111" i="60" s="1"/>
  <c r="D180" i="53" s="1"/>
  <c r="M5" i="61"/>
  <c r="E22" i="61" s="1"/>
  <c r="O110" i="60"/>
  <c r="O111" i="60" s="1"/>
  <c r="D180" i="56" s="1"/>
  <c r="L5" i="61"/>
  <c r="E21" i="61" s="1"/>
  <c r="H110" i="60"/>
  <c r="H111" i="60" s="1"/>
  <c r="D180" i="46" s="1"/>
  <c r="E5" i="61"/>
  <c r="E14" i="61" s="1"/>
  <c r="N110" i="60"/>
  <c r="N111" i="60" s="1"/>
  <c r="D180" i="52" s="1"/>
  <c r="K5" i="61"/>
  <c r="E20" i="61" s="1"/>
  <c r="Q110" i="60"/>
  <c r="Q111" i="60" s="1"/>
  <c r="D180" i="54" s="1"/>
  <c r="N5" i="61"/>
  <c r="E23" i="61" s="1"/>
  <c r="J110" i="60"/>
  <c r="J111" i="60" s="1"/>
  <c r="D180" i="47" s="1"/>
  <c r="G5" i="61"/>
  <c r="E16" i="61" s="1"/>
  <c r="M110" i="60"/>
  <c r="M111" i="60" s="1"/>
  <c r="D180" i="51" s="1"/>
  <c r="J5" i="61"/>
  <c r="E19" i="61" s="1"/>
  <c r="T110" i="60"/>
  <c r="T111" i="60" s="1"/>
  <c r="D180" i="58" s="1"/>
  <c r="Q5" i="61"/>
  <c r="E26" i="61" s="1"/>
  <c r="L110" i="60"/>
  <c r="L111" i="60" s="1"/>
  <c r="D180" i="50" s="1"/>
  <c r="I5" i="61"/>
  <c r="E18" i="61" s="1"/>
  <c r="S110" i="60"/>
  <c r="S111" i="60" s="1"/>
  <c r="D180" i="57" s="1"/>
  <c r="P5" i="61"/>
  <c r="E25" i="61" s="1"/>
  <c r="R110" i="60"/>
  <c r="R111" i="60" s="1"/>
  <c r="D180" i="55" s="1"/>
  <c r="O5" i="61"/>
  <c r="E24" i="61" s="1"/>
  <c r="C11" i="44"/>
  <c r="H108" i="59"/>
  <c r="G45" i="41"/>
  <c r="G44" i="41"/>
  <c r="G43" i="41"/>
  <c r="G42" i="41"/>
  <c r="G41" i="41"/>
  <c r="G40" i="41"/>
  <c r="G39" i="41"/>
  <c r="G38" i="41"/>
  <c r="G37" i="41"/>
  <c r="G36" i="41"/>
  <c r="G35" i="41"/>
  <c r="G34" i="41"/>
  <c r="G33" i="41"/>
  <c r="H26" i="41"/>
  <c r="D179" i="42" s="1"/>
  <c r="K110" i="60"/>
  <c r="K111" i="60" s="1"/>
  <c r="D180" i="49" s="1"/>
  <c r="J66" i="59"/>
  <c r="J98" i="59"/>
  <c r="I98" i="59"/>
  <c r="H98" i="59"/>
  <c r="F98" i="59"/>
  <c r="J104" i="59"/>
  <c r="I104" i="59"/>
  <c r="H104" i="59"/>
  <c r="F104" i="59"/>
  <c r="J102" i="59"/>
  <c r="I102" i="59"/>
  <c r="H102" i="59"/>
  <c r="J82" i="59"/>
  <c r="I82" i="59"/>
  <c r="H82" i="59"/>
  <c r="J50" i="59"/>
  <c r="I50" i="59"/>
  <c r="H50" i="59"/>
  <c r="J44" i="59"/>
  <c r="I44" i="59"/>
  <c r="H44" i="59"/>
  <c r="F44" i="59"/>
  <c r="J46" i="59"/>
  <c r="I46" i="59"/>
  <c r="H46" i="59"/>
  <c r="F46" i="59"/>
  <c r="J48" i="59"/>
  <c r="I48" i="59"/>
  <c r="H48" i="59"/>
  <c r="J42" i="59"/>
  <c r="I42" i="59"/>
  <c r="H42" i="59"/>
  <c r="F42" i="59"/>
  <c r="J36" i="59"/>
  <c r="I36" i="59"/>
  <c r="H36" i="59"/>
  <c r="J38" i="59"/>
  <c r="I38" i="59"/>
  <c r="H38" i="59"/>
  <c r="J34" i="59"/>
  <c r="I34" i="59"/>
  <c r="H34" i="59"/>
  <c r="J32" i="59"/>
  <c r="I32" i="59"/>
  <c r="H32" i="59"/>
  <c r="F32" i="59"/>
  <c r="J28" i="59"/>
  <c r="I28" i="59"/>
  <c r="H28" i="59"/>
  <c r="F28" i="59"/>
  <c r="F107" i="59" s="1"/>
  <c r="J26" i="59"/>
  <c r="I26" i="59"/>
  <c r="H26" i="59"/>
  <c r="J10" i="59"/>
  <c r="I10" i="59"/>
  <c r="H10" i="59"/>
  <c r="J6" i="59"/>
  <c r="I6" i="59"/>
  <c r="H6" i="59"/>
  <c r="G127" i="59" l="1"/>
  <c r="G31" i="41"/>
  <c r="E12" i="41"/>
  <c r="F12" i="41" s="1"/>
  <c r="H12" i="41" s="1"/>
  <c r="E11" i="41"/>
  <c r="F11" i="41" s="1"/>
  <c r="H11" i="41" s="1"/>
  <c r="G120" i="60"/>
  <c r="G128" i="59"/>
  <c r="D179" i="44" s="1"/>
  <c r="D2" i="61"/>
  <c r="I110" i="60"/>
  <c r="I111" i="60" s="1"/>
  <c r="D180" i="45" s="1"/>
  <c r="F5" i="61"/>
  <c r="E15" i="61" s="1"/>
  <c r="I12" i="59"/>
  <c r="I107" i="59" s="1"/>
  <c r="G12" i="59"/>
  <c r="G107" i="59" s="1"/>
  <c r="J12" i="59"/>
  <c r="J107" i="59" s="1"/>
  <c r="S12" i="59"/>
  <c r="S107" i="59" s="1"/>
  <c r="N12" i="59"/>
  <c r="N107" i="59" s="1"/>
  <c r="Q12" i="59"/>
  <c r="Q107" i="59" s="1"/>
  <c r="P12" i="59"/>
  <c r="P107" i="59" s="1"/>
  <c r="R12" i="59"/>
  <c r="R107" i="59" s="1"/>
  <c r="O12" i="59"/>
  <c r="O107" i="59" s="1"/>
  <c r="M12" i="59"/>
  <c r="M107" i="59" s="1"/>
  <c r="H12" i="59"/>
  <c r="H107" i="59" s="1"/>
  <c r="L12" i="59"/>
  <c r="L107" i="59" s="1"/>
  <c r="K12" i="59"/>
  <c r="K107" i="59" s="1"/>
  <c r="P2" i="61" l="1"/>
  <c r="Q2" i="61"/>
  <c r="L2" i="61"/>
  <c r="H2" i="61"/>
  <c r="C17" i="61" s="1"/>
  <c r="F17" i="61" s="1"/>
  <c r="N2" i="61"/>
  <c r="O2" i="61"/>
  <c r="I2" i="61"/>
  <c r="J2" i="61"/>
  <c r="C19" i="61" s="1"/>
  <c r="F19" i="61" s="1"/>
  <c r="K2" i="61"/>
  <c r="E2" i="61"/>
  <c r="M2" i="61"/>
  <c r="G2" i="61"/>
  <c r="G6" i="61" s="1"/>
  <c r="F2" i="61"/>
  <c r="E13" i="61"/>
  <c r="F13" i="61" s="1"/>
  <c r="G121" i="60"/>
  <c r="D180" i="44" s="1"/>
  <c r="C12" i="61"/>
  <c r="I109" i="59"/>
  <c r="D179" i="47" s="1"/>
  <c r="G28" i="41"/>
  <c r="H28" i="41" s="1"/>
  <c r="H32" i="41" l="1"/>
  <c r="D178" i="48" s="1"/>
  <c r="Q109" i="59"/>
  <c r="D179" i="55" s="1"/>
  <c r="P109" i="59"/>
  <c r="D179" i="54" s="1"/>
  <c r="K109" i="59"/>
  <c r="D179" i="50" s="1"/>
  <c r="L109" i="59"/>
  <c r="D179" i="51" s="1"/>
  <c r="C23" i="61"/>
  <c r="F23" i="61" s="1"/>
  <c r="N6" i="61"/>
  <c r="M109" i="59"/>
  <c r="D179" i="52" s="1"/>
  <c r="N109" i="59"/>
  <c r="D179" i="56" s="1"/>
  <c r="H31" i="41"/>
  <c r="I6" i="61"/>
  <c r="C18" i="61"/>
  <c r="F18" i="61" s="1"/>
  <c r="G109" i="59"/>
  <c r="D179" i="46" s="1"/>
  <c r="J109" i="59"/>
  <c r="D179" i="49" s="1"/>
  <c r="H109" i="59"/>
  <c r="D179" i="45" s="1"/>
  <c r="R109" i="59"/>
  <c r="D179" i="57" s="1"/>
  <c r="O109" i="59"/>
  <c r="D179" i="53" s="1"/>
  <c r="S109" i="59"/>
  <c r="D179" i="58" s="1"/>
  <c r="C24" i="61"/>
  <c r="F24" i="61" s="1"/>
  <c r="O6" i="61"/>
  <c r="C20" i="61"/>
  <c r="F20" i="61" s="1"/>
  <c r="K6" i="61"/>
  <c r="L6" i="61"/>
  <c r="C21" i="61"/>
  <c r="F21" i="61" s="1"/>
  <c r="C14" i="61"/>
  <c r="F14" i="61" s="1"/>
  <c r="E6" i="61"/>
  <c r="C26" i="61"/>
  <c r="F26" i="61" s="1"/>
  <c r="Q6" i="61"/>
  <c r="M6" i="61"/>
  <c r="C22" i="61"/>
  <c r="F22" i="61" s="1"/>
  <c r="F6" i="61"/>
  <c r="C15" i="61"/>
  <c r="F15" i="61" s="1"/>
  <c r="C25" i="61"/>
  <c r="F25" i="61" s="1"/>
  <c r="P6" i="61"/>
  <c r="J6" i="61"/>
  <c r="C16" i="61"/>
  <c r="F16" i="61" s="1"/>
  <c r="H6" i="61"/>
  <c r="D76" i="47"/>
  <c r="D74" i="47"/>
  <c r="C73" i="47"/>
  <c r="D72" i="47"/>
  <c r="C69" i="47"/>
  <c r="D70" i="47" s="1"/>
  <c r="D76" i="49"/>
  <c r="D74" i="49"/>
  <c r="C73" i="49"/>
  <c r="D72" i="49"/>
  <c r="C69" i="49"/>
  <c r="D70" i="49" s="1"/>
  <c r="D71" i="49" s="1"/>
  <c r="D69" i="49" s="1"/>
  <c r="D76" i="52"/>
  <c r="D74" i="52"/>
  <c r="C73" i="52"/>
  <c r="D72" i="52"/>
  <c r="C69" i="52"/>
  <c r="D70" i="52" s="1"/>
  <c r="D76" i="51"/>
  <c r="D74" i="51"/>
  <c r="C73" i="51"/>
  <c r="D72" i="51"/>
  <c r="C69" i="51"/>
  <c r="D70" i="51" s="1"/>
  <c r="D76" i="46"/>
  <c r="D74" i="46"/>
  <c r="C73" i="46"/>
  <c r="D72" i="46"/>
  <c r="C69" i="46"/>
  <c r="D70" i="46" s="1"/>
  <c r="D76" i="55"/>
  <c r="D74" i="55"/>
  <c r="C73" i="55"/>
  <c r="D72" i="55"/>
  <c r="C69" i="55"/>
  <c r="D70" i="55" s="1"/>
  <c r="D76" i="53"/>
  <c r="D74" i="53"/>
  <c r="C73" i="53"/>
  <c r="D72" i="53"/>
  <c r="C69" i="53"/>
  <c r="D70" i="53" s="1"/>
  <c r="D76" i="54"/>
  <c r="D74" i="54"/>
  <c r="C73" i="54"/>
  <c r="D72" i="54"/>
  <c r="C69" i="54"/>
  <c r="D70" i="54" s="1"/>
  <c r="D76" i="58"/>
  <c r="D74" i="58"/>
  <c r="C73" i="58"/>
  <c r="D72" i="58"/>
  <c r="C69" i="58"/>
  <c r="D70" i="58" s="1"/>
  <c r="D76" i="57"/>
  <c r="D74" i="57"/>
  <c r="C73" i="57"/>
  <c r="D72" i="57"/>
  <c r="C69" i="57"/>
  <c r="D70" i="57" s="1"/>
  <c r="D76" i="56"/>
  <c r="D74" i="56"/>
  <c r="C73" i="56"/>
  <c r="D72" i="56"/>
  <c r="C69" i="56"/>
  <c r="D70" i="56" s="1"/>
  <c r="D76" i="50"/>
  <c r="D74" i="50"/>
  <c r="C73" i="50"/>
  <c r="D72" i="50"/>
  <c r="C69" i="50"/>
  <c r="D70" i="50" s="1"/>
  <c r="C32" i="50"/>
  <c r="C36" i="50"/>
  <c r="C37" i="50"/>
  <c r="D76" i="45"/>
  <c r="D74" i="45"/>
  <c r="C73" i="45"/>
  <c r="D72" i="45"/>
  <c r="D70" i="45"/>
  <c r="C11" i="42"/>
  <c r="B214" i="42" s="1"/>
  <c r="C11" i="47"/>
  <c r="B214" i="47" s="1"/>
  <c r="C11" i="49"/>
  <c r="B214" i="49" s="1"/>
  <c r="C11" i="52"/>
  <c r="B214" i="52" s="1"/>
  <c r="C11" i="51"/>
  <c r="B214" i="51" s="1"/>
  <c r="C11" i="46"/>
  <c r="B214" i="46" s="1"/>
  <c r="C11" i="55"/>
  <c r="B214" i="55" s="1"/>
  <c r="C11" i="53"/>
  <c r="B214" i="53" s="1"/>
  <c r="C11" i="54"/>
  <c r="B215" i="54" s="1"/>
  <c r="C11" i="58"/>
  <c r="B215" i="58" s="1"/>
  <c r="C11" i="50"/>
  <c r="B215" i="50" s="1"/>
  <c r="C11" i="57"/>
  <c r="B215" i="57" s="1"/>
  <c r="C11" i="56"/>
  <c r="B215" i="56" s="1"/>
  <c r="C198" i="58"/>
  <c r="C192" i="58"/>
  <c r="C190" i="58"/>
  <c r="C153" i="58"/>
  <c r="C162" i="58" s="1"/>
  <c r="C152" i="58"/>
  <c r="C163" i="58" s="1"/>
  <c r="C151" i="58"/>
  <c r="C150" i="58"/>
  <c r="C149" i="58"/>
  <c r="C148" i="58"/>
  <c r="C141" i="58"/>
  <c r="C120" i="58"/>
  <c r="C119" i="58"/>
  <c r="C109" i="58"/>
  <c r="C105" i="58"/>
  <c r="C104" i="58"/>
  <c r="C102" i="58"/>
  <c r="C94" i="58"/>
  <c r="C91" i="58"/>
  <c r="C90" i="58"/>
  <c r="D67" i="58"/>
  <c r="C63" i="58"/>
  <c r="C135" i="58" s="1"/>
  <c r="C50" i="58"/>
  <c r="D43" i="58"/>
  <c r="C37" i="58"/>
  <c r="C36" i="58"/>
  <c r="C32" i="58"/>
  <c r="C27" i="58"/>
  <c r="C12" i="58"/>
  <c r="C198" i="57"/>
  <c r="C192" i="57"/>
  <c r="C190" i="57"/>
  <c r="C153" i="57"/>
  <c r="C162" i="57" s="1"/>
  <c r="C152" i="57"/>
  <c r="C151" i="57"/>
  <c r="C150" i="57"/>
  <c r="C149" i="57"/>
  <c r="C148" i="57"/>
  <c r="C141" i="57"/>
  <c r="C120" i="57"/>
  <c r="C119" i="57"/>
  <c r="C109" i="57"/>
  <c r="C105" i="57"/>
  <c r="C104" i="57"/>
  <c r="C102" i="57"/>
  <c r="C94" i="57"/>
  <c r="C91" i="57"/>
  <c r="C90" i="57"/>
  <c r="D67" i="57"/>
  <c r="C63" i="57"/>
  <c r="C135" i="57" s="1"/>
  <c r="C50" i="57"/>
  <c r="D43" i="57"/>
  <c r="C37" i="57"/>
  <c r="C36" i="57"/>
  <c r="C32" i="57"/>
  <c r="C27" i="57"/>
  <c r="C12" i="57"/>
  <c r="C131" i="57" s="1"/>
  <c r="C11" i="45"/>
  <c r="B215" i="45" s="1"/>
  <c r="C12" i="45"/>
  <c r="C12" i="47"/>
  <c r="C12" i="49"/>
  <c r="C12" i="52"/>
  <c r="C12" i="51"/>
  <c r="C12" i="46"/>
  <c r="C12" i="55"/>
  <c r="C12" i="54"/>
  <c r="C12" i="53"/>
  <c r="C12" i="56"/>
  <c r="C12" i="50"/>
  <c r="D76" i="44"/>
  <c r="D74" i="44"/>
  <c r="C73" i="44"/>
  <c r="D72" i="44"/>
  <c r="D76" i="43"/>
  <c r="D74" i="43"/>
  <c r="C73" i="43"/>
  <c r="D72" i="43"/>
  <c r="D76" i="48"/>
  <c r="D74" i="48"/>
  <c r="C73" i="48"/>
  <c r="D72" i="48"/>
  <c r="D76" i="42"/>
  <c r="D74" i="42"/>
  <c r="C73" i="42"/>
  <c r="D72" i="42"/>
  <c r="C73" i="40"/>
  <c r="D73" i="57" l="1"/>
  <c r="D178" i="43"/>
  <c r="D178" i="40"/>
  <c r="D178" i="44"/>
  <c r="D178" i="42"/>
  <c r="C154" i="57"/>
  <c r="C160" i="57" s="1"/>
  <c r="C154" i="58"/>
  <c r="C160" i="58" s="1"/>
  <c r="D73" i="58"/>
  <c r="D5" i="61"/>
  <c r="E12" i="61" s="1"/>
  <c r="C199" i="58"/>
  <c r="C199" i="57"/>
  <c r="D71" i="47"/>
  <c r="D69" i="47" s="1"/>
  <c r="D71" i="52"/>
  <c r="D69" i="52" s="1"/>
  <c r="D71" i="51"/>
  <c r="D69" i="51" s="1"/>
  <c r="D71" i="46"/>
  <c r="D69" i="46" s="1"/>
  <c r="D71" i="55"/>
  <c r="D69" i="55" s="1"/>
  <c r="D71" i="53"/>
  <c r="D69" i="53" s="1"/>
  <c r="D71" i="54"/>
  <c r="D69" i="54" s="1"/>
  <c r="D71" i="58"/>
  <c r="D69" i="58" s="1"/>
  <c r="C81" i="58"/>
  <c r="C142" i="58"/>
  <c r="D71" i="57"/>
  <c r="D69" i="57" s="1"/>
  <c r="D71" i="56"/>
  <c r="D69" i="56" s="1"/>
  <c r="D71" i="50"/>
  <c r="D69" i="50" s="1"/>
  <c r="D71" i="45"/>
  <c r="D69" i="45" s="1"/>
  <c r="C161" i="58"/>
  <c r="C97" i="58"/>
  <c r="C124" i="58"/>
  <c r="C164" i="58"/>
  <c r="C51" i="58"/>
  <c r="C98" i="58"/>
  <c r="C96" i="58" s="1"/>
  <c r="C89" i="58"/>
  <c r="C106" i="58"/>
  <c r="D27" i="58"/>
  <c r="C131" i="58"/>
  <c r="C157" i="58"/>
  <c r="C161" i="57"/>
  <c r="C163" i="57"/>
  <c r="C97" i="57"/>
  <c r="C142" i="57"/>
  <c r="C124" i="57"/>
  <c r="C164" i="57"/>
  <c r="C51" i="57"/>
  <c r="C98" i="57"/>
  <c r="C96" i="57" s="1"/>
  <c r="C106" i="57"/>
  <c r="C89" i="57"/>
  <c r="D27" i="57"/>
  <c r="D42" i="57" s="1"/>
  <c r="D45" i="57" s="1"/>
  <c r="C81" i="57"/>
  <c r="C157" i="57"/>
  <c r="F12" i="61" l="1"/>
  <c r="D6" i="61"/>
  <c r="F109" i="59"/>
  <c r="G111" i="60"/>
  <c r="H33" i="41"/>
  <c r="D178" i="45" s="1"/>
  <c r="H41" i="41"/>
  <c r="D178" i="46" s="1"/>
  <c r="H34" i="41"/>
  <c r="D178" i="50" s="1"/>
  <c r="H42" i="41"/>
  <c r="D178" i="51" s="1"/>
  <c r="H35" i="41"/>
  <c r="D178" i="56" s="1"/>
  <c r="H43" i="41"/>
  <c r="D178" i="52" s="1"/>
  <c r="H36" i="41"/>
  <c r="D178" i="57" s="1"/>
  <c r="H44" i="41"/>
  <c r="D178" i="49" s="1"/>
  <c r="H40" i="41"/>
  <c r="D178" i="55" s="1"/>
  <c r="H37" i="41"/>
  <c r="D178" i="58" s="1"/>
  <c r="H45" i="41"/>
  <c r="D178" i="47" s="1"/>
  <c r="H38" i="41"/>
  <c r="H39" i="41"/>
  <c r="D178" i="53" s="1"/>
  <c r="D161" i="58"/>
  <c r="D161" i="57"/>
  <c r="D28" i="58"/>
  <c r="D29" i="58"/>
  <c r="D68" i="58"/>
  <c r="D66" i="58" s="1"/>
  <c r="C52" i="58"/>
  <c r="C80" i="58" s="1"/>
  <c r="D42" i="58"/>
  <c r="D45" i="58" s="1"/>
  <c r="C52" i="57"/>
  <c r="C80" i="57" s="1"/>
  <c r="D68" i="57"/>
  <c r="D66" i="57" s="1"/>
  <c r="D29" i="57"/>
  <c r="D28" i="57"/>
  <c r="D179" i="40" l="1"/>
  <c r="D179" i="43"/>
  <c r="D180" i="43"/>
  <c r="D180" i="40"/>
  <c r="D178" i="54"/>
  <c r="D35" i="58"/>
  <c r="D34" i="57"/>
  <c r="D31" i="57"/>
  <c r="D34" i="58"/>
  <c r="D31" i="58"/>
  <c r="D36" i="57"/>
  <c r="D36" i="58"/>
  <c r="D32" i="57"/>
  <c r="D37" i="58"/>
  <c r="D32" i="58"/>
  <c r="D160" i="58"/>
  <c r="D35" i="57"/>
  <c r="D160" i="57"/>
  <c r="D37" i="57"/>
  <c r="D183" i="43" l="1"/>
  <c r="D30" i="58"/>
  <c r="D33" i="58"/>
  <c r="D39" i="58" s="1"/>
  <c r="D75" i="58" s="1"/>
  <c r="D30" i="57"/>
  <c r="D33" i="57"/>
  <c r="D39" i="57" l="1"/>
  <c r="D75" i="57" s="1"/>
  <c r="D162" i="57"/>
  <c r="D203" i="58"/>
  <c r="D140" i="58"/>
  <c r="D89" i="58"/>
  <c r="D98" i="58"/>
  <c r="D96" i="58"/>
  <c r="D97" i="58"/>
  <c r="D50" i="58"/>
  <c r="C132" i="58"/>
  <c r="D103" i="58"/>
  <c r="D162" i="58"/>
  <c r="C114" i="58"/>
  <c r="D137" i="58"/>
  <c r="C138" i="58" s="1"/>
  <c r="D51" i="58"/>
  <c r="C134" i="58" s="1"/>
  <c r="D134" i="58" s="1"/>
  <c r="D132" i="58"/>
  <c r="C45" i="58"/>
  <c r="C69" i="44"/>
  <c r="C66" i="44"/>
  <c r="C69" i="48"/>
  <c r="C66" i="48"/>
  <c r="C69" i="43"/>
  <c r="C66" i="43"/>
  <c r="C69" i="42"/>
  <c r="C66" i="42"/>
  <c r="D51" i="57" l="1"/>
  <c r="C134" i="57" s="1"/>
  <c r="D134" i="57" s="1"/>
  <c r="C45" i="57"/>
  <c r="D132" i="57"/>
  <c r="D98" i="57"/>
  <c r="D137" i="57"/>
  <c r="C138" i="57" s="1"/>
  <c r="C132" i="57"/>
  <c r="D97" i="57"/>
  <c r="D140" i="57"/>
  <c r="D157" i="57" s="1"/>
  <c r="D203" i="57"/>
  <c r="C114" i="57"/>
  <c r="D114" i="57" s="1"/>
  <c r="D103" i="57"/>
  <c r="D96" i="57"/>
  <c r="D89" i="57"/>
  <c r="D90" i="57" s="1"/>
  <c r="D50" i="57"/>
  <c r="C133" i="57" s="1"/>
  <c r="D133" i="57" s="1"/>
  <c r="D77" i="58"/>
  <c r="D143" i="58" s="1"/>
  <c r="C143" i="58" s="1"/>
  <c r="D77" i="57"/>
  <c r="D52" i="58"/>
  <c r="C133" i="58"/>
  <c r="D133" i="58" s="1"/>
  <c r="D135" i="58" s="1"/>
  <c r="C115" i="58"/>
  <c r="D115" i="58" s="1"/>
  <c r="D114" i="58"/>
  <c r="D141" i="58"/>
  <c r="D159" i="58" s="1"/>
  <c r="D158" i="58"/>
  <c r="D157" i="58"/>
  <c r="D95" i="58"/>
  <c r="D90" i="58"/>
  <c r="D92" i="58" s="1"/>
  <c r="D91" i="58"/>
  <c r="D105" i="58"/>
  <c r="D104" i="58"/>
  <c r="D106" i="58" s="1"/>
  <c r="D135" i="57" l="1"/>
  <c r="D52" i="57"/>
  <c r="D56" i="57" s="1"/>
  <c r="D95" i="57"/>
  <c r="D94" i="57" s="1"/>
  <c r="D93" i="57" s="1"/>
  <c r="D141" i="57"/>
  <c r="D159" i="57" s="1"/>
  <c r="D158" i="57"/>
  <c r="C115" i="57"/>
  <c r="D115" i="57" s="1"/>
  <c r="D116" i="57" s="1"/>
  <c r="D125" i="57" s="1"/>
  <c r="D92" i="57"/>
  <c r="D104" i="57"/>
  <c r="D106" i="57" s="1"/>
  <c r="D105" i="57"/>
  <c r="D91" i="57"/>
  <c r="C116" i="58"/>
  <c r="D116" i="58"/>
  <c r="D125" i="58" s="1"/>
  <c r="D107" i="58"/>
  <c r="D102" i="58" s="1"/>
  <c r="D82" i="58"/>
  <c r="C82" i="58"/>
  <c r="D143" i="57"/>
  <c r="C143" i="57" s="1"/>
  <c r="D107" i="57"/>
  <c r="D82" i="57"/>
  <c r="C82" i="57"/>
  <c r="D110" i="58"/>
  <c r="D109" i="58" s="1"/>
  <c r="D108" i="58" s="1"/>
  <c r="D94" i="58"/>
  <c r="D93" i="58" s="1"/>
  <c r="D88" i="58"/>
  <c r="D142" i="58"/>
  <c r="D164" i="58" s="1"/>
  <c r="D80" i="58"/>
  <c r="D55" i="58"/>
  <c r="D60" i="58"/>
  <c r="D56" i="58"/>
  <c r="D58" i="58"/>
  <c r="D62" i="58"/>
  <c r="D59" i="58"/>
  <c r="D57" i="58"/>
  <c r="D61" i="58"/>
  <c r="D142" i="57" l="1"/>
  <c r="D164" i="57" s="1"/>
  <c r="D110" i="57"/>
  <c r="D109" i="57" s="1"/>
  <c r="D108" i="57" s="1"/>
  <c r="D55" i="57"/>
  <c r="D60" i="57"/>
  <c r="D58" i="57"/>
  <c r="D59" i="57"/>
  <c r="D61" i="57"/>
  <c r="D80" i="57"/>
  <c r="D62" i="57"/>
  <c r="D123" i="57"/>
  <c r="D57" i="57"/>
  <c r="C116" i="57"/>
  <c r="D88" i="57"/>
  <c r="D99" i="57" s="1"/>
  <c r="D119" i="57" s="1"/>
  <c r="D102" i="57"/>
  <c r="D123" i="58"/>
  <c r="D99" i="58"/>
  <c r="D119" i="58" s="1"/>
  <c r="D111" i="58"/>
  <c r="D120" i="58" s="1"/>
  <c r="D63" i="58"/>
  <c r="D81" i="58" s="1"/>
  <c r="D83" i="58" s="1"/>
  <c r="D163" i="58"/>
  <c r="D165" i="58" s="1"/>
  <c r="C165" i="58" s="1"/>
  <c r="D121" i="58" l="1"/>
  <c r="D122" i="58" s="1"/>
  <c r="D124" i="58" s="1"/>
  <c r="D144" i="58" s="1"/>
  <c r="D111" i="57"/>
  <c r="D120" i="57" s="1"/>
  <c r="D121" i="57" s="1"/>
  <c r="D122" i="57" s="1"/>
  <c r="D124" i="57" s="1"/>
  <c r="D144" i="57" s="1"/>
  <c r="D163" i="57"/>
  <c r="D165" i="57" s="1"/>
  <c r="C165" i="57" s="1"/>
  <c r="D63" i="57"/>
  <c r="D81" i="57" s="1"/>
  <c r="D83" i="57" s="1"/>
  <c r="D204" i="57" s="1"/>
  <c r="D204" i="58"/>
  <c r="C136" i="58" l="1"/>
  <c r="D136" i="58" s="1"/>
  <c r="D131" i="58" s="1"/>
  <c r="D138" i="58" s="1"/>
  <c r="D170" i="58" s="1"/>
  <c r="D126" i="58"/>
  <c r="D205" i="58" s="1"/>
  <c r="D145" i="57"/>
  <c r="D151" i="57" s="1"/>
  <c r="C144" i="57"/>
  <c r="D126" i="57"/>
  <c r="D205" i="57" s="1"/>
  <c r="C136" i="57"/>
  <c r="D136" i="57" s="1"/>
  <c r="D131" i="57" s="1"/>
  <c r="D138" i="57" s="1"/>
  <c r="D170" i="57" s="1"/>
  <c r="C144" i="58"/>
  <c r="D145" i="58"/>
  <c r="D153" i="57" l="1"/>
  <c r="C145" i="57"/>
  <c r="D152" i="57"/>
  <c r="D148" i="57"/>
  <c r="D150" i="57"/>
  <c r="D149" i="57"/>
  <c r="C145" i="58"/>
  <c r="D153" i="58"/>
  <c r="D149" i="58"/>
  <c r="D150" i="58"/>
  <c r="D152" i="58"/>
  <c r="D148" i="58"/>
  <c r="D151" i="58"/>
  <c r="D154" i="57" l="1"/>
  <c r="D167" i="57" s="1"/>
  <c r="C167" i="57" s="1"/>
  <c r="D154" i="58"/>
  <c r="D167" i="58" s="1"/>
  <c r="C167" i="58" s="1"/>
  <c r="D171" i="57" l="1"/>
  <c r="D172" i="57" s="1"/>
  <c r="D206" i="57" s="1"/>
  <c r="D171" i="58"/>
  <c r="D172" i="58" s="1"/>
  <c r="D206" i="58" s="1"/>
  <c r="C12" i="44" l="1"/>
  <c r="C12" i="43"/>
  <c r="C12" i="48"/>
  <c r="C12" i="42"/>
  <c r="D19" i="44"/>
  <c r="D19" i="43"/>
  <c r="D19" i="48"/>
  <c r="C51" i="40" l="1"/>
  <c r="D74" i="40"/>
  <c r="D72" i="40"/>
  <c r="F5" i="41" l="1"/>
  <c r="H5" i="41" s="1"/>
  <c r="C192" i="56" l="1"/>
  <c r="C190" i="56"/>
  <c r="C191" i="55"/>
  <c r="C189" i="55"/>
  <c r="C192" i="54"/>
  <c r="C190" i="54"/>
  <c r="C191" i="53"/>
  <c r="C189" i="53"/>
  <c r="C191" i="52"/>
  <c r="C189" i="52"/>
  <c r="C191" i="51"/>
  <c r="C189" i="51"/>
  <c r="C192" i="50"/>
  <c r="C190" i="50"/>
  <c r="C191" i="49"/>
  <c r="C189" i="49"/>
  <c r="C192" i="48"/>
  <c r="C190" i="48"/>
  <c r="C191" i="47"/>
  <c r="C189" i="47"/>
  <c r="C192" i="45"/>
  <c r="C190" i="45"/>
  <c r="C191" i="46"/>
  <c r="C189" i="46"/>
  <c r="C190" i="44"/>
  <c r="C192" i="44"/>
  <c r="C190" i="43"/>
  <c r="C192" i="43"/>
  <c r="C191" i="42" l="1"/>
  <c r="C189" i="42"/>
  <c r="C27" i="56"/>
  <c r="C27" i="55"/>
  <c r="D27" i="55" s="1"/>
  <c r="D68" i="55" s="1"/>
  <c r="C27" i="54"/>
  <c r="D27" i="54" s="1"/>
  <c r="C27" i="53"/>
  <c r="C27" i="52"/>
  <c r="C27" i="51"/>
  <c r="C27" i="50"/>
  <c r="C27" i="49"/>
  <c r="C27" i="48"/>
  <c r="C27" i="47"/>
  <c r="C27" i="45"/>
  <c r="D27" i="45" s="1"/>
  <c r="D27" i="46"/>
  <c r="C27" i="44"/>
  <c r="D27" i="44" s="1"/>
  <c r="C27" i="43"/>
  <c r="D27" i="43" s="1"/>
  <c r="C27" i="42"/>
  <c r="C198" i="56"/>
  <c r="C199" i="56" s="1"/>
  <c r="C153" i="56"/>
  <c r="C152" i="56"/>
  <c r="D73" i="56" s="1"/>
  <c r="C151" i="56"/>
  <c r="C150" i="56"/>
  <c r="C149" i="56"/>
  <c r="C148" i="56"/>
  <c r="C141" i="56"/>
  <c r="C131" i="56"/>
  <c r="C124" i="56"/>
  <c r="C120" i="56"/>
  <c r="C119" i="56"/>
  <c r="C109" i="56"/>
  <c r="C105" i="56"/>
  <c r="C104" i="56"/>
  <c r="C102" i="56"/>
  <c r="C98" i="56"/>
  <c r="C96" i="56" s="1"/>
  <c r="C97" i="56"/>
  <c r="C94" i="56"/>
  <c r="C91" i="56"/>
  <c r="C90" i="56"/>
  <c r="C89" i="56"/>
  <c r="D67" i="56"/>
  <c r="C63" i="56"/>
  <c r="C142" i="56" s="1"/>
  <c r="C51" i="56"/>
  <c r="C50" i="56"/>
  <c r="D43" i="56"/>
  <c r="C37" i="56"/>
  <c r="C36" i="56"/>
  <c r="C32" i="56"/>
  <c r="C197" i="55"/>
  <c r="C198" i="55" s="1"/>
  <c r="C153" i="55"/>
  <c r="C164" i="55" s="1"/>
  <c r="C152" i="55"/>
  <c r="D73" i="55" s="1"/>
  <c r="C151" i="55"/>
  <c r="C150" i="55"/>
  <c r="C149" i="55"/>
  <c r="C148" i="55"/>
  <c r="C141" i="55"/>
  <c r="C131" i="55"/>
  <c r="C124" i="55"/>
  <c r="C120" i="55"/>
  <c r="C119" i="55"/>
  <c r="C109" i="55"/>
  <c r="C105" i="55"/>
  <c r="C104" i="55"/>
  <c r="C102" i="55"/>
  <c r="C98" i="55"/>
  <c r="C96" i="55" s="1"/>
  <c r="C97" i="55"/>
  <c r="C94" i="55"/>
  <c r="C91" i="55"/>
  <c r="C90" i="55"/>
  <c r="C89" i="55"/>
  <c r="D67" i="55"/>
  <c r="C63" i="55"/>
  <c r="C142" i="55" s="1"/>
  <c r="C51" i="55"/>
  <c r="C50" i="55"/>
  <c r="D43" i="55"/>
  <c r="C37" i="55"/>
  <c r="C36" i="55"/>
  <c r="C32" i="55"/>
  <c r="C198" i="54"/>
  <c r="C199" i="54" s="1"/>
  <c r="C153" i="54"/>
  <c r="C152" i="54"/>
  <c r="D73" i="54" s="1"/>
  <c r="C151" i="54"/>
  <c r="C150" i="54"/>
  <c r="C149" i="54"/>
  <c r="C148" i="54"/>
  <c r="C141" i="54"/>
  <c r="C131" i="54"/>
  <c r="C124" i="54"/>
  <c r="C120" i="54"/>
  <c r="C119" i="54"/>
  <c r="C109" i="54"/>
  <c r="C105" i="54"/>
  <c r="C104" i="54"/>
  <c r="C102" i="54"/>
  <c r="C98" i="54"/>
  <c r="C96" i="54" s="1"/>
  <c r="C97" i="54"/>
  <c r="C94" i="54"/>
  <c r="C91" i="54"/>
  <c r="C90" i="54"/>
  <c r="C89" i="54"/>
  <c r="D67" i="54"/>
  <c r="C63" i="54"/>
  <c r="C142" i="54" s="1"/>
  <c r="C51" i="54"/>
  <c r="C50" i="54"/>
  <c r="D43" i="54"/>
  <c r="C37" i="54"/>
  <c r="C36" i="54"/>
  <c r="C32" i="54"/>
  <c r="C197" i="53"/>
  <c r="C198" i="53" s="1"/>
  <c r="C153" i="53"/>
  <c r="C164" i="53" s="1"/>
  <c r="C152" i="53"/>
  <c r="C151" i="53"/>
  <c r="C150" i="53"/>
  <c r="C149" i="53"/>
  <c r="C148" i="53"/>
  <c r="C141" i="53"/>
  <c r="C131" i="53"/>
  <c r="C124" i="53"/>
  <c r="C120" i="53"/>
  <c r="C119" i="53"/>
  <c r="C109" i="53"/>
  <c r="C105" i="53"/>
  <c r="C104" i="53"/>
  <c r="C102" i="53"/>
  <c r="C98" i="53"/>
  <c r="C96" i="53" s="1"/>
  <c r="C97" i="53"/>
  <c r="C94" i="53"/>
  <c r="C91" i="53"/>
  <c r="C90" i="53"/>
  <c r="C89" i="53"/>
  <c r="D67" i="53"/>
  <c r="C63" i="53"/>
  <c r="C135" i="53" s="1"/>
  <c r="C51" i="53"/>
  <c r="C50" i="53"/>
  <c r="D43" i="53"/>
  <c r="C37" i="53"/>
  <c r="C36" i="53"/>
  <c r="C32" i="53"/>
  <c r="C197" i="52"/>
  <c r="C198" i="52" s="1"/>
  <c r="C153" i="52"/>
  <c r="C164" i="52" s="1"/>
  <c r="C152" i="52"/>
  <c r="D73" i="52" s="1"/>
  <c r="C151" i="52"/>
  <c r="C150" i="52"/>
  <c r="C149" i="52"/>
  <c r="C148" i="52"/>
  <c r="C141" i="52"/>
  <c r="C131" i="52"/>
  <c r="C124" i="52"/>
  <c r="C120" i="52"/>
  <c r="C119" i="52"/>
  <c r="C109" i="52"/>
  <c r="C105" i="52"/>
  <c r="C104" i="52"/>
  <c r="C102" i="52"/>
  <c r="C98" i="52"/>
  <c r="C96" i="52" s="1"/>
  <c r="C97" i="52"/>
  <c r="C94" i="52"/>
  <c r="C91" i="52"/>
  <c r="C90" i="52"/>
  <c r="C89" i="52"/>
  <c r="D67" i="52"/>
  <c r="C63" i="52"/>
  <c r="C135" i="52" s="1"/>
  <c r="C51" i="52"/>
  <c r="C50" i="52"/>
  <c r="D43" i="52"/>
  <c r="C37" i="52"/>
  <c r="C36" i="52"/>
  <c r="C32" i="52"/>
  <c r="C197" i="51"/>
  <c r="C198" i="51" s="1"/>
  <c r="C153" i="51"/>
  <c r="C164" i="51" s="1"/>
  <c r="C152" i="51"/>
  <c r="D73" i="51" s="1"/>
  <c r="C151" i="51"/>
  <c r="C150" i="51"/>
  <c r="C149" i="51"/>
  <c r="C148" i="51"/>
  <c r="C141" i="51"/>
  <c r="C131" i="51"/>
  <c r="C124" i="51"/>
  <c r="C120" i="51"/>
  <c r="C119" i="51"/>
  <c r="C109" i="51"/>
  <c r="C105" i="51"/>
  <c r="C104" i="51"/>
  <c r="C102" i="51"/>
  <c r="C98" i="51"/>
  <c r="C96" i="51" s="1"/>
  <c r="C97" i="51"/>
  <c r="C94" i="51"/>
  <c r="C91" i="51"/>
  <c r="C90" i="51"/>
  <c r="C89" i="51"/>
  <c r="D67" i="51"/>
  <c r="C63" i="51"/>
  <c r="C142" i="51" s="1"/>
  <c r="C51" i="51"/>
  <c r="C50" i="51"/>
  <c r="D43" i="51"/>
  <c r="C37" i="51"/>
  <c r="C36" i="51"/>
  <c r="C32" i="51"/>
  <c r="C198" i="50"/>
  <c r="C199" i="50" s="1"/>
  <c r="C153" i="50"/>
  <c r="C164" i="50" s="1"/>
  <c r="C152" i="50"/>
  <c r="D73" i="50" s="1"/>
  <c r="C151" i="50"/>
  <c r="C150" i="50"/>
  <c r="C149" i="50"/>
  <c r="C148" i="50"/>
  <c r="C141" i="50"/>
  <c r="C131" i="50"/>
  <c r="C124" i="50"/>
  <c r="C120" i="50"/>
  <c r="C119" i="50"/>
  <c r="C109" i="50"/>
  <c r="C105" i="50"/>
  <c r="C104" i="50"/>
  <c r="C102" i="50"/>
  <c r="C98" i="50"/>
  <c r="C96" i="50" s="1"/>
  <c r="C97" i="50"/>
  <c r="C94" i="50"/>
  <c r="C91" i="50"/>
  <c r="C90" i="50"/>
  <c r="C89" i="50"/>
  <c r="D67" i="50"/>
  <c r="C63" i="50"/>
  <c r="C142" i="50" s="1"/>
  <c r="C51" i="50"/>
  <c r="C50" i="50"/>
  <c r="D43" i="50"/>
  <c r="C197" i="49"/>
  <c r="C198" i="49" s="1"/>
  <c r="C153" i="49"/>
  <c r="C164" i="49" s="1"/>
  <c r="C152" i="49"/>
  <c r="C151" i="49"/>
  <c r="C150" i="49"/>
  <c r="C149" i="49"/>
  <c r="C148" i="49"/>
  <c r="C141" i="49"/>
  <c r="C131" i="49"/>
  <c r="C124" i="49"/>
  <c r="C120" i="49"/>
  <c r="C119" i="49"/>
  <c r="C109" i="49"/>
  <c r="C105" i="49"/>
  <c r="C104" i="49"/>
  <c r="C102" i="49"/>
  <c r="C98" i="49"/>
  <c r="C96" i="49" s="1"/>
  <c r="C97" i="49"/>
  <c r="C94" i="49"/>
  <c r="C91" i="49"/>
  <c r="C90" i="49"/>
  <c r="C89" i="49"/>
  <c r="D67" i="49"/>
  <c r="C63" i="49"/>
  <c r="C142" i="49" s="1"/>
  <c r="C51" i="49"/>
  <c r="C50" i="49"/>
  <c r="D43" i="49"/>
  <c r="C37" i="49"/>
  <c r="C36" i="49"/>
  <c r="C32" i="49"/>
  <c r="C198" i="48"/>
  <c r="C199" i="48" s="1"/>
  <c r="C153" i="48"/>
  <c r="C164" i="48" s="1"/>
  <c r="C152" i="48"/>
  <c r="C151" i="48"/>
  <c r="C150" i="48"/>
  <c r="C149" i="48"/>
  <c r="C148" i="48"/>
  <c r="C141" i="48"/>
  <c r="C131" i="48"/>
  <c r="C124" i="48"/>
  <c r="C120" i="48"/>
  <c r="C119" i="48"/>
  <c r="C109" i="48"/>
  <c r="C105" i="48"/>
  <c r="C104" i="48"/>
  <c r="C102" i="48"/>
  <c r="C98" i="48"/>
  <c r="C96" i="48" s="1"/>
  <c r="C97" i="48"/>
  <c r="C94" i="48"/>
  <c r="C91" i="48"/>
  <c r="C90" i="48"/>
  <c r="C89" i="48"/>
  <c r="D70" i="48"/>
  <c r="D71" i="48" s="1"/>
  <c r="D69" i="48" s="1"/>
  <c r="D67" i="48"/>
  <c r="C63" i="48"/>
  <c r="C142" i="48" s="1"/>
  <c r="C51" i="48"/>
  <c r="C50" i="48"/>
  <c r="D43" i="48"/>
  <c r="C37" i="48"/>
  <c r="C36" i="48"/>
  <c r="C32" i="48"/>
  <c r="C197" i="47"/>
  <c r="C198" i="47" s="1"/>
  <c r="C153" i="47"/>
  <c r="C164" i="47" s="1"/>
  <c r="C152" i="47"/>
  <c r="D73" i="47" s="1"/>
  <c r="C151" i="47"/>
  <c r="C150" i="47"/>
  <c r="C149" i="47"/>
  <c r="C148" i="47"/>
  <c r="C141" i="47"/>
  <c r="C131" i="47"/>
  <c r="C124" i="47"/>
  <c r="C120" i="47"/>
  <c r="C119" i="47"/>
  <c r="C109" i="47"/>
  <c r="C105" i="47"/>
  <c r="C104" i="47"/>
  <c r="C102" i="47"/>
  <c r="C98" i="47"/>
  <c r="C96" i="47" s="1"/>
  <c r="C97" i="47"/>
  <c r="C94" i="47"/>
  <c r="C91" i="47"/>
  <c r="C90" i="47"/>
  <c r="C89" i="47"/>
  <c r="D67" i="47"/>
  <c r="C63" i="47"/>
  <c r="C142" i="47" s="1"/>
  <c r="C51" i="47"/>
  <c r="C50" i="47"/>
  <c r="D43" i="47"/>
  <c r="C37" i="47"/>
  <c r="C36" i="47"/>
  <c r="C32" i="47"/>
  <c r="C197" i="46"/>
  <c r="C198" i="46" s="1"/>
  <c r="C153" i="46"/>
  <c r="C164" i="46" s="1"/>
  <c r="C152" i="46"/>
  <c r="D73" i="46" s="1"/>
  <c r="C151" i="46"/>
  <c r="C150" i="46"/>
  <c r="C149" i="46"/>
  <c r="C148" i="46"/>
  <c r="C141" i="46"/>
  <c r="C131" i="46"/>
  <c r="C124" i="46"/>
  <c r="C120" i="46"/>
  <c r="C119" i="46"/>
  <c r="C109" i="46"/>
  <c r="C105" i="46"/>
  <c r="C104" i="46"/>
  <c r="C102" i="46"/>
  <c r="C98" i="46"/>
  <c r="C96" i="46" s="1"/>
  <c r="C97" i="46"/>
  <c r="C94" i="46"/>
  <c r="C91" i="46"/>
  <c r="C90" i="46"/>
  <c r="C89" i="46"/>
  <c r="D67" i="46"/>
  <c r="C63" i="46"/>
  <c r="C142" i="46" s="1"/>
  <c r="C51" i="46"/>
  <c r="C50" i="46"/>
  <c r="D43" i="46"/>
  <c r="C37" i="46"/>
  <c r="C36" i="46"/>
  <c r="C32" i="46"/>
  <c r="C198" i="45"/>
  <c r="C199" i="45" s="1"/>
  <c r="C153" i="45"/>
  <c r="C164" i="45" s="1"/>
  <c r="C152" i="45"/>
  <c r="D73" i="45" s="1"/>
  <c r="C151" i="45"/>
  <c r="C150" i="45"/>
  <c r="C149" i="45"/>
  <c r="C148" i="45"/>
  <c r="C141" i="45"/>
  <c r="C131" i="45"/>
  <c r="C124" i="45"/>
  <c r="C120" i="45"/>
  <c r="C119" i="45"/>
  <c r="C109" i="45"/>
  <c r="C105" i="45"/>
  <c r="C104" i="45"/>
  <c r="C102" i="45"/>
  <c r="C98" i="45"/>
  <c r="C96" i="45" s="1"/>
  <c r="C97" i="45"/>
  <c r="C94" i="45"/>
  <c r="C91" i="45"/>
  <c r="C90" i="45"/>
  <c r="C89" i="45"/>
  <c r="D67" i="45"/>
  <c r="C63" i="45"/>
  <c r="C142" i="45" s="1"/>
  <c r="C51" i="45"/>
  <c r="C50" i="45"/>
  <c r="D43" i="45"/>
  <c r="C37" i="45"/>
  <c r="C36" i="45"/>
  <c r="C32" i="45"/>
  <c r="C198" i="44"/>
  <c r="C199" i="44" s="1"/>
  <c r="C153" i="44"/>
  <c r="C162" i="44" s="1"/>
  <c r="C152" i="44"/>
  <c r="C151" i="44"/>
  <c r="C150" i="44"/>
  <c r="C149" i="44"/>
  <c r="C148" i="44"/>
  <c r="C141" i="44"/>
  <c r="C131" i="44"/>
  <c r="C124" i="44"/>
  <c r="C120" i="44"/>
  <c r="C119" i="44"/>
  <c r="C109" i="44"/>
  <c r="C105" i="44"/>
  <c r="C104" i="44"/>
  <c r="C102" i="44"/>
  <c r="C98" i="44"/>
  <c r="C96" i="44" s="1"/>
  <c r="C97" i="44"/>
  <c r="C94" i="44"/>
  <c r="C91" i="44"/>
  <c r="C90" i="44"/>
  <c r="C89" i="44"/>
  <c r="D70" i="44"/>
  <c r="D71" i="44" s="1"/>
  <c r="D69" i="44" s="1"/>
  <c r="D67" i="44"/>
  <c r="C63" i="44"/>
  <c r="C142" i="44" s="1"/>
  <c r="C51" i="44"/>
  <c r="C50" i="44"/>
  <c r="D43" i="44"/>
  <c r="C37" i="44"/>
  <c r="C36" i="44"/>
  <c r="C32" i="44"/>
  <c r="C198" i="43"/>
  <c r="C199" i="43" s="1"/>
  <c r="C153" i="43"/>
  <c r="C164" i="43" s="1"/>
  <c r="C152" i="43"/>
  <c r="C151" i="43"/>
  <c r="C150" i="43"/>
  <c r="C149" i="43"/>
  <c r="C148" i="43"/>
  <c r="C141" i="43"/>
  <c r="C124" i="43"/>
  <c r="C120" i="43"/>
  <c r="C119" i="43"/>
  <c r="C109" i="43"/>
  <c r="C105" i="43"/>
  <c r="C104" i="43"/>
  <c r="C102" i="43"/>
  <c r="C98" i="43"/>
  <c r="C96" i="43" s="1"/>
  <c r="C97" i="43"/>
  <c r="C94" i="43"/>
  <c r="C91" i="43"/>
  <c r="C90" i="43"/>
  <c r="C89" i="43"/>
  <c r="D70" i="43"/>
  <c r="D71" i="43" s="1"/>
  <c r="D67" i="43"/>
  <c r="C63" i="43"/>
  <c r="C142" i="43" s="1"/>
  <c r="C51" i="43"/>
  <c r="C50" i="43"/>
  <c r="D43" i="43"/>
  <c r="C37" i="43"/>
  <c r="C36" i="43"/>
  <c r="C32" i="43"/>
  <c r="C197" i="42"/>
  <c r="C153" i="42"/>
  <c r="C164" i="42" s="1"/>
  <c r="C152" i="42"/>
  <c r="D73" i="42" s="1"/>
  <c r="C151" i="42"/>
  <c r="C150" i="42"/>
  <c r="C149" i="42"/>
  <c r="C148" i="42"/>
  <c r="C141" i="42"/>
  <c r="C124" i="42"/>
  <c r="C120" i="42"/>
  <c r="C119" i="42"/>
  <c r="C109" i="42"/>
  <c r="C105" i="42"/>
  <c r="C104" i="42"/>
  <c r="C102" i="42"/>
  <c r="C98" i="42"/>
  <c r="C96" i="42" s="1"/>
  <c r="C97" i="42"/>
  <c r="C94" i="42"/>
  <c r="C91" i="42"/>
  <c r="C90" i="42"/>
  <c r="C89" i="42"/>
  <c r="D70" i="42"/>
  <c r="D71" i="42" s="1"/>
  <c r="D67" i="42"/>
  <c r="C63" i="42"/>
  <c r="C142" i="42" s="1"/>
  <c r="C51" i="42"/>
  <c r="C50" i="42"/>
  <c r="D43" i="42"/>
  <c r="C37" i="42"/>
  <c r="C36" i="42"/>
  <c r="C32" i="42"/>
  <c r="C154" i="44" l="1"/>
  <c r="C52" i="45"/>
  <c r="C80" i="45" s="1"/>
  <c r="C52" i="46"/>
  <c r="C80" i="46" s="1"/>
  <c r="C52" i="47"/>
  <c r="C80" i="47" s="1"/>
  <c r="C154" i="47"/>
  <c r="C52" i="48"/>
  <c r="C80" i="48" s="1"/>
  <c r="C52" i="51"/>
  <c r="C80" i="51" s="1"/>
  <c r="C52" i="54"/>
  <c r="C80" i="54" s="1"/>
  <c r="C164" i="54"/>
  <c r="C162" i="54"/>
  <c r="C52" i="56"/>
  <c r="C80" i="56" s="1"/>
  <c r="C164" i="56"/>
  <c r="C157" i="56"/>
  <c r="C154" i="48"/>
  <c r="C160" i="48" s="1"/>
  <c r="C154" i="43"/>
  <c r="C163" i="43"/>
  <c r="D73" i="43"/>
  <c r="C157" i="44"/>
  <c r="C163" i="44"/>
  <c r="D73" i="44"/>
  <c r="C154" i="50"/>
  <c r="C161" i="50" s="1"/>
  <c r="D161" i="50" s="1"/>
  <c r="C52" i="50"/>
  <c r="C80" i="50" s="1"/>
  <c r="C157" i="50"/>
  <c r="C162" i="50"/>
  <c r="C154" i="45"/>
  <c r="C160" i="45" s="1"/>
  <c r="C157" i="54"/>
  <c r="C163" i="53"/>
  <c r="D73" i="53"/>
  <c r="C154" i="55"/>
  <c r="C160" i="55" s="1"/>
  <c r="C154" i="46"/>
  <c r="C160" i="46" s="1"/>
  <c r="C157" i="51"/>
  <c r="C162" i="51"/>
  <c r="C81" i="51"/>
  <c r="C52" i="52"/>
  <c r="C80" i="52" s="1"/>
  <c r="C154" i="52"/>
  <c r="C160" i="52" s="1"/>
  <c r="C81" i="49"/>
  <c r="C135" i="49"/>
  <c r="C154" i="49"/>
  <c r="C160" i="49" s="1"/>
  <c r="C163" i="49"/>
  <c r="D73" i="49"/>
  <c r="C157" i="47"/>
  <c r="C162" i="47"/>
  <c r="C154" i="56"/>
  <c r="C161" i="56" s="1"/>
  <c r="D161" i="56" s="1"/>
  <c r="C162" i="56"/>
  <c r="C163" i="48"/>
  <c r="D73" i="48"/>
  <c r="C106" i="49"/>
  <c r="C142" i="53"/>
  <c r="C135" i="54"/>
  <c r="C81" i="54"/>
  <c r="C81" i="44"/>
  <c r="C81" i="43"/>
  <c r="C52" i="44"/>
  <c r="C80" i="44" s="1"/>
  <c r="C198" i="42"/>
  <c r="D27" i="47"/>
  <c r="D68" i="47" s="1"/>
  <c r="D66" i="47" s="1"/>
  <c r="D27" i="48"/>
  <c r="D28" i="48" s="1"/>
  <c r="D27" i="56"/>
  <c r="D42" i="56" s="1"/>
  <c r="D45" i="56" s="1"/>
  <c r="D27" i="52"/>
  <c r="D29" i="52" s="1"/>
  <c r="D27" i="42"/>
  <c r="D68" i="42" s="1"/>
  <c r="D66" i="42" s="1"/>
  <c r="C81" i="42"/>
  <c r="D69" i="42"/>
  <c r="C135" i="43"/>
  <c r="C52" i="43"/>
  <c r="C80" i="43" s="1"/>
  <c r="C106" i="43"/>
  <c r="C135" i="44"/>
  <c r="C106" i="48"/>
  <c r="C81" i="50"/>
  <c r="C106" i="50"/>
  <c r="C135" i="51"/>
  <c r="C106" i="51"/>
  <c r="C142" i="52"/>
  <c r="C106" i="53"/>
  <c r="C106" i="54"/>
  <c r="C81" i="55"/>
  <c r="C135" i="55"/>
  <c r="C106" i="55"/>
  <c r="C81" i="56"/>
  <c r="C135" i="56"/>
  <c r="C106" i="56"/>
  <c r="D66" i="55"/>
  <c r="D27" i="53"/>
  <c r="D42" i="53" s="1"/>
  <c r="D45" i="53" s="1"/>
  <c r="D27" i="51"/>
  <c r="D42" i="51" s="1"/>
  <c r="D45" i="51" s="1"/>
  <c r="D27" i="50"/>
  <c r="D27" i="49"/>
  <c r="D68" i="49" s="1"/>
  <c r="D66" i="49" s="1"/>
  <c r="D28" i="46"/>
  <c r="C81" i="47"/>
  <c r="C135" i="47"/>
  <c r="C106" i="47"/>
  <c r="C106" i="45"/>
  <c r="C81" i="45"/>
  <c r="C106" i="46"/>
  <c r="C81" i="46"/>
  <c r="C163" i="56"/>
  <c r="D42" i="55"/>
  <c r="D45" i="55" s="1"/>
  <c r="C52" i="55"/>
  <c r="C80" i="55" s="1"/>
  <c r="C157" i="55"/>
  <c r="C162" i="55"/>
  <c r="D28" i="55"/>
  <c r="D29" i="55"/>
  <c r="C163" i="55"/>
  <c r="C154" i="54"/>
  <c r="D68" i="54"/>
  <c r="D66" i="54" s="1"/>
  <c r="D42" i="54"/>
  <c r="D45" i="54" s="1"/>
  <c r="D28" i="54"/>
  <c r="D29" i="54"/>
  <c r="C163" i="54"/>
  <c r="C154" i="53"/>
  <c r="C52" i="53"/>
  <c r="C80" i="53" s="1"/>
  <c r="C81" i="53"/>
  <c r="C157" i="53"/>
  <c r="C162" i="53"/>
  <c r="C106" i="52"/>
  <c r="C81" i="52"/>
  <c r="C157" i="52"/>
  <c r="C162" i="52"/>
  <c r="C163" i="52"/>
  <c r="C154" i="51"/>
  <c r="C163" i="51"/>
  <c r="C135" i="50"/>
  <c r="C163" i="50"/>
  <c r="C161" i="49"/>
  <c r="C52" i="49"/>
  <c r="C80" i="49" s="1"/>
  <c r="C157" i="49"/>
  <c r="C162" i="49"/>
  <c r="C81" i="48"/>
  <c r="C135" i="48"/>
  <c r="C157" i="48"/>
  <c r="C162" i="48"/>
  <c r="C160" i="47"/>
  <c r="C161" i="47"/>
  <c r="D161" i="47" s="1"/>
  <c r="C163" i="47"/>
  <c r="D29" i="46"/>
  <c r="D42" i="46"/>
  <c r="D45" i="46" s="1"/>
  <c r="D68" i="46"/>
  <c r="D66" i="46" s="1"/>
  <c r="D160" i="46" s="1"/>
  <c r="C135" i="46"/>
  <c r="C157" i="46"/>
  <c r="C162" i="46"/>
  <c r="C163" i="46"/>
  <c r="C161" i="46"/>
  <c r="D161" i="46" s="1"/>
  <c r="D29" i="45"/>
  <c r="D28" i="45"/>
  <c r="D42" i="45"/>
  <c r="D45" i="45" s="1"/>
  <c r="D68" i="45"/>
  <c r="D66" i="45" s="1"/>
  <c r="C135" i="45"/>
  <c r="C157" i="45"/>
  <c r="C162" i="45"/>
  <c r="C163" i="45"/>
  <c r="C161" i="44"/>
  <c r="D161" i="44" s="1"/>
  <c r="C160" i="44"/>
  <c r="C164" i="44"/>
  <c r="D68" i="44"/>
  <c r="D66" i="44" s="1"/>
  <c r="D42" i="44"/>
  <c r="D45" i="44" s="1"/>
  <c r="C106" i="44"/>
  <c r="D28" i="44"/>
  <c r="D29" i="44"/>
  <c r="D29" i="43"/>
  <c r="D68" i="43"/>
  <c r="D66" i="43" s="1"/>
  <c r="D28" i="43"/>
  <c r="D42" i="43"/>
  <c r="D45" i="43" s="1"/>
  <c r="C160" i="43"/>
  <c r="C161" i="43"/>
  <c r="D69" i="43"/>
  <c r="C162" i="43"/>
  <c r="C157" i="43"/>
  <c r="C154" i="42"/>
  <c r="C52" i="42"/>
  <c r="C80" i="42" s="1"/>
  <c r="C106" i="42"/>
  <c r="C135" i="42"/>
  <c r="C157" i="42"/>
  <c r="C162" i="42"/>
  <c r="C163" i="42"/>
  <c r="C161" i="52" l="1"/>
  <c r="D161" i="52" s="1"/>
  <c r="C160" i="50"/>
  <c r="C161" i="48"/>
  <c r="D161" i="48" s="1"/>
  <c r="C161" i="45"/>
  <c r="D161" i="45" s="1"/>
  <c r="C161" i="55"/>
  <c r="D161" i="55" s="1"/>
  <c r="C160" i="56"/>
  <c r="D29" i="50"/>
  <c r="D29" i="48"/>
  <c r="D31" i="48" s="1"/>
  <c r="D42" i="47"/>
  <c r="D45" i="47" s="1"/>
  <c r="D29" i="47"/>
  <c r="D28" i="47"/>
  <c r="D36" i="43"/>
  <c r="D68" i="48"/>
  <c r="D66" i="48" s="1"/>
  <c r="D160" i="48" s="1"/>
  <c r="D42" i="48"/>
  <c r="D45" i="48" s="1"/>
  <c r="D29" i="49"/>
  <c r="D28" i="56"/>
  <c r="D29" i="56"/>
  <c r="D68" i="56"/>
  <c r="D66" i="56" s="1"/>
  <c r="D28" i="42"/>
  <c r="D42" i="42"/>
  <c r="D45" i="42" s="1"/>
  <c r="D29" i="42"/>
  <c r="D68" i="52"/>
  <c r="D66" i="52" s="1"/>
  <c r="D160" i="52" s="1"/>
  <c r="D42" i="52"/>
  <c r="D45" i="52" s="1"/>
  <c r="D160" i="55"/>
  <c r="D28" i="52"/>
  <c r="D35" i="52" s="1"/>
  <c r="D32" i="55"/>
  <c r="D34" i="44"/>
  <c r="D42" i="49"/>
  <c r="D45" i="49" s="1"/>
  <c r="D28" i="49"/>
  <c r="D42" i="50"/>
  <c r="D45" i="50" s="1"/>
  <c r="D28" i="53"/>
  <c r="D31" i="54"/>
  <c r="D68" i="53"/>
  <c r="D66" i="53" s="1"/>
  <c r="D29" i="53"/>
  <c r="D28" i="51"/>
  <c r="D68" i="51"/>
  <c r="D66" i="51" s="1"/>
  <c r="D29" i="51"/>
  <c r="D28" i="50"/>
  <c r="D68" i="50"/>
  <c r="D66" i="50" s="1"/>
  <c r="D160" i="50" s="1"/>
  <c r="D34" i="46"/>
  <c r="D35" i="44"/>
  <c r="D31" i="45"/>
  <c r="D160" i="49"/>
  <c r="D35" i="45"/>
  <c r="D31" i="46"/>
  <c r="D31" i="44"/>
  <c r="D32" i="44"/>
  <c r="D37" i="44"/>
  <c r="D36" i="44"/>
  <c r="D31" i="43"/>
  <c r="D32" i="43"/>
  <c r="D36" i="55"/>
  <c r="D34" i="55"/>
  <c r="D37" i="55"/>
  <c r="D35" i="55"/>
  <c r="D31" i="55"/>
  <c r="D36" i="54"/>
  <c r="C160" i="54"/>
  <c r="D160" i="54" s="1"/>
  <c r="C161" i="54"/>
  <c r="D161" i="54" s="1"/>
  <c r="D32" i="54"/>
  <c r="D35" i="54"/>
  <c r="D37" i="54"/>
  <c r="D34" i="54"/>
  <c r="C160" i="53"/>
  <c r="C161" i="53"/>
  <c r="D161" i="53" s="1"/>
  <c r="C160" i="51"/>
  <c r="C161" i="51"/>
  <c r="D161" i="51" s="1"/>
  <c r="D161" i="49"/>
  <c r="D160" i="47"/>
  <c r="D35" i="46"/>
  <c r="D37" i="46"/>
  <c r="D32" i="46"/>
  <c r="D36" i="46"/>
  <c r="D34" i="45"/>
  <c r="D160" i="45"/>
  <c r="D32" i="45"/>
  <c r="D37" i="45"/>
  <c r="D36" i="45"/>
  <c r="D160" i="44"/>
  <c r="D35" i="43"/>
  <c r="D161" i="43"/>
  <c r="D160" i="43"/>
  <c r="D34" i="43"/>
  <c r="D37" i="43"/>
  <c r="C160" i="42"/>
  <c r="D160" i="42" s="1"/>
  <c r="C161" i="42"/>
  <c r="D161" i="42" s="1"/>
  <c r="F13" i="41"/>
  <c r="H13" i="41" s="1"/>
  <c r="F10" i="41"/>
  <c r="H10" i="41" s="1"/>
  <c r="F9" i="41"/>
  <c r="H9" i="41" s="1"/>
  <c r="F8" i="41"/>
  <c r="H8" i="41" s="1"/>
  <c r="F7" i="41"/>
  <c r="H7" i="41" s="1"/>
  <c r="F6" i="41"/>
  <c r="H6" i="41" s="1"/>
  <c r="H14" i="41" s="1"/>
  <c r="C153" i="40"/>
  <c r="C164" i="40" s="1"/>
  <c r="C152" i="40"/>
  <c r="C151" i="40"/>
  <c r="C150" i="40"/>
  <c r="C149" i="40"/>
  <c r="C148" i="40"/>
  <c r="D27" i="40"/>
  <c r="D68" i="40" s="1"/>
  <c r="C197" i="40"/>
  <c r="C198" i="40" s="1"/>
  <c r="C141" i="40"/>
  <c r="C120" i="40"/>
  <c r="C119" i="40"/>
  <c r="C109" i="40"/>
  <c r="C105" i="40"/>
  <c r="C104" i="40"/>
  <c r="C102" i="40"/>
  <c r="C94" i="40"/>
  <c r="C91" i="40"/>
  <c r="C90" i="40"/>
  <c r="C89" i="40"/>
  <c r="D76" i="40"/>
  <c r="D70" i="40"/>
  <c r="D67" i="40"/>
  <c r="C63" i="40"/>
  <c r="C106" i="40" s="1"/>
  <c r="C50" i="40"/>
  <c r="D43" i="40"/>
  <c r="C37" i="40"/>
  <c r="C36" i="40"/>
  <c r="C32" i="40"/>
  <c r="C98" i="40"/>
  <c r="C96" i="40" s="1"/>
  <c r="D177" i="48" l="1"/>
  <c r="D177" i="49"/>
  <c r="D177" i="57"/>
  <c r="D183" i="57" s="1"/>
  <c r="D177" i="46"/>
  <c r="D182" i="46" s="1"/>
  <c r="D177" i="53"/>
  <c r="D177" i="45"/>
  <c r="D183" i="45" s="1"/>
  <c r="D177" i="47"/>
  <c r="D177" i="44"/>
  <c r="D183" i="44" s="1"/>
  <c r="D177" i="54"/>
  <c r="D183" i="54" s="1"/>
  <c r="D177" i="50"/>
  <c r="D183" i="50" s="1"/>
  <c r="D177" i="56"/>
  <c r="D183" i="56" s="1"/>
  <c r="D177" i="55"/>
  <c r="D177" i="51"/>
  <c r="D177" i="58"/>
  <c r="D183" i="58" s="1"/>
  <c r="D177" i="52"/>
  <c r="D160" i="56"/>
  <c r="C163" i="40"/>
  <c r="D73" i="40"/>
  <c r="C157" i="40"/>
  <c r="D32" i="50"/>
  <c r="D37" i="50"/>
  <c r="D31" i="50"/>
  <c r="D36" i="50"/>
  <c r="D35" i="50"/>
  <c r="D34" i="50"/>
  <c r="D71" i="40"/>
  <c r="D69" i="40" s="1"/>
  <c r="D37" i="48"/>
  <c r="D34" i="48"/>
  <c r="D36" i="48"/>
  <c r="D31" i="56"/>
  <c r="D35" i="48"/>
  <c r="D32" i="48"/>
  <c r="D30" i="48" s="1"/>
  <c r="D32" i="47"/>
  <c r="D31" i="47"/>
  <c r="D35" i="47"/>
  <c r="D37" i="47"/>
  <c r="D36" i="47"/>
  <c r="D34" i="47"/>
  <c r="D31" i="52"/>
  <c r="D34" i="56"/>
  <c r="D30" i="55"/>
  <c r="D36" i="56"/>
  <c r="D36" i="52"/>
  <c r="D32" i="49"/>
  <c r="D32" i="42"/>
  <c r="D37" i="56"/>
  <c r="D35" i="56"/>
  <c r="D31" i="49"/>
  <c r="D36" i="42"/>
  <c r="D35" i="49"/>
  <c r="D32" i="56"/>
  <c r="D34" i="51"/>
  <c r="D35" i="42"/>
  <c r="D35" i="53"/>
  <c r="D31" i="42"/>
  <c r="D34" i="42"/>
  <c r="D30" i="54"/>
  <c r="D30" i="43"/>
  <c r="D37" i="42"/>
  <c r="D34" i="52"/>
  <c r="D32" i="53"/>
  <c r="D37" i="52"/>
  <c r="D32" i="52"/>
  <c r="D33" i="44"/>
  <c r="D30" i="45"/>
  <c r="D34" i="49"/>
  <c r="D37" i="49"/>
  <c r="D36" i="49"/>
  <c r="D32" i="51"/>
  <c r="D36" i="51"/>
  <c r="D37" i="51"/>
  <c r="D160" i="53"/>
  <c r="D37" i="53"/>
  <c r="D36" i="53"/>
  <c r="D34" i="53"/>
  <c r="D31" i="53"/>
  <c r="D160" i="51"/>
  <c r="D35" i="51"/>
  <c r="D31" i="51"/>
  <c r="D30" i="46"/>
  <c r="D33" i="46"/>
  <c r="D30" i="44"/>
  <c r="D33" i="55"/>
  <c r="D33" i="54"/>
  <c r="D33" i="45"/>
  <c r="D33" i="43"/>
  <c r="C162" i="40"/>
  <c r="C154" i="40"/>
  <c r="C161" i="40" s="1"/>
  <c r="D66" i="40"/>
  <c r="D42" i="40"/>
  <c r="D45" i="40" s="1"/>
  <c r="D28" i="40"/>
  <c r="D29" i="40"/>
  <c r="C81" i="40"/>
  <c r="C131" i="40"/>
  <c r="C135" i="40"/>
  <c r="C142" i="40"/>
  <c r="C97" i="40"/>
  <c r="C124" i="40"/>
  <c r="D177" i="42" l="1"/>
  <c r="D30" i="50"/>
  <c r="D33" i="50"/>
  <c r="D161" i="40"/>
  <c r="D177" i="40"/>
  <c r="D33" i="48"/>
  <c r="D39" i="48" s="1"/>
  <c r="D30" i="56"/>
  <c r="D39" i="55"/>
  <c r="D30" i="47"/>
  <c r="D33" i="47"/>
  <c r="D30" i="49"/>
  <c r="D30" i="52"/>
  <c r="D30" i="42"/>
  <c r="D33" i="56"/>
  <c r="D30" i="51"/>
  <c r="D30" i="53"/>
  <c r="D39" i="45"/>
  <c r="D33" i="51"/>
  <c r="D33" i="42"/>
  <c r="D39" i="54"/>
  <c r="D39" i="43"/>
  <c r="D33" i="49"/>
  <c r="D33" i="52"/>
  <c r="D39" i="44"/>
  <c r="D33" i="53"/>
  <c r="D39" i="46"/>
  <c r="C160" i="40"/>
  <c r="D160" i="40" s="1"/>
  <c r="D34" i="40"/>
  <c r="D37" i="40"/>
  <c r="D36" i="40"/>
  <c r="D35" i="40"/>
  <c r="D31" i="40"/>
  <c r="D32" i="40"/>
  <c r="C52" i="40"/>
  <c r="C80" i="40" s="1"/>
  <c r="D98" i="46" l="1"/>
  <c r="D75" i="46"/>
  <c r="D183" i="48"/>
  <c r="D207" i="48" s="1"/>
  <c r="D207" i="57"/>
  <c r="D208" i="57" s="1"/>
  <c r="D207" i="43"/>
  <c r="D96" i="45"/>
  <c r="D75" i="45"/>
  <c r="D162" i="54"/>
  <c r="D75" i="54"/>
  <c r="D77" i="54" s="1"/>
  <c r="C82" i="54" s="1"/>
  <c r="D162" i="55"/>
  <c r="D75" i="55"/>
  <c r="D77" i="55" s="1"/>
  <c r="D39" i="56"/>
  <c r="D140" i="56" s="1"/>
  <c r="D158" i="56" s="1"/>
  <c r="D207" i="58"/>
  <c r="D208" i="58" s="1"/>
  <c r="D140" i="44"/>
  <c r="D158" i="44" s="1"/>
  <c r="D75" i="44"/>
  <c r="D103" i="43"/>
  <c r="D104" i="43" s="1"/>
  <c r="D106" i="43" s="1"/>
  <c r="D75" i="43"/>
  <c r="D98" i="48"/>
  <c r="D75" i="48"/>
  <c r="D39" i="47"/>
  <c r="D207" i="45"/>
  <c r="D207" i="44"/>
  <c r="D182" i="55"/>
  <c r="D206" i="55" s="1"/>
  <c r="D182" i="49"/>
  <c r="D206" i="49" s="1"/>
  <c r="D182" i="51"/>
  <c r="D206" i="51" s="1"/>
  <c r="D207" i="56"/>
  <c r="D206" i="46"/>
  <c r="D207" i="50"/>
  <c r="D182" i="47"/>
  <c r="D206" i="47" s="1"/>
  <c r="D182" i="53"/>
  <c r="D206" i="53" s="1"/>
  <c r="D207" i="54"/>
  <c r="D182" i="52"/>
  <c r="D206" i="52" s="1"/>
  <c r="D182" i="42"/>
  <c r="D206" i="42" s="1"/>
  <c r="D39" i="42"/>
  <c r="D202" i="55"/>
  <c r="D137" i="55"/>
  <c r="C138" i="55" s="1"/>
  <c r="D50" i="55"/>
  <c r="C133" i="55" s="1"/>
  <c r="D133" i="55" s="1"/>
  <c r="D51" i="55"/>
  <c r="C134" i="55" s="1"/>
  <c r="D134" i="55" s="1"/>
  <c r="D97" i="55"/>
  <c r="C45" i="55"/>
  <c r="C114" i="55"/>
  <c r="C115" i="55" s="1"/>
  <c r="D115" i="55" s="1"/>
  <c r="D96" i="55"/>
  <c r="D140" i="55"/>
  <c r="D157" i="55" s="1"/>
  <c r="D98" i="55"/>
  <c r="D103" i="55"/>
  <c r="D104" i="55" s="1"/>
  <c r="D106" i="55" s="1"/>
  <c r="D132" i="55"/>
  <c r="C132" i="55"/>
  <c r="D39" i="50"/>
  <c r="D89" i="55"/>
  <c r="D91" i="55" s="1"/>
  <c r="D39" i="52"/>
  <c r="D140" i="45"/>
  <c r="D158" i="45" s="1"/>
  <c r="D39" i="53"/>
  <c r="C114" i="45"/>
  <c r="D114" i="45" s="1"/>
  <c r="D39" i="49"/>
  <c r="D50" i="45"/>
  <c r="D132" i="45"/>
  <c r="D203" i="45"/>
  <c r="D97" i="45"/>
  <c r="D51" i="45"/>
  <c r="C134" i="45" s="1"/>
  <c r="D134" i="45" s="1"/>
  <c r="D203" i="44"/>
  <c r="D103" i="45"/>
  <c r="D105" i="45" s="1"/>
  <c r="C132" i="45"/>
  <c r="C45" i="44"/>
  <c r="D162" i="45"/>
  <c r="D103" i="44"/>
  <c r="D104" i="44" s="1"/>
  <c r="D106" i="44" s="1"/>
  <c r="C45" i="54"/>
  <c r="C114" i="54"/>
  <c r="D114" i="54" s="1"/>
  <c r="D89" i="54"/>
  <c r="D91" i="54" s="1"/>
  <c r="D97" i="54"/>
  <c r="D137" i="44"/>
  <c r="C138" i="44" s="1"/>
  <c r="D162" i="44"/>
  <c r="D50" i="44"/>
  <c r="C133" i="44" s="1"/>
  <c r="D133" i="44" s="1"/>
  <c r="D97" i="44"/>
  <c r="D98" i="44"/>
  <c r="D103" i="48"/>
  <c r="D105" i="48" s="1"/>
  <c r="D50" i="54"/>
  <c r="C133" i="54" s="1"/>
  <c r="D133" i="54" s="1"/>
  <c r="D140" i="48"/>
  <c r="D157" i="48" s="1"/>
  <c r="D89" i="45"/>
  <c r="D91" i="45" s="1"/>
  <c r="D98" i="45"/>
  <c r="C45" i="45"/>
  <c r="D137" i="45"/>
  <c r="C138" i="45" s="1"/>
  <c r="D140" i="54"/>
  <c r="D158" i="54" s="1"/>
  <c r="D51" i="48"/>
  <c r="C134" i="48" s="1"/>
  <c r="D134" i="48" s="1"/>
  <c r="D39" i="51"/>
  <c r="D137" i="43"/>
  <c r="C138" i="43" s="1"/>
  <c r="D132" i="54"/>
  <c r="D51" i="54"/>
  <c r="C134" i="54" s="1"/>
  <c r="D134" i="54" s="1"/>
  <c r="D96" i="54"/>
  <c r="D50" i="43"/>
  <c r="C133" i="43" s="1"/>
  <c r="D133" i="43" s="1"/>
  <c r="D203" i="43"/>
  <c r="C132" i="43"/>
  <c r="D137" i="54"/>
  <c r="C138" i="54" s="1"/>
  <c r="D103" i="54"/>
  <c r="D105" i="54" s="1"/>
  <c r="D203" i="54"/>
  <c r="C132" i="54"/>
  <c r="D98" i="54"/>
  <c r="D162" i="48"/>
  <c r="D96" i="48"/>
  <c r="C114" i="43"/>
  <c r="C115" i="43" s="1"/>
  <c r="D115" i="43" s="1"/>
  <c r="D162" i="43"/>
  <c r="D137" i="48"/>
  <c r="C138" i="48" s="1"/>
  <c r="D89" i="48"/>
  <c r="D90" i="48" s="1"/>
  <c r="D89" i="43"/>
  <c r="D91" i="43" s="1"/>
  <c r="D132" i="43"/>
  <c r="C45" i="43"/>
  <c r="D96" i="44"/>
  <c r="D50" i="48"/>
  <c r="C114" i="48"/>
  <c r="C115" i="48" s="1"/>
  <c r="D115" i="48" s="1"/>
  <c r="D51" i="44"/>
  <c r="C134" i="44" s="1"/>
  <c r="D134" i="44" s="1"/>
  <c r="D97" i="48"/>
  <c r="D98" i="43"/>
  <c r="D96" i="43"/>
  <c r="C114" i="44"/>
  <c r="C115" i="44" s="1"/>
  <c r="D115" i="44" s="1"/>
  <c r="D203" i="48"/>
  <c r="C132" i="48"/>
  <c r="D132" i="44"/>
  <c r="D51" i="43"/>
  <c r="C134" i="43" s="1"/>
  <c r="D134" i="43" s="1"/>
  <c r="D140" i="43"/>
  <c r="D158" i="43" s="1"/>
  <c r="D97" i="43"/>
  <c r="D89" i="44"/>
  <c r="D91" i="44" s="1"/>
  <c r="D132" i="48"/>
  <c r="C45" i="48"/>
  <c r="C132" i="44"/>
  <c r="D162" i="56"/>
  <c r="C45" i="46"/>
  <c r="D162" i="46"/>
  <c r="D202" i="46"/>
  <c r="D51" i="46"/>
  <c r="C134" i="46" s="1"/>
  <c r="D134" i="46" s="1"/>
  <c r="C132" i="46"/>
  <c r="D140" i="46"/>
  <c r="D141" i="46" s="1"/>
  <c r="D159" i="46" s="1"/>
  <c r="D103" i="46"/>
  <c r="D105" i="46" s="1"/>
  <c r="D137" i="46"/>
  <c r="C138" i="46" s="1"/>
  <c r="D50" i="46"/>
  <c r="C133" i="46" s="1"/>
  <c r="D133" i="46" s="1"/>
  <c r="C114" i="46"/>
  <c r="C115" i="46" s="1"/>
  <c r="D115" i="46" s="1"/>
  <c r="D132" i="46"/>
  <c r="D97" i="46"/>
  <c r="D96" i="46"/>
  <c r="D89" i="46"/>
  <c r="D33" i="40"/>
  <c r="D30" i="40"/>
  <c r="D105" i="55" l="1"/>
  <c r="D105" i="43"/>
  <c r="C115" i="45"/>
  <c r="D115" i="45" s="1"/>
  <c r="D116" i="45" s="1"/>
  <c r="D125" i="45" s="1"/>
  <c r="D141" i="44"/>
  <c r="D159" i="44" s="1"/>
  <c r="D157" i="44"/>
  <c r="D185" i="57"/>
  <c r="D190" i="57" s="1"/>
  <c r="D191" i="57" s="1"/>
  <c r="D192" i="57" s="1"/>
  <c r="D193" i="57" s="1"/>
  <c r="D195" i="57" s="1"/>
  <c r="D103" i="56"/>
  <c r="D105" i="56" s="1"/>
  <c r="D96" i="56"/>
  <c r="D51" i="56"/>
  <c r="C134" i="56" s="1"/>
  <c r="D134" i="56" s="1"/>
  <c r="D89" i="56"/>
  <c r="D90" i="56" s="1"/>
  <c r="D92" i="56" s="1"/>
  <c r="D137" i="56"/>
  <c r="C138" i="56" s="1"/>
  <c r="D132" i="56"/>
  <c r="D98" i="56"/>
  <c r="D203" i="56"/>
  <c r="C114" i="56"/>
  <c r="C115" i="56" s="1"/>
  <c r="D115" i="56" s="1"/>
  <c r="C45" i="56"/>
  <c r="D97" i="56"/>
  <c r="C132" i="56"/>
  <c r="D98" i="50"/>
  <c r="D75" i="50"/>
  <c r="D50" i="56"/>
  <c r="C133" i="56" s="1"/>
  <c r="D133" i="56" s="1"/>
  <c r="D75" i="56"/>
  <c r="D77" i="56" s="1"/>
  <c r="D82" i="56" s="1"/>
  <c r="C132" i="51"/>
  <c r="D75" i="51"/>
  <c r="D97" i="49"/>
  <c r="D75" i="49"/>
  <c r="D97" i="47"/>
  <c r="D75" i="47"/>
  <c r="D77" i="47" s="1"/>
  <c r="D143" i="47" s="1"/>
  <c r="D137" i="53"/>
  <c r="C138" i="53" s="1"/>
  <c r="D75" i="53"/>
  <c r="D140" i="52"/>
  <c r="D157" i="52" s="1"/>
  <c r="D75" i="52"/>
  <c r="D185" i="58"/>
  <c r="D190" i="58" s="1"/>
  <c r="D191" i="58" s="1"/>
  <c r="D192" i="58" s="1"/>
  <c r="D193" i="58" s="1"/>
  <c r="D196" i="58" s="1"/>
  <c r="C132" i="42"/>
  <c r="D75" i="42"/>
  <c r="C132" i="53"/>
  <c r="C114" i="53"/>
  <c r="C115" i="53" s="1"/>
  <c r="D115" i="53" s="1"/>
  <c r="D202" i="47"/>
  <c r="D89" i="47"/>
  <c r="D91" i="47" s="1"/>
  <c r="D140" i="47"/>
  <c r="D157" i="47" s="1"/>
  <c r="D162" i="47"/>
  <c r="D51" i="47"/>
  <c r="C134" i="47" s="1"/>
  <c r="D134" i="47" s="1"/>
  <c r="D103" i="47"/>
  <c r="D105" i="47" s="1"/>
  <c r="D137" i="47"/>
  <c r="C138" i="47" s="1"/>
  <c r="D98" i="47"/>
  <c r="D96" i="47"/>
  <c r="C114" i="47"/>
  <c r="C115" i="47" s="1"/>
  <c r="D115" i="47" s="1"/>
  <c r="D50" i="47"/>
  <c r="C133" i="47" s="1"/>
  <c r="D133" i="47" s="1"/>
  <c r="D132" i="47"/>
  <c r="C45" i="47"/>
  <c r="C132" i="47"/>
  <c r="D141" i="55"/>
  <c r="D159" i="55" s="1"/>
  <c r="D52" i="55"/>
  <c r="D57" i="55" s="1"/>
  <c r="D202" i="52"/>
  <c r="D158" i="55"/>
  <c r="D96" i="42"/>
  <c r="D135" i="46"/>
  <c r="C45" i="52"/>
  <c r="D90" i="55"/>
  <c r="D92" i="55" s="1"/>
  <c r="D95" i="55"/>
  <c r="D110" i="55" s="1"/>
  <c r="D109" i="55" s="1"/>
  <c r="D108" i="55" s="1"/>
  <c r="D162" i="49"/>
  <c r="D140" i="49"/>
  <c r="D141" i="49" s="1"/>
  <c r="D96" i="52"/>
  <c r="D89" i="50"/>
  <c r="D91" i="50" s="1"/>
  <c r="D158" i="48"/>
  <c r="D98" i="52"/>
  <c r="D52" i="45"/>
  <c r="D57" i="45" s="1"/>
  <c r="C133" i="45"/>
  <c r="D133" i="45" s="1"/>
  <c r="D135" i="45" s="1"/>
  <c r="C45" i="49"/>
  <c r="D135" i="55"/>
  <c r="D114" i="55"/>
  <c r="D116" i="55" s="1"/>
  <c r="D125" i="55" s="1"/>
  <c r="D137" i="50"/>
  <c r="C138" i="50" s="1"/>
  <c r="D97" i="50"/>
  <c r="D137" i="52"/>
  <c r="C138" i="52" s="1"/>
  <c r="D97" i="53"/>
  <c r="D105" i="44"/>
  <c r="C114" i="50"/>
  <c r="D114" i="50" s="1"/>
  <c r="C115" i="54"/>
  <c r="D115" i="54" s="1"/>
  <c r="D116" i="54" s="1"/>
  <c r="D162" i="53"/>
  <c r="D51" i="50"/>
  <c r="C134" i="50" s="1"/>
  <c r="D134" i="50" s="1"/>
  <c r="D90" i="54"/>
  <c r="D92" i="54" s="1"/>
  <c r="D96" i="53"/>
  <c r="D103" i="50"/>
  <c r="D104" i="50" s="1"/>
  <c r="C132" i="52"/>
  <c r="D50" i="52"/>
  <c r="C114" i="52"/>
  <c r="C115" i="52" s="1"/>
  <c r="D115" i="52" s="1"/>
  <c r="D132" i="52"/>
  <c r="D97" i="52"/>
  <c r="D51" i="52"/>
  <c r="C134" i="52" s="1"/>
  <c r="D134" i="52" s="1"/>
  <c r="D89" i="52"/>
  <c r="D90" i="52" s="1"/>
  <c r="D92" i="52" s="1"/>
  <c r="D162" i="52"/>
  <c r="C132" i="50"/>
  <c r="D162" i="50"/>
  <c r="D157" i="45"/>
  <c r="D50" i="50"/>
  <c r="C133" i="50" s="1"/>
  <c r="D133" i="50" s="1"/>
  <c r="C132" i="49"/>
  <c r="D203" i="50"/>
  <c r="D137" i="49"/>
  <c r="C138" i="49" s="1"/>
  <c r="D132" i="50"/>
  <c r="D96" i="50"/>
  <c r="D140" i="50"/>
  <c r="D158" i="50" s="1"/>
  <c r="C45" i="50"/>
  <c r="D95" i="54"/>
  <c r="D94" i="54" s="1"/>
  <c r="D93" i="54" s="1"/>
  <c r="D141" i="45"/>
  <c r="D159" i="45" s="1"/>
  <c r="D141" i="56"/>
  <c r="D159" i="56" s="1"/>
  <c r="D202" i="53"/>
  <c r="D50" i="53"/>
  <c r="C133" i="53" s="1"/>
  <c r="D133" i="53" s="1"/>
  <c r="D104" i="45"/>
  <c r="D106" i="45" s="1"/>
  <c r="C45" i="53"/>
  <c r="D89" i="53"/>
  <c r="D90" i="53" s="1"/>
  <c r="D92" i="53" s="1"/>
  <c r="D103" i="52"/>
  <c r="D104" i="52" s="1"/>
  <c r="D106" i="52" s="1"/>
  <c r="D104" i="48"/>
  <c r="D106" i="48" s="1"/>
  <c r="D98" i="53"/>
  <c r="D51" i="53"/>
  <c r="C134" i="53" s="1"/>
  <c r="D134" i="53" s="1"/>
  <c r="D103" i="53"/>
  <c r="D105" i="53" s="1"/>
  <c r="D89" i="42"/>
  <c r="D90" i="42" s="1"/>
  <c r="D92" i="42" s="1"/>
  <c r="D140" i="53"/>
  <c r="D158" i="53" s="1"/>
  <c r="D132" i="53"/>
  <c r="D202" i="49"/>
  <c r="C114" i="49"/>
  <c r="C115" i="49" s="1"/>
  <c r="D115" i="49" s="1"/>
  <c r="D132" i="49"/>
  <c r="D89" i="49"/>
  <c r="D91" i="49" s="1"/>
  <c r="D51" i="49"/>
  <c r="C134" i="49" s="1"/>
  <c r="D134" i="49" s="1"/>
  <c r="D103" i="49"/>
  <c r="D98" i="49"/>
  <c r="D50" i="49"/>
  <c r="C133" i="49" s="1"/>
  <c r="D133" i="49" s="1"/>
  <c r="D96" i="49"/>
  <c r="D77" i="48"/>
  <c r="D107" i="48" s="1"/>
  <c r="C116" i="44"/>
  <c r="D104" i="54"/>
  <c r="D106" i="54" s="1"/>
  <c r="D114" i="43"/>
  <c r="D116" i="43" s="1"/>
  <c r="D125" i="43" s="1"/>
  <c r="D77" i="43"/>
  <c r="D82" i="43" s="1"/>
  <c r="D137" i="42"/>
  <c r="D95" i="45"/>
  <c r="D110" i="45" s="1"/>
  <c r="D109" i="45" s="1"/>
  <c r="D108" i="45" s="1"/>
  <c r="D141" i="54"/>
  <c r="D159" i="54" s="1"/>
  <c r="D142" i="44"/>
  <c r="D164" i="44" s="1"/>
  <c r="D98" i="42"/>
  <c r="D140" i="42"/>
  <c r="D141" i="42" s="1"/>
  <c r="D159" i="42" s="1"/>
  <c r="D52" i="44"/>
  <c r="D58" i="44" s="1"/>
  <c r="C45" i="42"/>
  <c r="D114" i="44"/>
  <c r="D116" i="44" s="1"/>
  <c r="D125" i="44" s="1"/>
  <c r="D162" i="42"/>
  <c r="D77" i="45"/>
  <c r="D82" i="45" s="1"/>
  <c r="D135" i="54"/>
  <c r="D51" i="42"/>
  <c r="C134" i="42" s="1"/>
  <c r="D134" i="42" s="1"/>
  <c r="D97" i="42"/>
  <c r="C116" i="48"/>
  <c r="C114" i="42"/>
  <c r="D103" i="42"/>
  <c r="D105" i="42" s="1"/>
  <c r="D50" i="42"/>
  <c r="D157" i="56"/>
  <c r="D95" i="44"/>
  <c r="D110" i="44" s="1"/>
  <c r="D109" i="44" s="1"/>
  <c r="D108" i="44" s="1"/>
  <c r="D77" i="44"/>
  <c r="D143" i="44" s="1"/>
  <c r="C143" i="44" s="1"/>
  <c r="D132" i="42"/>
  <c r="D202" i="42"/>
  <c r="D141" i="43"/>
  <c r="D159" i="43" s="1"/>
  <c r="D91" i="48"/>
  <c r="D157" i="43"/>
  <c r="D95" i="43"/>
  <c r="D94" i="43" s="1"/>
  <c r="D93" i="43" s="1"/>
  <c r="D90" i="45"/>
  <c r="D92" i="45" s="1"/>
  <c r="D82" i="54"/>
  <c r="D141" i="48"/>
  <c r="D159" i="48" s="1"/>
  <c r="D107" i="54"/>
  <c r="D114" i="48"/>
  <c r="D116" i="48" s="1"/>
  <c r="D125" i="48" s="1"/>
  <c r="D52" i="48"/>
  <c r="D56" i="48" s="1"/>
  <c r="D95" i="48"/>
  <c r="D94" i="48" s="1"/>
  <c r="D93" i="48" s="1"/>
  <c r="D103" i="51"/>
  <c r="D104" i="51" s="1"/>
  <c r="D106" i="51" s="1"/>
  <c r="D157" i="54"/>
  <c r="D92" i="48"/>
  <c r="D96" i="51"/>
  <c r="C45" i="51"/>
  <c r="D202" i="51"/>
  <c r="D137" i="51"/>
  <c r="C138" i="51" s="1"/>
  <c r="D52" i="54"/>
  <c r="D60" i="54" s="1"/>
  <c r="D50" i="51"/>
  <c r="C133" i="51" s="1"/>
  <c r="D133" i="51" s="1"/>
  <c r="D89" i="51"/>
  <c r="D90" i="51" s="1"/>
  <c r="D92" i="51" s="1"/>
  <c r="D132" i="51"/>
  <c r="D98" i="51"/>
  <c r="D90" i="43"/>
  <c r="D92" i="43" s="1"/>
  <c r="D143" i="54"/>
  <c r="C143" i="54" s="1"/>
  <c r="D51" i="51"/>
  <c r="C134" i="51" s="1"/>
  <c r="D134" i="51" s="1"/>
  <c r="C114" i="51"/>
  <c r="C115" i="51" s="1"/>
  <c r="D97" i="51"/>
  <c r="D162" i="51"/>
  <c r="D140" i="51"/>
  <c r="D135" i="43"/>
  <c r="D39" i="40"/>
  <c r="D75" i="40" s="1"/>
  <c r="D135" i="44"/>
  <c r="D52" i="43"/>
  <c r="D60" i="43" s="1"/>
  <c r="D90" i="44"/>
  <c r="D92" i="44" s="1"/>
  <c r="C133" i="48"/>
  <c r="D133" i="48" s="1"/>
  <c r="D135" i="48" s="1"/>
  <c r="D77" i="46"/>
  <c r="C82" i="46" s="1"/>
  <c r="D52" i="46"/>
  <c r="D60" i="46" s="1"/>
  <c r="C116" i="46"/>
  <c r="D104" i="46"/>
  <c r="D106" i="46" s="1"/>
  <c r="D114" i="46"/>
  <c r="D116" i="46" s="1"/>
  <c r="D125" i="46" s="1"/>
  <c r="D157" i="46"/>
  <c r="D158" i="46"/>
  <c r="D142" i="46"/>
  <c r="D164" i="46" s="1"/>
  <c r="D95" i="46"/>
  <c r="D90" i="46"/>
  <c r="D91" i="46"/>
  <c r="C116" i="55"/>
  <c r="D82" i="55"/>
  <c r="C82" i="55"/>
  <c r="D107" i="55"/>
  <c r="D102" i="55" s="1"/>
  <c r="D143" i="55"/>
  <c r="C143" i="55" s="1"/>
  <c r="C116" i="43"/>
  <c r="C116" i="45" l="1"/>
  <c r="D135" i="56"/>
  <c r="D141" i="52"/>
  <c r="D159" i="52" s="1"/>
  <c r="D104" i="56"/>
  <c r="D106" i="56" s="1"/>
  <c r="C116" i="56"/>
  <c r="D114" i="56"/>
  <c r="D116" i="56" s="1"/>
  <c r="D123" i="56" s="1"/>
  <c r="D90" i="47"/>
  <c r="D92" i="47" s="1"/>
  <c r="D158" i="52"/>
  <c r="D91" i="56"/>
  <c r="D88" i="56" s="1"/>
  <c r="D95" i="56"/>
  <c r="D110" i="56" s="1"/>
  <c r="D109" i="56" s="1"/>
  <c r="D108" i="56" s="1"/>
  <c r="D52" i="56"/>
  <c r="D59" i="56" s="1"/>
  <c r="D104" i="47"/>
  <c r="D106" i="47" s="1"/>
  <c r="D95" i="47"/>
  <c r="D110" i="47" s="1"/>
  <c r="D109" i="47" s="1"/>
  <c r="D108" i="47" s="1"/>
  <c r="D197" i="57"/>
  <c r="D196" i="57"/>
  <c r="D195" i="58"/>
  <c r="D197" i="58"/>
  <c r="D158" i="47"/>
  <c r="C116" i="47"/>
  <c r="D114" i="47"/>
  <c r="D116" i="47" s="1"/>
  <c r="D125" i="47" s="1"/>
  <c r="D114" i="53"/>
  <c r="D116" i="53" s="1"/>
  <c r="D142" i="55"/>
  <c r="D164" i="55" s="1"/>
  <c r="D135" i="47"/>
  <c r="D141" i="47"/>
  <c r="D159" i="47" s="1"/>
  <c r="C143" i="47"/>
  <c r="D52" i="47"/>
  <c r="D60" i="47" s="1"/>
  <c r="D89" i="40"/>
  <c r="D90" i="40" s="1"/>
  <c r="D51" i="40"/>
  <c r="C134" i="40" s="1"/>
  <c r="D134" i="40" s="1"/>
  <c r="D59" i="55"/>
  <c r="D62" i="55"/>
  <c r="D59" i="45"/>
  <c r="D56" i="45"/>
  <c r="D58" i="45"/>
  <c r="D80" i="45"/>
  <c r="D55" i="45"/>
  <c r="D60" i="45"/>
  <c r="D162" i="40"/>
  <c r="D96" i="40"/>
  <c r="D88" i="55"/>
  <c r="D157" i="49"/>
  <c r="D91" i="52"/>
  <c r="D88" i="52" s="1"/>
  <c r="D61" i="55"/>
  <c r="D58" i="55"/>
  <c r="D60" i="55"/>
  <c r="D80" i="55"/>
  <c r="D55" i="55"/>
  <c r="D56" i="55"/>
  <c r="D77" i="52"/>
  <c r="D82" i="52" s="1"/>
  <c r="D158" i="49"/>
  <c r="D77" i="53"/>
  <c r="D82" i="53" s="1"/>
  <c r="D77" i="49"/>
  <c r="C82" i="49" s="1"/>
  <c r="C138" i="42"/>
  <c r="D95" i="52"/>
  <c r="D110" i="52" s="1"/>
  <c r="D109" i="52" s="1"/>
  <c r="D108" i="52" s="1"/>
  <c r="D114" i="52"/>
  <c r="D116" i="52" s="1"/>
  <c r="D125" i="52" s="1"/>
  <c r="C116" i="52"/>
  <c r="D56" i="46"/>
  <c r="D62" i="45"/>
  <c r="D61" i="45"/>
  <c r="D94" i="55"/>
  <c r="D93" i="55" s="1"/>
  <c r="D104" i="53"/>
  <c r="D106" i="53" s="1"/>
  <c r="D141" i="50"/>
  <c r="D159" i="50" s="1"/>
  <c r="D90" i="50"/>
  <c r="D92" i="50" s="1"/>
  <c r="D95" i="50"/>
  <c r="D110" i="50" s="1"/>
  <c r="D109" i="50" s="1"/>
  <c r="D108" i="50" s="1"/>
  <c r="D91" i="42"/>
  <c r="D88" i="42" s="1"/>
  <c r="D88" i="54"/>
  <c r="D99" i="54" s="1"/>
  <c r="D119" i="54" s="1"/>
  <c r="D52" i="52"/>
  <c r="D57" i="52" s="1"/>
  <c r="D52" i="53"/>
  <c r="D56" i="53" s="1"/>
  <c r="D77" i="50"/>
  <c r="D143" i="50" s="1"/>
  <c r="C143" i="50" s="1"/>
  <c r="D143" i="43"/>
  <c r="C143" i="43" s="1"/>
  <c r="D90" i="49"/>
  <c r="D92" i="49" s="1"/>
  <c r="D88" i="49" s="1"/>
  <c r="D107" i="43"/>
  <c r="D102" i="43" s="1"/>
  <c r="C116" i="54"/>
  <c r="C133" i="52"/>
  <c r="D133" i="52" s="1"/>
  <c r="D135" i="52" s="1"/>
  <c r="C114" i="40"/>
  <c r="D114" i="40" s="1"/>
  <c r="D105" i="50"/>
  <c r="D157" i="50"/>
  <c r="D102" i="48"/>
  <c r="D95" i="53"/>
  <c r="D110" i="53" s="1"/>
  <c r="D109" i="53" s="1"/>
  <c r="D108" i="53" s="1"/>
  <c r="D135" i="50"/>
  <c r="C115" i="50"/>
  <c r="D115" i="50" s="1"/>
  <c r="D116" i="50" s="1"/>
  <c r="D52" i="50"/>
  <c r="D55" i="50" s="1"/>
  <c r="D142" i="56"/>
  <c r="D164" i="56" s="1"/>
  <c r="D95" i="42"/>
  <c r="D94" i="42" s="1"/>
  <c r="D93" i="42" s="1"/>
  <c r="D82" i="48"/>
  <c r="D110" i="54"/>
  <c r="D109" i="54" s="1"/>
  <c r="D108" i="54" s="1"/>
  <c r="D142" i="45"/>
  <c r="D164" i="45" s="1"/>
  <c r="D102" i="54"/>
  <c r="D91" i="53"/>
  <c r="D88" i="53" s="1"/>
  <c r="D62" i="44"/>
  <c r="C82" i="43"/>
  <c r="D141" i="53"/>
  <c r="D159" i="53" s="1"/>
  <c r="D105" i="52"/>
  <c r="D59" i="44"/>
  <c r="D57" i="44"/>
  <c r="D135" i="53"/>
  <c r="D95" i="49"/>
  <c r="D94" i="49" s="1"/>
  <c r="D93" i="49" s="1"/>
  <c r="D105" i="51"/>
  <c r="D104" i="42"/>
  <c r="D106" i="42" s="1"/>
  <c r="C82" i="48"/>
  <c r="D135" i="49"/>
  <c r="D143" i="48"/>
  <c r="C143" i="48" s="1"/>
  <c r="D157" i="53"/>
  <c r="D80" i="54"/>
  <c r="D114" i="49"/>
  <c r="D116" i="49" s="1"/>
  <c r="D123" i="49" s="1"/>
  <c r="C116" i="49"/>
  <c r="D98" i="40"/>
  <c r="D50" i="40"/>
  <c r="C133" i="40" s="1"/>
  <c r="D133" i="40" s="1"/>
  <c r="D142" i="43"/>
  <c r="D164" i="43" s="1"/>
  <c r="C82" i="45"/>
  <c r="D123" i="44"/>
  <c r="D114" i="51"/>
  <c r="D52" i="49"/>
  <c r="D55" i="49" s="1"/>
  <c r="D105" i="49"/>
  <c r="D104" i="49"/>
  <c r="D106" i="49" s="1"/>
  <c r="D91" i="40"/>
  <c r="C45" i="40"/>
  <c r="D57" i="48"/>
  <c r="D202" i="40"/>
  <c r="D140" i="40"/>
  <c r="D158" i="40" s="1"/>
  <c r="D142" i="47"/>
  <c r="D164" i="47" s="1"/>
  <c r="D61" i="54"/>
  <c r="D55" i="48"/>
  <c r="D58" i="48"/>
  <c r="D61" i="48"/>
  <c r="D97" i="40"/>
  <c r="D142" i="42"/>
  <c r="D164" i="42" s="1"/>
  <c r="D132" i="40"/>
  <c r="D94" i="44"/>
  <c r="D93" i="44" s="1"/>
  <c r="D62" i="48"/>
  <c r="D137" i="40"/>
  <c r="C138" i="40" s="1"/>
  <c r="D103" i="40"/>
  <c r="D105" i="40" s="1"/>
  <c r="C132" i="40"/>
  <c r="D94" i="45"/>
  <c r="D93" i="45" s="1"/>
  <c r="D142" i="48"/>
  <c r="D164" i="48" s="1"/>
  <c r="D80" i="48"/>
  <c r="D158" i="42"/>
  <c r="D157" i="42"/>
  <c r="D82" i="44"/>
  <c r="D77" i="42"/>
  <c r="D110" i="43"/>
  <c r="D109" i="43" s="1"/>
  <c r="D108" i="43" s="1"/>
  <c r="D142" i="54"/>
  <c r="D164" i="54" s="1"/>
  <c r="D107" i="44"/>
  <c r="D102" i="44" s="1"/>
  <c r="D111" i="44" s="1"/>
  <c r="D120" i="44" s="1"/>
  <c r="D60" i="44"/>
  <c r="D55" i="44"/>
  <c r="D80" i="44"/>
  <c r="D61" i="44"/>
  <c r="D143" i="45"/>
  <c r="C143" i="45" s="1"/>
  <c r="D88" i="48"/>
  <c r="D99" i="48" s="1"/>
  <c r="D119" i="48" s="1"/>
  <c r="D56" i="43"/>
  <c r="D110" i="48"/>
  <c r="D109" i="48" s="1"/>
  <c r="D108" i="48" s="1"/>
  <c r="D107" i="45"/>
  <c r="D102" i="45" s="1"/>
  <c r="D111" i="45" s="1"/>
  <c r="D120" i="45" s="1"/>
  <c r="C82" i="44"/>
  <c r="D88" i="45"/>
  <c r="D56" i="44"/>
  <c r="D55" i="43"/>
  <c r="D58" i="43"/>
  <c r="C133" i="42"/>
  <c r="D133" i="42" s="1"/>
  <c r="D135" i="42" s="1"/>
  <c r="D52" i="42"/>
  <c r="C115" i="42"/>
  <c r="D115" i="42" s="1"/>
  <c r="D61" i="43"/>
  <c r="D114" i="42"/>
  <c r="D62" i="43"/>
  <c r="D59" i="43"/>
  <c r="D52" i="51"/>
  <c r="D56" i="51" s="1"/>
  <c r="D123" i="43"/>
  <c r="D58" i="56"/>
  <c r="D55" i="54"/>
  <c r="D91" i="51"/>
  <c r="D88" i="51" s="1"/>
  <c r="D59" i="54"/>
  <c r="D62" i="54"/>
  <c r="D58" i="54"/>
  <c r="D123" i="48"/>
  <c r="D59" i="48"/>
  <c r="D60" i="48"/>
  <c r="D88" i="43"/>
  <c r="D99" i="43" s="1"/>
  <c r="D119" i="43" s="1"/>
  <c r="D56" i="54"/>
  <c r="D57" i="43"/>
  <c r="D80" i="43"/>
  <c r="D57" i="54"/>
  <c r="D60" i="56"/>
  <c r="D141" i="51"/>
  <c r="D159" i="51" s="1"/>
  <c r="D158" i="51"/>
  <c r="D157" i="51"/>
  <c r="D159" i="49"/>
  <c r="D142" i="49"/>
  <c r="D164" i="49" s="1"/>
  <c r="D95" i="51"/>
  <c r="D106" i="50"/>
  <c r="D62" i="56"/>
  <c r="D135" i="51"/>
  <c r="D77" i="51"/>
  <c r="D88" i="44"/>
  <c r="D115" i="51"/>
  <c r="C116" i="51"/>
  <c r="D123" i="55"/>
  <c r="C116" i="53"/>
  <c r="D56" i="56"/>
  <c r="C82" i="56"/>
  <c r="D143" i="56"/>
  <c r="C143" i="56" s="1"/>
  <c r="D107" i="56"/>
  <c r="C82" i="47"/>
  <c r="D107" i="47"/>
  <c r="D82" i="47"/>
  <c r="D62" i="46"/>
  <c r="D61" i="46"/>
  <c r="D58" i="46"/>
  <c r="D55" i="46"/>
  <c r="D59" i="46"/>
  <c r="D57" i="46"/>
  <c r="D107" i="46"/>
  <c r="D102" i="46" s="1"/>
  <c r="D82" i="46"/>
  <c r="D143" i="46"/>
  <c r="C143" i="46" s="1"/>
  <c r="D80" i="46"/>
  <c r="D123" i="46"/>
  <c r="D123" i="45"/>
  <c r="D94" i="46"/>
  <c r="D93" i="46" s="1"/>
  <c r="D110" i="46"/>
  <c r="D109" i="46" s="1"/>
  <c r="D108" i="46" s="1"/>
  <c r="D92" i="46"/>
  <c r="D88" i="46" s="1"/>
  <c r="D111" i="55"/>
  <c r="D120" i="55" s="1"/>
  <c r="D125" i="54"/>
  <c r="D123" i="54"/>
  <c r="D57" i="56" l="1"/>
  <c r="D125" i="56"/>
  <c r="D61" i="56"/>
  <c r="D55" i="56"/>
  <c r="D94" i="56"/>
  <c r="D93" i="56" s="1"/>
  <c r="D99" i="56" s="1"/>
  <c r="D119" i="56" s="1"/>
  <c r="D102" i="47"/>
  <c r="D111" i="47" s="1"/>
  <c r="D120" i="47" s="1"/>
  <c r="D57" i="47"/>
  <c r="D80" i="56"/>
  <c r="D88" i="47"/>
  <c r="D142" i="52"/>
  <c r="D164" i="52" s="1"/>
  <c r="D102" i="56"/>
  <c r="D111" i="56" s="1"/>
  <c r="D120" i="56" s="1"/>
  <c r="D94" i="47"/>
  <c r="D93" i="47" s="1"/>
  <c r="D198" i="57"/>
  <c r="D199" i="57" s="1"/>
  <c r="D209" i="57" s="1"/>
  <c r="D210" i="57" s="1"/>
  <c r="C215" i="57" s="1"/>
  <c r="D215" i="57" s="1"/>
  <c r="E12" i="38" s="1"/>
  <c r="D198" i="58"/>
  <c r="D199" i="58" s="1"/>
  <c r="D209" i="58" s="1"/>
  <c r="D210" i="58" s="1"/>
  <c r="C215" i="58" s="1"/>
  <c r="D215" i="58" s="1"/>
  <c r="E13" i="38" s="1"/>
  <c r="D56" i="47"/>
  <c r="D123" i="47"/>
  <c r="D59" i="47"/>
  <c r="D80" i="47"/>
  <c r="D58" i="47"/>
  <c r="D61" i="47"/>
  <c r="C82" i="52"/>
  <c r="D107" i="52"/>
  <c r="D102" i="52" s="1"/>
  <c r="D111" i="52" s="1"/>
  <c r="D120" i="52" s="1"/>
  <c r="D143" i="52"/>
  <c r="C143" i="52" s="1"/>
  <c r="D62" i="47"/>
  <c r="D55" i="47"/>
  <c r="D58" i="50"/>
  <c r="D63" i="45"/>
  <c r="D81" i="45" s="1"/>
  <c r="D83" i="45" s="1"/>
  <c r="D204" i="45" s="1"/>
  <c r="D163" i="45"/>
  <c r="D165" i="45" s="1"/>
  <c r="C165" i="45" s="1"/>
  <c r="D77" i="40"/>
  <c r="D143" i="40" s="1"/>
  <c r="C143" i="40" s="1"/>
  <c r="D99" i="55"/>
  <c r="D119" i="55" s="1"/>
  <c r="D121" i="55" s="1"/>
  <c r="D122" i="55" s="1"/>
  <c r="D124" i="55" s="1"/>
  <c r="D126" i="55" s="1"/>
  <c r="D204" i="55" s="1"/>
  <c r="C82" i="53"/>
  <c r="D107" i="53"/>
  <c r="D102" i="53" s="1"/>
  <c r="D111" i="53" s="1"/>
  <c r="D120" i="53" s="1"/>
  <c r="D143" i="53"/>
  <c r="C143" i="53" s="1"/>
  <c r="D82" i="49"/>
  <c r="D107" i="49"/>
  <c r="D102" i="49" s="1"/>
  <c r="D143" i="49"/>
  <c r="C143" i="49" s="1"/>
  <c r="D163" i="55"/>
  <c r="D165" i="55" s="1"/>
  <c r="C165" i="55" s="1"/>
  <c r="D94" i="52"/>
  <c r="D93" i="52" s="1"/>
  <c r="D99" i="52" s="1"/>
  <c r="D119" i="52" s="1"/>
  <c r="D142" i="50"/>
  <c r="D164" i="50" s="1"/>
  <c r="D63" i="55"/>
  <c r="D81" i="55" s="1"/>
  <c r="D83" i="55" s="1"/>
  <c r="D203" i="55" s="1"/>
  <c r="D62" i="50"/>
  <c r="D123" i="52"/>
  <c r="D57" i="50"/>
  <c r="D59" i="50"/>
  <c r="D99" i="42"/>
  <c r="D119" i="42" s="1"/>
  <c r="D61" i="52"/>
  <c r="D80" i="52"/>
  <c r="D88" i="50"/>
  <c r="D59" i="52"/>
  <c r="D60" i="52"/>
  <c r="D58" i="52"/>
  <c r="D56" i="52"/>
  <c r="D142" i="53"/>
  <c r="D164" i="53" s="1"/>
  <c r="D59" i="51"/>
  <c r="D125" i="49"/>
  <c r="D62" i="52"/>
  <c r="D157" i="40"/>
  <c r="D55" i="52"/>
  <c r="D94" i="50"/>
  <c r="D93" i="50" s="1"/>
  <c r="C115" i="40"/>
  <c r="D115" i="40" s="1"/>
  <c r="D116" i="40" s="1"/>
  <c r="D125" i="40" s="1"/>
  <c r="D57" i="53"/>
  <c r="D82" i="50"/>
  <c r="D58" i="53"/>
  <c r="D55" i="53"/>
  <c r="D62" i="53"/>
  <c r="D80" i="53"/>
  <c r="D59" i="53"/>
  <c r="D60" i="53"/>
  <c r="D61" i="53"/>
  <c r="D107" i="50"/>
  <c r="D102" i="50" s="1"/>
  <c r="D111" i="50" s="1"/>
  <c r="D120" i="50" s="1"/>
  <c r="C116" i="50"/>
  <c r="D111" i="43"/>
  <c r="D120" i="43" s="1"/>
  <c r="D121" i="43" s="1"/>
  <c r="D122" i="43" s="1"/>
  <c r="D124" i="43" s="1"/>
  <c r="D144" i="43" s="1"/>
  <c r="D145" i="43" s="1"/>
  <c r="D150" i="43" s="1"/>
  <c r="D99" i="49"/>
  <c r="D119" i="49" s="1"/>
  <c r="D58" i="49"/>
  <c r="C82" i="50"/>
  <c r="D123" i="50"/>
  <c r="D125" i="50"/>
  <c r="D60" i="50"/>
  <c r="D61" i="50"/>
  <c r="D80" i="50"/>
  <c r="D94" i="53"/>
  <c r="D93" i="53" s="1"/>
  <c r="D99" i="53" s="1"/>
  <c r="D119" i="53" s="1"/>
  <c r="D80" i="49"/>
  <c r="D110" i="42"/>
  <c r="D109" i="42" s="1"/>
  <c r="D108" i="42" s="1"/>
  <c r="D111" i="48"/>
  <c r="D120" i="48" s="1"/>
  <c r="D121" i="48" s="1"/>
  <c r="D122" i="48" s="1"/>
  <c r="D124" i="48" s="1"/>
  <c r="D56" i="50"/>
  <c r="D57" i="49"/>
  <c r="D111" i="54"/>
  <c r="D120" i="54" s="1"/>
  <c r="D121" i="54" s="1"/>
  <c r="D122" i="54" s="1"/>
  <c r="D124" i="54" s="1"/>
  <c r="D110" i="49"/>
  <c r="D109" i="49" s="1"/>
  <c r="D108" i="49" s="1"/>
  <c r="D52" i="40"/>
  <c r="D80" i="51"/>
  <c r="D60" i="49"/>
  <c r="D141" i="40"/>
  <c r="D159" i="40" s="1"/>
  <c r="D62" i="49"/>
  <c r="D135" i="40"/>
  <c r="D92" i="40"/>
  <c r="D88" i="40" s="1"/>
  <c r="D99" i="44"/>
  <c r="D119" i="44" s="1"/>
  <c r="D121" i="44" s="1"/>
  <c r="D122" i="44" s="1"/>
  <c r="D124" i="44" s="1"/>
  <c r="D144" i="44" s="1"/>
  <c r="D61" i="49"/>
  <c r="D60" i="51"/>
  <c r="D56" i="49"/>
  <c r="D57" i="51"/>
  <c r="D59" i="49"/>
  <c r="D62" i="51"/>
  <c r="D95" i="40"/>
  <c r="D110" i="40" s="1"/>
  <c r="D109" i="40" s="1"/>
  <c r="D108" i="40" s="1"/>
  <c r="D116" i="51"/>
  <c r="D123" i="51" s="1"/>
  <c r="D63" i="44"/>
  <c r="D81" i="44" s="1"/>
  <c r="D83" i="44" s="1"/>
  <c r="D204" i="44" s="1"/>
  <c r="D99" i="45"/>
  <c r="D119" i="45" s="1"/>
  <c r="D121" i="45" s="1"/>
  <c r="D122" i="45" s="1"/>
  <c r="D124" i="45" s="1"/>
  <c r="C136" i="45" s="1"/>
  <c r="D136" i="45" s="1"/>
  <c r="D131" i="45" s="1"/>
  <c r="D138" i="45" s="1"/>
  <c r="D170" i="45" s="1"/>
  <c r="D55" i="51"/>
  <c r="D163" i="44"/>
  <c r="D165" i="44" s="1"/>
  <c r="C165" i="44" s="1"/>
  <c r="D104" i="40"/>
  <c r="D106" i="40" s="1"/>
  <c r="D58" i="51"/>
  <c r="D61" i="51"/>
  <c r="D107" i="42"/>
  <c r="D102" i="42" s="1"/>
  <c r="D82" i="42"/>
  <c r="D143" i="42"/>
  <c r="C143" i="42" s="1"/>
  <c r="C82" i="42"/>
  <c r="D63" i="48"/>
  <c r="D81" i="48" s="1"/>
  <c r="D83" i="48" s="1"/>
  <c r="D204" i="48" s="1"/>
  <c r="C116" i="42"/>
  <c r="D63" i="43"/>
  <c r="D81" i="43" s="1"/>
  <c r="D83" i="43" s="1"/>
  <c r="D204" i="43" s="1"/>
  <c r="D163" i="54"/>
  <c r="D165" i="54" s="1"/>
  <c r="C165" i="54" s="1"/>
  <c r="D116" i="42"/>
  <c r="D60" i="42"/>
  <c r="D57" i="42"/>
  <c r="D56" i="42"/>
  <c r="D55" i="42"/>
  <c r="D62" i="42"/>
  <c r="D59" i="42"/>
  <c r="D80" i="42"/>
  <c r="D58" i="42"/>
  <c r="D61" i="42"/>
  <c r="D163" i="48"/>
  <c r="D165" i="48" s="1"/>
  <c r="C165" i="48" s="1"/>
  <c r="D163" i="43"/>
  <c r="D165" i="43" s="1"/>
  <c r="C165" i="43" s="1"/>
  <c r="D63" i="54"/>
  <c r="D81" i="54" s="1"/>
  <c r="D83" i="54" s="1"/>
  <c r="D204" i="54" s="1"/>
  <c r="D94" i="51"/>
  <c r="D93" i="51" s="1"/>
  <c r="D99" i="51" s="1"/>
  <c r="D119" i="51" s="1"/>
  <c r="D110" i="51"/>
  <c r="D109" i="51" s="1"/>
  <c r="D108" i="51" s="1"/>
  <c r="D143" i="51"/>
  <c r="C143" i="51" s="1"/>
  <c r="D107" i="51"/>
  <c r="D102" i="51" s="1"/>
  <c r="D82" i="51"/>
  <c r="C82" i="51"/>
  <c r="D142" i="51"/>
  <c r="D164" i="51" s="1"/>
  <c r="D63" i="46"/>
  <c r="D81" i="46" s="1"/>
  <c r="D83" i="46" s="1"/>
  <c r="D203" i="46" s="1"/>
  <c r="D163" i="46"/>
  <c r="D165" i="46" s="1"/>
  <c r="C165" i="46" s="1"/>
  <c r="D125" i="53"/>
  <c r="D123" i="53"/>
  <c r="D111" i="46"/>
  <c r="D120" i="46" s="1"/>
  <c r="D99" i="46"/>
  <c r="D119" i="46" s="1"/>
  <c r="D63" i="56" l="1"/>
  <c r="D81" i="56" s="1"/>
  <c r="D83" i="56" s="1"/>
  <c r="D204" i="56" s="1"/>
  <c r="D163" i="56"/>
  <c r="D165" i="56" s="1"/>
  <c r="C165" i="56" s="1"/>
  <c r="D121" i="56"/>
  <c r="D122" i="56" s="1"/>
  <c r="D124" i="56" s="1"/>
  <c r="C136" i="56" s="1"/>
  <c r="D136" i="56" s="1"/>
  <c r="D131" i="56" s="1"/>
  <c r="D138" i="56" s="1"/>
  <c r="D170" i="56" s="1"/>
  <c r="D99" i="47"/>
  <c r="D119" i="47" s="1"/>
  <c r="D121" i="47" s="1"/>
  <c r="D122" i="47" s="1"/>
  <c r="D124" i="47" s="1"/>
  <c r="D144" i="47" s="1"/>
  <c r="D145" i="47" s="1"/>
  <c r="D163" i="47"/>
  <c r="D165" i="47" s="1"/>
  <c r="C165" i="47" s="1"/>
  <c r="D63" i="47"/>
  <c r="D81" i="47" s="1"/>
  <c r="D83" i="47" s="1"/>
  <c r="D203" i="47" s="1"/>
  <c r="D57" i="40"/>
  <c r="D55" i="40"/>
  <c r="D82" i="40"/>
  <c r="C82" i="40"/>
  <c r="D107" i="40"/>
  <c r="D102" i="40" s="1"/>
  <c r="D111" i="40" s="1"/>
  <c r="D120" i="40" s="1"/>
  <c r="D121" i="52"/>
  <c r="D122" i="52" s="1"/>
  <c r="D124" i="52" s="1"/>
  <c r="C136" i="52" s="1"/>
  <c r="D136" i="52" s="1"/>
  <c r="D131" i="52" s="1"/>
  <c r="D138" i="52" s="1"/>
  <c r="D170" i="52" s="1"/>
  <c r="C116" i="40"/>
  <c r="D94" i="40"/>
  <c r="D93" i="40" s="1"/>
  <c r="D111" i="49"/>
  <c r="D120" i="49" s="1"/>
  <c r="D121" i="49" s="1"/>
  <c r="D122" i="49" s="1"/>
  <c r="D124" i="49" s="1"/>
  <c r="D126" i="49" s="1"/>
  <c r="D204" i="49" s="1"/>
  <c r="D121" i="53"/>
  <c r="D122" i="53" s="1"/>
  <c r="D124" i="53" s="1"/>
  <c r="C136" i="53" s="1"/>
  <c r="D136" i="53" s="1"/>
  <c r="D131" i="53" s="1"/>
  <c r="D138" i="53" s="1"/>
  <c r="D170" i="53" s="1"/>
  <c r="D99" i="50"/>
  <c r="D119" i="50" s="1"/>
  <c r="D121" i="50" s="1"/>
  <c r="D122" i="50" s="1"/>
  <c r="D124" i="50" s="1"/>
  <c r="D144" i="50" s="1"/>
  <c r="D145" i="50" s="1"/>
  <c r="D63" i="52"/>
  <c r="D81" i="52" s="1"/>
  <c r="D83" i="52" s="1"/>
  <c r="D203" i="52" s="1"/>
  <c r="D163" i="52"/>
  <c r="D165" i="52" s="1"/>
  <c r="C165" i="52" s="1"/>
  <c r="D63" i="53"/>
  <c r="D81" i="53" s="1"/>
  <c r="D83" i="53" s="1"/>
  <c r="D203" i="53" s="1"/>
  <c r="D123" i="40"/>
  <c r="D163" i="50"/>
  <c r="D165" i="50" s="1"/>
  <c r="C165" i="50" s="1"/>
  <c r="D163" i="53"/>
  <c r="D165" i="53" s="1"/>
  <c r="C165" i="53" s="1"/>
  <c r="D60" i="40"/>
  <c r="C136" i="44"/>
  <c r="D136" i="44" s="1"/>
  <c r="D131" i="44" s="1"/>
  <c r="D138" i="44" s="1"/>
  <c r="D170" i="44" s="1"/>
  <c r="D63" i="50"/>
  <c r="D81" i="50" s="1"/>
  <c r="D83" i="50" s="1"/>
  <c r="D204" i="50" s="1"/>
  <c r="D80" i="40"/>
  <c r="D58" i="40"/>
  <c r="D111" i="42"/>
  <c r="D120" i="42" s="1"/>
  <c r="D121" i="42" s="1"/>
  <c r="D122" i="42" s="1"/>
  <c r="D56" i="40"/>
  <c r="D142" i="40"/>
  <c r="D164" i="40" s="1"/>
  <c r="D62" i="40"/>
  <c r="D59" i="40"/>
  <c r="D61" i="40"/>
  <c r="D126" i="43"/>
  <c r="D205" i="43" s="1"/>
  <c r="D63" i="49"/>
  <c r="D81" i="49" s="1"/>
  <c r="D83" i="49" s="1"/>
  <c r="D203" i="49" s="1"/>
  <c r="C136" i="48"/>
  <c r="D136" i="48" s="1"/>
  <c r="D131" i="48" s="1"/>
  <c r="D138" i="48" s="1"/>
  <c r="D170" i="48" s="1"/>
  <c r="D144" i="48"/>
  <c r="C144" i="48" s="1"/>
  <c r="D163" i="49"/>
  <c r="D165" i="49" s="1"/>
  <c r="C165" i="49" s="1"/>
  <c r="D125" i="51"/>
  <c r="C144" i="43"/>
  <c r="D126" i="44"/>
  <c r="D205" i="44" s="1"/>
  <c r="D63" i="51"/>
  <c r="D81" i="51" s="1"/>
  <c r="D83" i="51" s="1"/>
  <c r="D203" i="51" s="1"/>
  <c r="C136" i="43"/>
  <c r="D136" i="43" s="1"/>
  <c r="D131" i="43" s="1"/>
  <c r="D138" i="43" s="1"/>
  <c r="D170" i="43" s="1"/>
  <c r="D126" i="48"/>
  <c r="D205" i="48" s="1"/>
  <c r="D163" i="51"/>
  <c r="D165" i="51" s="1"/>
  <c r="C165" i="51" s="1"/>
  <c r="D125" i="42"/>
  <c r="D123" i="42"/>
  <c r="D63" i="42"/>
  <c r="D81" i="42" s="1"/>
  <c r="D83" i="42" s="1"/>
  <c r="D203" i="42" s="1"/>
  <c r="D163" i="42"/>
  <c r="D165" i="42" s="1"/>
  <c r="C165" i="42" s="1"/>
  <c r="D111" i="51"/>
  <c r="D120" i="51" s="1"/>
  <c r="D121" i="51" s="1"/>
  <c r="D122" i="51" s="1"/>
  <c r="D124" i="51" s="1"/>
  <c r="D151" i="43"/>
  <c r="D148" i="43"/>
  <c r="D144" i="55"/>
  <c r="C144" i="55" s="1"/>
  <c r="D152" i="43"/>
  <c r="C136" i="55"/>
  <c r="D136" i="55" s="1"/>
  <c r="D131" i="55" s="1"/>
  <c r="D138" i="55" s="1"/>
  <c r="D170" i="55" s="1"/>
  <c r="D121" i="46"/>
  <c r="D122" i="46" s="1"/>
  <c r="D124" i="46" s="1"/>
  <c r="D144" i="46" s="1"/>
  <c r="C144" i="46" s="1"/>
  <c r="D144" i="45"/>
  <c r="C144" i="45" s="1"/>
  <c r="D126" i="45"/>
  <c r="D205" i="45" s="1"/>
  <c r="C144" i="44"/>
  <c r="D145" i="44"/>
  <c r="C145" i="43"/>
  <c r="D149" i="43"/>
  <c r="D153" i="43"/>
  <c r="C136" i="54"/>
  <c r="D136" i="54" s="1"/>
  <c r="D131" i="54" s="1"/>
  <c r="D138" i="54" s="1"/>
  <c r="D170" i="54" s="1"/>
  <c r="D144" i="54"/>
  <c r="D126" i="54"/>
  <c r="D126" i="56" l="1"/>
  <c r="D205" i="56" s="1"/>
  <c r="D144" i="56"/>
  <c r="D145" i="56" s="1"/>
  <c r="C145" i="56" s="1"/>
  <c r="C136" i="47"/>
  <c r="D136" i="47" s="1"/>
  <c r="D131" i="47" s="1"/>
  <c r="D138" i="47" s="1"/>
  <c r="D170" i="47" s="1"/>
  <c r="C144" i="47"/>
  <c r="D126" i="47"/>
  <c r="D204" i="47" s="1"/>
  <c r="D126" i="52"/>
  <c r="D204" i="52" s="1"/>
  <c r="D124" i="42"/>
  <c r="D126" i="42" s="1"/>
  <c r="D204" i="42" s="1"/>
  <c r="D144" i="52"/>
  <c r="C144" i="52" s="1"/>
  <c r="D99" i="40"/>
  <c r="D119" i="40" s="1"/>
  <c r="D121" i="40" s="1"/>
  <c r="D122" i="40" s="1"/>
  <c r="D124" i="40" s="1"/>
  <c r="D126" i="40" s="1"/>
  <c r="D204" i="40" s="1"/>
  <c r="C136" i="50"/>
  <c r="D136" i="50" s="1"/>
  <c r="D131" i="50" s="1"/>
  <c r="D138" i="50" s="1"/>
  <c r="D170" i="50" s="1"/>
  <c r="D144" i="49"/>
  <c r="C144" i="49" s="1"/>
  <c r="C136" i="49"/>
  <c r="D136" i="49" s="1"/>
  <c r="D131" i="49" s="1"/>
  <c r="D138" i="49" s="1"/>
  <c r="D170" i="49" s="1"/>
  <c r="D126" i="50"/>
  <c r="D205" i="50" s="1"/>
  <c r="D63" i="40"/>
  <c r="D81" i="40" s="1"/>
  <c r="D83" i="40" s="1"/>
  <c r="D203" i="40" s="1"/>
  <c r="D163" i="40"/>
  <c r="D165" i="40" s="1"/>
  <c r="C165" i="40" s="1"/>
  <c r="C144" i="50"/>
  <c r="D145" i="48"/>
  <c r="D153" i="48" s="1"/>
  <c r="D144" i="53"/>
  <c r="C144" i="53" s="1"/>
  <c r="D126" i="51"/>
  <c r="D204" i="51" s="1"/>
  <c r="D144" i="51"/>
  <c r="C144" i="51" s="1"/>
  <c r="C136" i="51"/>
  <c r="D136" i="51" s="1"/>
  <c r="D131" i="51" s="1"/>
  <c r="D138" i="51" s="1"/>
  <c r="D170" i="51" s="1"/>
  <c r="D126" i="53"/>
  <c r="D204" i="53" s="1"/>
  <c r="D145" i="55"/>
  <c r="C145" i="55" s="1"/>
  <c r="D145" i="46"/>
  <c r="D150" i="46" s="1"/>
  <c r="D126" i="46"/>
  <c r="D204" i="46" s="1"/>
  <c r="C136" i="46"/>
  <c r="D136" i="46" s="1"/>
  <c r="D131" i="46" s="1"/>
  <c r="D138" i="46" s="1"/>
  <c r="D170" i="46" s="1"/>
  <c r="D145" i="45"/>
  <c r="D150" i="45" s="1"/>
  <c r="C145" i="44"/>
  <c r="D152" i="44"/>
  <c r="D148" i="44"/>
  <c r="D153" i="44"/>
  <c r="D150" i="44"/>
  <c r="D149" i="44"/>
  <c r="D151" i="44"/>
  <c r="D154" i="43"/>
  <c r="D167" i="43" s="1"/>
  <c r="D171" i="43" s="1"/>
  <c r="D172" i="43" s="1"/>
  <c r="D205" i="54"/>
  <c r="C144" i="54"/>
  <c r="D145" i="54"/>
  <c r="D149" i="50"/>
  <c r="C145" i="50"/>
  <c r="D153" i="50"/>
  <c r="D151" i="50"/>
  <c r="D150" i="50"/>
  <c r="D148" i="50"/>
  <c r="D152" i="50"/>
  <c r="D149" i="47"/>
  <c r="D153" i="47"/>
  <c r="C145" i="47"/>
  <c r="D152" i="47"/>
  <c r="D148" i="47"/>
  <c r="D151" i="47"/>
  <c r="D150" i="47"/>
  <c r="D149" i="56" l="1"/>
  <c r="D148" i="56"/>
  <c r="D152" i="56"/>
  <c r="D153" i="56"/>
  <c r="D150" i="56"/>
  <c r="D151" i="56"/>
  <c r="C144" i="56"/>
  <c r="D145" i="49"/>
  <c r="D153" i="49" s="1"/>
  <c r="D145" i="52"/>
  <c r="D151" i="52" s="1"/>
  <c r="C136" i="40"/>
  <c r="D136" i="40" s="1"/>
  <c r="D131" i="40" s="1"/>
  <c r="D138" i="40" s="1"/>
  <c r="D170" i="40" s="1"/>
  <c r="D144" i="40"/>
  <c r="D145" i="40" s="1"/>
  <c r="D151" i="40" s="1"/>
  <c r="D152" i="46"/>
  <c r="D153" i="46"/>
  <c r="D152" i="48"/>
  <c r="D151" i="48"/>
  <c r="D148" i="48"/>
  <c r="C145" i="48"/>
  <c r="D149" i="48"/>
  <c r="D149" i="46"/>
  <c r="C145" i="46"/>
  <c r="D151" i="46"/>
  <c r="C136" i="42"/>
  <c r="D136" i="42" s="1"/>
  <c r="D131" i="42" s="1"/>
  <c r="D138" i="42" s="1"/>
  <c r="D170" i="42" s="1"/>
  <c r="D144" i="42"/>
  <c r="C144" i="42" s="1"/>
  <c r="D150" i="48"/>
  <c r="D153" i="55"/>
  <c r="D145" i="53"/>
  <c r="D152" i="53" s="1"/>
  <c r="D152" i="55"/>
  <c r="D149" i="55"/>
  <c r="D145" i="51"/>
  <c r="D149" i="51" s="1"/>
  <c r="D148" i="55"/>
  <c r="D150" i="55"/>
  <c r="D151" i="55"/>
  <c r="D153" i="45"/>
  <c r="D148" i="46"/>
  <c r="D149" i="45"/>
  <c r="C145" i="45"/>
  <c r="C167" i="43"/>
  <c r="D152" i="45"/>
  <c r="D148" i="45"/>
  <c r="D151" i="45"/>
  <c r="D154" i="44"/>
  <c r="D167" i="44" s="1"/>
  <c r="C145" i="54"/>
  <c r="D153" i="54"/>
  <c r="D149" i="54"/>
  <c r="D152" i="54"/>
  <c r="D150" i="54"/>
  <c r="D148" i="54"/>
  <c r="D151" i="54"/>
  <c r="D154" i="50"/>
  <c r="D167" i="50" s="1"/>
  <c r="D154" i="47"/>
  <c r="D167" i="47" s="1"/>
  <c r="D206" i="43"/>
  <c r="D208" i="43" s="1"/>
  <c r="D185" i="43"/>
  <c r="D154" i="56" l="1"/>
  <c r="D167" i="56" s="1"/>
  <c r="D171" i="56" s="1"/>
  <c r="D172" i="56" s="1"/>
  <c r="D150" i="49"/>
  <c r="D149" i="49"/>
  <c r="D151" i="49"/>
  <c r="D148" i="49"/>
  <c r="C145" i="49"/>
  <c r="D152" i="49"/>
  <c r="D150" i="52"/>
  <c r="D153" i="52"/>
  <c r="D148" i="52"/>
  <c r="D152" i="52"/>
  <c r="C145" i="52"/>
  <c r="D149" i="52"/>
  <c r="D153" i="40"/>
  <c r="C144" i="40"/>
  <c r="D152" i="40"/>
  <c r="C145" i="40"/>
  <c r="D150" i="40"/>
  <c r="D148" i="40"/>
  <c r="D149" i="40"/>
  <c r="D145" i="42"/>
  <c r="D149" i="42" s="1"/>
  <c r="D154" i="48"/>
  <c r="D167" i="48" s="1"/>
  <c r="D171" i="48" s="1"/>
  <c r="D172" i="48" s="1"/>
  <c r="D206" i="48" s="1"/>
  <c r="D208" i="48" s="1"/>
  <c r="D154" i="46"/>
  <c r="D167" i="46" s="1"/>
  <c r="D171" i="46" s="1"/>
  <c r="D172" i="46" s="1"/>
  <c r="D205" i="46" s="1"/>
  <c r="D207" i="46" s="1"/>
  <c r="D153" i="53"/>
  <c r="D148" i="53"/>
  <c r="D149" i="53"/>
  <c r="D150" i="53"/>
  <c r="C145" i="53"/>
  <c r="D151" i="53"/>
  <c r="D152" i="51"/>
  <c r="D154" i="55"/>
  <c r="D167" i="55" s="1"/>
  <c r="D171" i="55" s="1"/>
  <c r="D172" i="55" s="1"/>
  <c r="D205" i="55" s="1"/>
  <c r="D207" i="55" s="1"/>
  <c r="D153" i="51"/>
  <c r="C145" i="51"/>
  <c r="D150" i="51"/>
  <c r="D148" i="51"/>
  <c r="D151" i="51"/>
  <c r="D154" i="45"/>
  <c r="D167" i="45" s="1"/>
  <c r="C167" i="45" s="1"/>
  <c r="D154" i="54"/>
  <c r="D167" i="54" s="1"/>
  <c r="C167" i="54" s="1"/>
  <c r="C167" i="44"/>
  <c r="D171" i="44"/>
  <c r="D172" i="44" s="1"/>
  <c r="D171" i="50"/>
  <c r="D172" i="50" s="1"/>
  <c r="C167" i="50"/>
  <c r="D171" i="47"/>
  <c r="D172" i="47" s="1"/>
  <c r="C167" i="47"/>
  <c r="D190" i="43"/>
  <c r="D191" i="43" s="1"/>
  <c r="D192" i="43" s="1"/>
  <c r="D193" i="43" s="1"/>
  <c r="C167" i="56" l="1"/>
  <c r="D154" i="49"/>
  <c r="D167" i="49" s="1"/>
  <c r="D171" i="49" s="1"/>
  <c r="D172" i="49" s="1"/>
  <c r="D205" i="49" s="1"/>
  <c r="D207" i="49" s="1"/>
  <c r="D154" i="52"/>
  <c r="D167" i="52" s="1"/>
  <c r="D171" i="52" s="1"/>
  <c r="D172" i="52" s="1"/>
  <c r="D205" i="52" s="1"/>
  <c r="D207" i="52" s="1"/>
  <c r="C167" i="46"/>
  <c r="D184" i="46"/>
  <c r="D189" i="46" s="1"/>
  <c r="D190" i="46" s="1"/>
  <c r="D191" i="46" s="1"/>
  <c r="D192" i="46" s="1"/>
  <c r="D154" i="40"/>
  <c r="D167" i="40" s="1"/>
  <c r="C167" i="40" s="1"/>
  <c r="D153" i="42"/>
  <c r="D150" i="42"/>
  <c r="C145" i="42"/>
  <c r="D151" i="42"/>
  <c r="D148" i="42"/>
  <c r="D152" i="42"/>
  <c r="C167" i="48"/>
  <c r="D185" i="48"/>
  <c r="D190" i="48" s="1"/>
  <c r="D191" i="48" s="1"/>
  <c r="D192" i="48" s="1"/>
  <c r="D193" i="48" s="1"/>
  <c r="D196" i="48" s="1"/>
  <c r="D154" i="53"/>
  <c r="D167" i="53" s="1"/>
  <c r="C167" i="53" s="1"/>
  <c r="D184" i="55"/>
  <c r="D189" i="55" s="1"/>
  <c r="D190" i="55" s="1"/>
  <c r="D191" i="55" s="1"/>
  <c r="D192" i="55" s="1"/>
  <c r="D154" i="51"/>
  <c r="D167" i="51" s="1"/>
  <c r="D171" i="51" s="1"/>
  <c r="D172" i="51" s="1"/>
  <c r="C167" i="55"/>
  <c r="D171" i="45"/>
  <c r="D172" i="45" s="1"/>
  <c r="D206" i="45" s="1"/>
  <c r="D208" i="45" s="1"/>
  <c r="D206" i="56"/>
  <c r="D208" i="56" s="1"/>
  <c r="D185" i="56"/>
  <c r="D190" i="56" s="1"/>
  <c r="D191" i="56" s="1"/>
  <c r="D192" i="56" s="1"/>
  <c r="D193" i="56" s="1"/>
  <c r="D171" i="54"/>
  <c r="D172" i="54" s="1"/>
  <c r="D206" i="54" s="1"/>
  <c r="D208" i="54" s="1"/>
  <c r="D206" i="44"/>
  <c r="D208" i="44" s="1"/>
  <c r="D185" i="44"/>
  <c r="D190" i="44" s="1"/>
  <c r="D191" i="44" s="1"/>
  <c r="D192" i="44" s="1"/>
  <c r="D193" i="44" s="1"/>
  <c r="D206" i="50"/>
  <c r="D208" i="50" s="1"/>
  <c r="D185" i="50"/>
  <c r="D205" i="47"/>
  <c r="D207" i="47" s="1"/>
  <c r="D184" i="47"/>
  <c r="D196" i="43"/>
  <c r="D197" i="43"/>
  <c r="D195" i="43"/>
  <c r="C167" i="49" l="1"/>
  <c r="D184" i="49"/>
  <c r="D189" i="49" s="1"/>
  <c r="D190" i="49" s="1"/>
  <c r="D191" i="49" s="1"/>
  <c r="D192" i="49" s="1"/>
  <c r="D194" i="49" s="1"/>
  <c r="C167" i="52"/>
  <c r="D184" i="52"/>
  <c r="D189" i="52" s="1"/>
  <c r="D190" i="52" s="1"/>
  <c r="D191" i="52" s="1"/>
  <c r="D192" i="52" s="1"/>
  <c r="D171" i="40"/>
  <c r="D172" i="40" s="1"/>
  <c r="D205" i="40" s="1"/>
  <c r="D154" i="42"/>
  <c r="D167" i="42" s="1"/>
  <c r="D171" i="42" s="1"/>
  <c r="D172" i="42" s="1"/>
  <c r="D184" i="42" s="1"/>
  <c r="D189" i="42" s="1"/>
  <c r="D190" i="42" s="1"/>
  <c r="D191" i="42" s="1"/>
  <c r="D192" i="42" s="1"/>
  <c r="D197" i="48"/>
  <c r="D195" i="48"/>
  <c r="D171" i="53"/>
  <c r="D172" i="53" s="1"/>
  <c r="D184" i="53" s="1"/>
  <c r="D189" i="53" s="1"/>
  <c r="D190" i="53" s="1"/>
  <c r="D191" i="53" s="1"/>
  <c r="D192" i="53" s="1"/>
  <c r="C167" i="51"/>
  <c r="D185" i="45"/>
  <c r="D190" i="45" s="1"/>
  <c r="D191" i="45" s="1"/>
  <c r="D192" i="45" s="1"/>
  <c r="D193" i="45" s="1"/>
  <c r="D195" i="45" s="1"/>
  <c r="D184" i="51"/>
  <c r="D189" i="51" s="1"/>
  <c r="D190" i="51" s="1"/>
  <c r="D191" i="51" s="1"/>
  <c r="D192" i="51" s="1"/>
  <c r="D195" i="51" s="1"/>
  <c r="D205" i="51"/>
  <c r="D207" i="51" s="1"/>
  <c r="D185" i="54"/>
  <c r="D190" i="54" s="1"/>
  <c r="D191" i="54" s="1"/>
  <c r="D192" i="54" s="1"/>
  <c r="D193" i="54" s="1"/>
  <c r="D197" i="56"/>
  <c r="D196" i="56"/>
  <c r="D195" i="56"/>
  <c r="D195" i="44"/>
  <c r="D197" i="44"/>
  <c r="D196" i="44"/>
  <c r="D198" i="43"/>
  <c r="D199" i="43" s="1"/>
  <c r="D209" i="43" s="1"/>
  <c r="D210" i="43" s="1"/>
  <c r="D194" i="55"/>
  <c r="D196" i="55"/>
  <c r="D195" i="55"/>
  <c r="D190" i="50"/>
  <c r="D191" i="50" s="1"/>
  <c r="D192" i="50" s="1"/>
  <c r="D193" i="50" s="1"/>
  <c r="D189" i="47"/>
  <c r="D190" i="47" s="1"/>
  <c r="D191" i="47" s="1"/>
  <c r="D192" i="47" s="1"/>
  <c r="D194" i="46"/>
  <c r="D195" i="46"/>
  <c r="D196" i="46"/>
  <c r="E6" i="38" l="1"/>
  <c r="D196" i="49"/>
  <c r="D195" i="49"/>
  <c r="D205" i="42"/>
  <c r="D207" i="42" s="1"/>
  <c r="C167" i="42"/>
  <c r="D198" i="48"/>
  <c r="D199" i="48" s="1"/>
  <c r="D209" i="48" s="1"/>
  <c r="D210" i="48" s="1"/>
  <c r="E7" i="38" s="1"/>
  <c r="H7" i="38" s="1"/>
  <c r="D205" i="53"/>
  <c r="D207" i="53" s="1"/>
  <c r="D196" i="45"/>
  <c r="D197" i="45"/>
  <c r="D194" i="51"/>
  <c r="D196" i="51"/>
  <c r="D195" i="42"/>
  <c r="D194" i="42"/>
  <c r="D196" i="42"/>
  <c r="D195" i="53"/>
  <c r="D194" i="53"/>
  <c r="D196" i="53"/>
  <c r="D198" i="56"/>
  <c r="D199" i="56" s="1"/>
  <c r="D209" i="56" s="1"/>
  <c r="D210" i="56" s="1"/>
  <c r="D197" i="55"/>
  <c r="D198" i="55" s="1"/>
  <c r="D208" i="55" s="1"/>
  <c r="D209" i="55" s="1"/>
  <c r="D198" i="44"/>
  <c r="D199" i="44" s="1"/>
  <c r="D209" i="44" s="1"/>
  <c r="D210" i="44" s="1"/>
  <c r="D197" i="54"/>
  <c r="D196" i="54"/>
  <c r="D195" i="54"/>
  <c r="D196" i="52"/>
  <c r="D194" i="52"/>
  <c r="D195" i="52"/>
  <c r="D195" i="50"/>
  <c r="D197" i="50"/>
  <c r="D196" i="50"/>
  <c r="D195" i="47"/>
  <c r="D194" i="47"/>
  <c r="D196" i="47"/>
  <c r="D197" i="46"/>
  <c r="D198" i="46" s="1"/>
  <c r="D208" i="46" s="1"/>
  <c r="D209" i="46" s="1"/>
  <c r="C214" i="46" s="1"/>
  <c r="D214" i="46" s="1"/>
  <c r="E17" i="38" s="1"/>
  <c r="D197" i="49" l="1"/>
  <c r="D198" i="49" s="1"/>
  <c r="D208" i="49" s="1"/>
  <c r="D209" i="49" s="1"/>
  <c r="C214" i="49" s="1"/>
  <c r="D214" i="49" s="1"/>
  <c r="E20" i="38" s="1"/>
  <c r="H20" i="38" s="1"/>
  <c r="C214" i="55"/>
  <c r="D214" i="55" s="1"/>
  <c r="E16" i="38" s="1"/>
  <c r="C215" i="56"/>
  <c r="D215" i="56" s="1"/>
  <c r="E11" i="38" s="1"/>
  <c r="H12" i="38"/>
  <c r="H6" i="38"/>
  <c r="J7" i="38"/>
  <c r="E8" i="38"/>
  <c r="H8" i="38" s="1"/>
  <c r="J8" i="38" s="1"/>
  <c r="D197" i="51"/>
  <c r="D198" i="51" s="1"/>
  <c r="D208" i="51" s="1"/>
  <c r="D209" i="51" s="1"/>
  <c r="D198" i="45"/>
  <c r="D199" i="45" s="1"/>
  <c r="D209" i="45" s="1"/>
  <c r="D197" i="42"/>
  <c r="D198" i="42" s="1"/>
  <c r="D208" i="42" s="1"/>
  <c r="D209" i="42" s="1"/>
  <c r="D197" i="53"/>
  <c r="D198" i="53" s="1"/>
  <c r="D208" i="53" s="1"/>
  <c r="D209" i="53" s="1"/>
  <c r="D198" i="54"/>
  <c r="D199" i="54" s="1"/>
  <c r="D209" i="54" s="1"/>
  <c r="D210" i="54" s="1"/>
  <c r="D197" i="52"/>
  <c r="D198" i="52" s="1"/>
  <c r="D208" i="52" s="1"/>
  <c r="D209" i="52" s="1"/>
  <c r="D198" i="50"/>
  <c r="D199" i="50" s="1"/>
  <c r="D209" i="50" s="1"/>
  <c r="D210" i="50" s="1"/>
  <c r="D197" i="47"/>
  <c r="D198" i="47" s="1"/>
  <c r="D208" i="47" s="1"/>
  <c r="D209" i="47" s="1"/>
  <c r="D182" i="40"/>
  <c r="D206" i="40" s="1"/>
  <c r="D207" i="40" s="1"/>
  <c r="J20" i="38" l="1"/>
  <c r="J12" i="38"/>
  <c r="C214" i="47"/>
  <c r="D214" i="47" s="1"/>
  <c r="E21" i="38" s="1"/>
  <c r="H21" i="38" s="1"/>
  <c r="C214" i="52"/>
  <c r="D214" i="52" s="1"/>
  <c r="E19" i="38" s="1"/>
  <c r="H19" i="38" s="1"/>
  <c r="C214" i="51"/>
  <c r="D214" i="51" s="1"/>
  <c r="E18" i="38" s="1"/>
  <c r="H18" i="38" s="1"/>
  <c r="H17" i="38"/>
  <c r="C215" i="54"/>
  <c r="D215" i="54" s="1"/>
  <c r="E14" i="38" s="1"/>
  <c r="H14" i="38" s="1"/>
  <c r="C214" i="53"/>
  <c r="D214" i="53" s="1"/>
  <c r="E15" i="38" s="1"/>
  <c r="H15" i="38" s="1"/>
  <c r="H13" i="38"/>
  <c r="C215" i="50"/>
  <c r="D215" i="50" s="1"/>
  <c r="E10" i="38" s="1"/>
  <c r="H10" i="38" s="1"/>
  <c r="D210" i="45"/>
  <c r="C215" i="45" s="1"/>
  <c r="D215" i="45" s="1"/>
  <c r="E9" i="38" s="1"/>
  <c r="H16" i="38"/>
  <c r="H11" i="38"/>
  <c r="C214" i="42"/>
  <c r="D214" i="42" s="1"/>
  <c r="D184" i="40"/>
  <c r="D189" i="40" s="1"/>
  <c r="D190" i="40" s="1"/>
  <c r="D191" i="40" s="1"/>
  <c r="D192" i="40" s="1"/>
  <c r="D196" i="40" s="1"/>
  <c r="J6" i="38" l="1"/>
  <c r="J21" i="38"/>
  <c r="J19" i="38"/>
  <c r="J18" i="38"/>
  <c r="J17" i="38"/>
  <c r="J16" i="38"/>
  <c r="J15" i="38"/>
  <c r="J14" i="38"/>
  <c r="J10" i="38"/>
  <c r="J13" i="38"/>
  <c r="J11" i="38"/>
  <c r="H9" i="38"/>
  <c r="D194" i="40"/>
  <c r="D195" i="40"/>
  <c r="J9" i="38" l="1"/>
  <c r="D197" i="40"/>
  <c r="D198" i="40" s="1"/>
  <c r="D208" i="40" s="1"/>
  <c r="D209" i="40" s="1"/>
  <c r="C214" i="40" l="1"/>
  <c r="D214" i="40" l="1"/>
  <c r="E5" i="38" s="1"/>
  <c r="H5" i="38" s="1"/>
  <c r="H23" i="38" s="1"/>
  <c r="C16" i="35"/>
  <c r="D16" i="35" s="1"/>
  <c r="J5" i="38" l="1"/>
  <c r="J23" i="38" s="1"/>
  <c r="E16" i="35"/>
  <c r="F16" i="35"/>
  <c r="C12" i="35"/>
  <c r="D12" i="35" s="1"/>
  <c r="C9" i="35"/>
  <c r="D9" i="35" s="1"/>
  <c r="C18" i="35"/>
  <c r="D18" i="35" s="1"/>
  <c r="C10" i="35"/>
  <c r="D10" i="35" s="1"/>
  <c r="C17" i="35"/>
  <c r="D17" i="35" s="1"/>
  <c r="C15" i="35"/>
  <c r="D15" i="35" s="1"/>
  <c r="C11" i="35"/>
  <c r="D11" i="35" s="1"/>
  <c r="C6" i="35"/>
  <c r="D6" i="35" s="1"/>
  <c r="C13" i="35" l="1"/>
  <c r="D13" i="35" s="1"/>
  <c r="F13" i="35" s="1"/>
  <c r="F11" i="35"/>
  <c r="E11" i="35"/>
  <c r="F9" i="35"/>
  <c r="E9" i="35"/>
  <c r="F15" i="35"/>
  <c r="E15" i="35"/>
  <c r="F10" i="35"/>
  <c r="E10" i="35"/>
  <c r="E6" i="35"/>
  <c r="F6" i="35"/>
  <c r="E17" i="35"/>
  <c r="F17" i="35"/>
  <c r="F18" i="35"/>
  <c r="E18" i="35"/>
  <c r="F12" i="35"/>
  <c r="E12" i="35"/>
  <c r="C7" i="35"/>
  <c r="D7" i="35" s="1"/>
  <c r="E13" i="35" l="1"/>
  <c r="F7" i="35"/>
  <c r="E7" i="35"/>
  <c r="C14" i="35"/>
  <c r="D14" i="35" s="1"/>
  <c r="F14" i="35" l="1"/>
  <c r="E14" i="35"/>
  <c r="C3" i="35" l="1"/>
  <c r="D3" i="35" s="1"/>
  <c r="F3" i="35" s="1"/>
  <c r="C8" i="35"/>
  <c r="D8" i="35" s="1"/>
  <c r="C4" i="35"/>
  <c r="D4" i="35" s="1"/>
  <c r="E3" i="35" l="1"/>
  <c r="F4" i="35"/>
  <c r="E4" i="35"/>
  <c r="F8" i="35"/>
  <c r="E8" i="35"/>
  <c r="C5" i="35"/>
  <c r="D5" i="35" s="1"/>
  <c r="F5" i="35" l="1"/>
  <c r="E5" i="3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Luan Lucio da Silva</author>
    <author>LUAN LUCIO DA SILVA</author>
  </authors>
  <commentList>
    <comment ref="E11" authorId="0" shapeId="0" xr:uid="{04DE1AB2-EBAA-43E5-8068-2B8B0B4CECD4}">
      <text>
        <r>
          <rPr>
            <b/>
            <sz val="9"/>
            <color indexed="81"/>
            <rFont val="Segoe UI"/>
            <charset val="1"/>
          </rPr>
          <t>Fração de 8 colaboradores que usarão o material, entre a totalidade</t>
        </r>
      </text>
    </comment>
    <comment ref="E12" authorId="0" shapeId="0" xr:uid="{6CB9C9F6-3FE6-4146-8B68-F2113DE938BB}">
      <text>
        <r>
          <rPr>
            <b/>
            <sz val="9"/>
            <color indexed="81"/>
            <rFont val="Segoe UI"/>
            <charset val="1"/>
          </rPr>
          <t>Fração de 8 colaboradores que usarão o material, entre a totalidade</t>
        </r>
      </text>
    </comment>
    <comment ref="G26" authorId="1" shapeId="0" xr:uid="{336E6926-7B24-4CB0-A0B2-3144D3528909}">
      <text>
        <r>
          <rPr>
            <b/>
            <sz val="9"/>
            <color indexed="81"/>
            <rFont val="Segoe UI"/>
            <family val="2"/>
          </rPr>
          <t>depreciação total = 10 anos (artigo 305 do RIR/99) = 120 meses</t>
        </r>
      </text>
    </comment>
    <comment ref="G27" authorId="1" shapeId="0" xr:uid="{87ADE4C9-D65E-4266-BA35-CDAEFE30FA3C}">
      <text>
        <r>
          <rPr>
            <b/>
            <sz val="9"/>
            <color indexed="81"/>
            <rFont val="Segoe UI"/>
            <family val="2"/>
          </rPr>
          <t>depreciação total = 10 anos (artigo 305 do RIR/99) = 120 meses</t>
        </r>
      </text>
    </comment>
    <comment ref="G28" authorId="1" shapeId="0" xr:uid="{4FA26718-ACF2-4579-9288-510E35447C99}">
      <text>
        <r>
          <rPr>
            <b/>
            <sz val="9"/>
            <color indexed="81"/>
            <rFont val="Segoe UI"/>
            <family val="2"/>
          </rPr>
          <t>depreciação total = 10 anos (artigo 305 do RIR/99) = 120 meses</t>
        </r>
      </text>
    </comment>
    <comment ref="G31" authorId="0" shapeId="0" xr:uid="{B708DBFF-4119-457E-857E-3A99ADAD07E5}">
      <text>
        <r>
          <rPr>
            <b/>
            <sz val="9"/>
            <color indexed="81"/>
            <rFont val="Segoe UI"/>
            <charset val="1"/>
          </rPr>
          <t>Subtraido 2 colaboradores ASG que laboram na sede antiga;
+ encarr
+ 2 copeiro
+ lavador</t>
        </r>
      </text>
    </comment>
    <comment ref="G32" authorId="0" shapeId="0" xr:uid="{1506D916-443F-4901-AAEC-EA679F78289D}">
      <text>
        <r>
          <rPr>
            <b/>
            <sz val="9"/>
            <color indexed="81"/>
            <rFont val="Segoe UI"/>
            <family val="2"/>
          </rPr>
          <t xml:space="preserve">Acrescido Tratador
</t>
        </r>
      </text>
    </comment>
  </commentList>
</comments>
</file>

<file path=xl/sharedStrings.xml><?xml version="1.0" encoding="utf-8"?>
<sst xmlns="http://schemas.openxmlformats.org/spreadsheetml/2006/main" count="6770" uniqueCount="583">
  <si>
    <t>TIPO DE SERVIÇO</t>
  </si>
  <si>
    <t>VALOR UNI</t>
  </si>
  <si>
    <t>VALOR HR</t>
  </si>
  <si>
    <t>VALOR HR 50%</t>
  </si>
  <si>
    <t>VALOR HR 100%</t>
  </si>
  <si>
    <t>SR Auxiliar de Escritório</t>
  </si>
  <si>
    <t>SR Encarregado</t>
  </si>
  <si>
    <t>SR Motorista</t>
  </si>
  <si>
    <t>ITAJAÍ Auxiliar de Escritório</t>
  </si>
  <si>
    <t>ITAJAÍ Motorista</t>
  </si>
  <si>
    <t>ITAJAÍ Lider</t>
  </si>
  <si>
    <t>JOINVILLE Auxiliar de Escritório</t>
  </si>
  <si>
    <t>JOINVILLE Lider</t>
  </si>
  <si>
    <t>CRICIÚMA Auxiliar de Escritório</t>
  </si>
  <si>
    <t>CRICIÚMA Lider</t>
  </si>
  <si>
    <t>LAGES Auxiliar de Escritório</t>
  </si>
  <si>
    <t>LAGES Lider</t>
  </si>
  <si>
    <t>CHAPECÓ Auxiliar de Escritório</t>
  </si>
  <si>
    <t>CHAPECÓ Lider</t>
  </si>
  <si>
    <t>DIONÍSIO CERQ. Auxiliar de Escritório</t>
  </si>
  <si>
    <t>DIONÍSIO CERQ. Lider</t>
  </si>
  <si>
    <t>ADM</t>
  </si>
  <si>
    <t>LUCRO</t>
  </si>
  <si>
    <t>ANEXO I</t>
  </si>
  <si>
    <t>Quadro-resumo – VALOR MENSAL DOS SERVIÇOS</t>
  </si>
  <si>
    <t>Item</t>
  </si>
  <si>
    <t>Tipo de Servio</t>
  </si>
  <si>
    <t>Localidade</t>
  </si>
  <si>
    <t>Valor Unitário do Item [A]</t>
  </si>
  <si>
    <t>Qtde [B]</t>
  </si>
  <si>
    <t>Uni. Medida</t>
  </si>
  <si>
    <t>Valor Mensal [C = A x B]</t>
  </si>
  <si>
    <t>Qtde Total [D]</t>
  </si>
  <si>
    <t>TOTAL ANUAL [E = C * D]</t>
  </si>
  <si>
    <t>Auxiliar de Serviços Gerais + encarregado</t>
  </si>
  <si>
    <t>PORTO ALEGRE (SR)</t>
  </si>
  <si>
    <t>m²</t>
  </si>
  <si>
    <t>Copeira</t>
  </si>
  <si>
    <t>Posto</t>
  </si>
  <si>
    <t>Tratador de animais</t>
  </si>
  <si>
    <t>Lavador de Veículo</t>
  </si>
  <si>
    <t>Auxiliar de Serviços Gerais</t>
  </si>
  <si>
    <t>CAXIAS DO SUL (CXS)</t>
  </si>
  <si>
    <t>PASSO FUNDO (PFO)</t>
  </si>
  <si>
    <t>SANTO ANGELO (SAG)</t>
  </si>
  <si>
    <t>SÃO BORJA (SBA)</t>
  </si>
  <si>
    <t>URUGUAIANA (UGA)</t>
  </si>
  <si>
    <t>SANTA MARIA (SMA)</t>
  </si>
  <si>
    <t>SANTA CRUZ DO SUL (SCS)</t>
  </si>
  <si>
    <t>SANTANA DO LIVRAMENTO (SLI)</t>
  </si>
  <si>
    <t>BAGÉ (BGE)</t>
  </si>
  <si>
    <t>PELOTAS (PTS)</t>
  </si>
  <si>
    <t>RIO GRANDE (RGE)</t>
  </si>
  <si>
    <t>JAGUARÃO (JGO)</t>
  </si>
  <si>
    <t>CHUÍ (CHI)</t>
  </si>
  <si>
    <t>Limpeza de Fachada</t>
  </si>
  <si>
    <t>VALOR TOTAL</t>
  </si>
  <si>
    <t>MÓDULO 5  - COMPOSIÇÃO VALOR MENSAL</t>
  </si>
  <si>
    <t>A - UNIFORMES</t>
  </si>
  <si>
    <t>Discriminação dos Materiais</t>
  </si>
  <si>
    <t>CATMAT</t>
  </si>
  <si>
    <t>Valor Un.</t>
  </si>
  <si>
    <t>Quantidade</t>
  </si>
  <si>
    <t>Valor Total</t>
  </si>
  <si>
    <t>Durabilidade (meses)</t>
  </si>
  <si>
    <t>Gasto mensal</t>
  </si>
  <si>
    <t>Jaqueta</t>
  </si>
  <si>
    <t xml:space="preserve">Calça </t>
  </si>
  <si>
    <t>Camisa</t>
  </si>
  <si>
    <t>Camiseta</t>
  </si>
  <si>
    <t>Sapato</t>
  </si>
  <si>
    <t>345896/384197</t>
  </si>
  <si>
    <t>Meias</t>
  </si>
  <si>
    <t>Avental</t>
  </si>
  <si>
    <t>Capa de chuva</t>
  </si>
  <si>
    <t>Crachá (Confecção - Serviço)</t>
  </si>
  <si>
    <t>TOTAL - AUXILIAR LIMPEZA</t>
  </si>
  <si>
    <t>Vestido</t>
  </si>
  <si>
    <t>Touca</t>
  </si>
  <si>
    <t>Meias sapatilha</t>
  </si>
  <si>
    <t>TOTAL - COPEIRA</t>
  </si>
  <si>
    <t>B - OUTROS</t>
  </si>
  <si>
    <t>CATMAT/ CATSER</t>
  </si>
  <si>
    <t>Depreciação mensal</t>
  </si>
  <si>
    <t>Celular (exclusivo encarregado)</t>
  </si>
  <si>
    <t>Ponto biométrico com impressora</t>
  </si>
  <si>
    <t>Tarifa de abertura e manutenção Conta-Vinculada</t>
  </si>
  <si>
    <t>-</t>
  </si>
  <si>
    <t>PCMSO e PPRA</t>
  </si>
  <si>
    <t>Nº de funcionários (uso do equip.) por localidade</t>
  </si>
  <si>
    <t>Nº func.</t>
  </si>
  <si>
    <t>Deprec. / func.</t>
  </si>
  <si>
    <t>SR</t>
  </si>
  <si>
    <t>SR - antiga</t>
  </si>
  <si>
    <t>CXS</t>
  </si>
  <si>
    <t>PFO</t>
  </si>
  <si>
    <t>SAG</t>
  </si>
  <si>
    <t>SBA</t>
  </si>
  <si>
    <t>UGA</t>
  </si>
  <si>
    <t>SMA</t>
  </si>
  <si>
    <t>SCS</t>
  </si>
  <si>
    <t>SLI</t>
  </si>
  <si>
    <t>BGE</t>
  </si>
  <si>
    <t>PTS</t>
  </si>
  <si>
    <t>RGE</t>
  </si>
  <si>
    <t>JGO</t>
  </si>
  <si>
    <t>CHI</t>
  </si>
  <si>
    <t>Valor do insumo por funcionário será transposto automaticamente para o Item 5 de cada planilha de formação de preço</t>
  </si>
  <si>
    <t>ITEM</t>
  </si>
  <si>
    <t>MATERIAL</t>
  </si>
  <si>
    <t>UNIDADE</t>
  </si>
  <si>
    <t>R$ Referência</t>
  </si>
  <si>
    <t>QUANTIDADES E PREÇOS MENSAIS (AUXILIAR LIMPEZA)</t>
  </si>
  <si>
    <t>SR/RS</t>
  </si>
  <si>
    <r>
      <rPr>
        <sz val="10"/>
        <color rgb="FFFF0000"/>
        <rFont val="Franklin Gothic Book"/>
        <family val="2"/>
      </rPr>
      <t xml:space="preserve">Ácido muriático </t>
    </r>
    <r>
      <rPr>
        <sz val="10"/>
        <color theme="9" tint="-0.249977111117893"/>
        <rFont val="Franklin Gothic Book"/>
        <family val="2"/>
      </rPr>
      <t>Desengraxante; Aspecto Físico: Líquido; Aplicação: Limpeza Em Geral; Características Adicionais: Solúvel Em Água. Composição: Ácido: Sulfônico, Fluorídrico, Muriático</t>
    </r>
  </si>
  <si>
    <t>LITRO</t>
  </si>
  <si>
    <t xml:space="preserve">Água sanitaria c/ cloro ativo 2,0% a 2,5% (uso domèstico) recipente galão com 5 litros </t>
  </si>
  <si>
    <t>GALÃO</t>
  </si>
  <si>
    <t>Álcool etílico hidratado 92,8º INPM
(96 Gl), recipiente com 1 litro.</t>
  </si>
  <si>
    <t>Cera incolor líquida p/ piso paviflex (bombona de 5 litros)</t>
  </si>
  <si>
    <t xml:space="preserve">Desinfetante liquido ação germicida, bactericida (uso doméstico) </t>
  </si>
  <si>
    <t>Desodorante (DESODORIZADOR) sanitário, pedra de 40 gramas,</t>
  </si>
  <si>
    <t>UNI</t>
  </si>
  <si>
    <t xml:space="preserve">TELA DESODORIZADORA P/ MICTORIO </t>
  </si>
  <si>
    <t>Desodorizador de ar, embalagem de 360 -400 ml, spray.</t>
  </si>
  <si>
    <t>Frasco</t>
  </si>
  <si>
    <t>Detergente liquido neutro concentrado (uso domestico)galão de 5 litros.</t>
  </si>
  <si>
    <t>Esponja dupla face antibactérias 100x71x18mm.</t>
  </si>
  <si>
    <t>Disco limpador verde, 410 mm para enceradeira profissional, marca Bettanin ou de melhor qualidade</t>
  </si>
  <si>
    <t>Disco limpador preto, 410 mm para enceradeira profissional, marca Bettanin ou de melhor qualidade</t>
  </si>
  <si>
    <t>Disco limpador branco, 410 mm para enceradeira profissional, marca Bettanin ou de melhor qualidade</t>
  </si>
  <si>
    <t>Disco limpador verde, 350 mm para enceradeira profissional, marca Bettanin ou de melhor qualidade</t>
  </si>
  <si>
    <t>Disco limpador preto, 350 mm para enceradeira profissional, marca Bettanin ou de melhor qualidade</t>
  </si>
  <si>
    <t>Disco limpador branco, 350 mm para enceradeira profissional, marca Bettanin ou de melhor qualidade</t>
  </si>
  <si>
    <t>Esponja de lã de aço (pacote com 8 unidades)</t>
  </si>
  <si>
    <t>PCT</t>
  </si>
  <si>
    <t>Estopa de algodão (pacote com 400 a 500 gramas)</t>
  </si>
  <si>
    <t xml:space="preserve">Flanela branca, 40X60 cm, 100% algodão. </t>
  </si>
  <si>
    <t xml:space="preserve">Multi-lnseticida doméstico, embalagem de 300 ml, spray ou aerossol. </t>
  </si>
  <si>
    <t>Limpa-vidro, com proteção contra mancha de chuva, frasco com 500 ml.</t>
  </si>
  <si>
    <t xml:space="preserve">Limpador Multiuso 1ª qualidade, Frasco com 500 mi. </t>
  </si>
  <si>
    <t>Lustra-móveis, a base de silicone, repelente de umidade e poeira que permita um brilho seco. Embalagem descartável de 200ml</t>
  </si>
  <si>
    <t>Naftalina, tipo esfera branca (pacote com 1kg)</t>
  </si>
  <si>
    <t>Pano de chão, alvejado, tipo saco.</t>
  </si>
  <si>
    <t>Pano de chão, cru, tipo saco.</t>
  </si>
  <si>
    <t>Papel higiênico, picotado, extra macio, folha dupla e branca, não reciclado, 100% fibras, com 30 metros.</t>
  </si>
  <si>
    <t>Papel higiênico, tipo Rolão, de 300m</t>
  </si>
  <si>
    <t>Papel toalha, interfolhado, duas dobras, branco, 1ª qualidade, Pacote 1.000 folhas.</t>
  </si>
  <si>
    <t>PACOTE</t>
  </si>
  <si>
    <t>Papel toalha, Rolão, fardo c/ 06 rolos de 200m</t>
  </si>
  <si>
    <t>FARDO</t>
  </si>
  <si>
    <t>Pasta tipo Saponáceo cremoso, recipiente com 300 ml.</t>
  </si>
  <si>
    <t>Saponáceo em pó com detergente, perfumado com alquil benzeno sulfonato de sódio (embalagem de 500g). REF: Sapólio radium</t>
  </si>
  <si>
    <t>Refil para vassoura mop sec (bruxa)</t>
  </si>
  <si>
    <t>Removedor de cera de 1ª qualidade galão em 5 litros. Ref: Jato da Johnson &amp; Johnson</t>
  </si>
  <si>
    <t>Sabão em barra glicerinado, 200g (Pacote com 5 unidades)</t>
  </si>
  <si>
    <t xml:space="preserve">Sabão em pó c/ Bio Ativo de 1ª qualidade, Caixa de 1 Kg. </t>
  </si>
  <si>
    <t>Sabão líquido aromatizado / detergente para piso (GALÃO 5l)</t>
  </si>
  <si>
    <t>Sabonete em pedra 90 gramas</t>
  </si>
  <si>
    <t>Sabonete líquido, aspecto físico líquido, ph neutro, em embalagem apropriada para o dispenser a ser fornecido pela contratada.</t>
  </si>
  <si>
    <t>Saco para filtro de aspirador de pó</t>
  </si>
  <si>
    <t>Saco preto para lixo, alta resistência, c/ capacidade de 60 litros. Fardo c/ 100 unid.</t>
  </si>
  <si>
    <t>Saco verde para lixo, alta resistência, c/ capacidade de 60 litros. Fardo c/ 100 unid.</t>
  </si>
  <si>
    <t>Saco preto para lixo, alta resistência, c/ capacidade de 100 litros. Fardo c/ 100 unid.</t>
  </si>
  <si>
    <t>Saco verde para lixo, alta resistência, c/ capacidade de 100 litros. Fardo c/ 100 unid.</t>
  </si>
  <si>
    <t>Saco preto para lixo, alta resistência, c/ capacidade de 20 litros. Fardo c/ 100 unid.</t>
  </si>
  <si>
    <t>Escova para lavagem de garrafa térmica</t>
  </si>
  <si>
    <t>Pano de prato, branco, 100% algodão.</t>
  </si>
  <si>
    <t>Pano de pia, super absorvente</t>
  </si>
  <si>
    <t>Coador de pano grande para máquina de café da contratante</t>
  </si>
  <si>
    <t>Coador de pano médio, para bule de 02 litros</t>
  </si>
  <si>
    <t>Coador de pano médio, para bule de 05 litros</t>
  </si>
  <si>
    <t>TOTAL</t>
  </si>
  <si>
    <t>Quantidade Colaboradores</t>
  </si>
  <si>
    <t>TOTAL/Colaborador</t>
  </si>
  <si>
    <t>LAVADOR DE VEÍCULO</t>
  </si>
  <si>
    <t>Total</t>
  </si>
  <si>
    <r>
      <t xml:space="preserve">Aromatizante tipo bom ar, em aerossol, que não contenha CFC, para uso nos veículos oficiais </t>
    </r>
    <r>
      <rPr>
        <sz val="10"/>
        <color theme="9" tint="-0.249977111117893"/>
        <rFont val="Franklin Gothic Book"/>
        <family val="2"/>
      </rPr>
      <t>(Frasco 360-400ml)</t>
    </r>
  </si>
  <si>
    <t>Cera para polimento de veículo, lata com 200 gramas, marca Grand Prix ou similar</t>
  </si>
  <si>
    <t>LATA</t>
  </si>
  <si>
    <t>Cera protetora de vinil para veículo, frasco com 200 ml</t>
  </si>
  <si>
    <t>Escova de nylon manual para limpeza de veículo</t>
  </si>
  <si>
    <t>Esponja para aplicação de cera polidora na pintura e de produto nos pneus</t>
  </si>
  <si>
    <t>(idem Item 12)</t>
  </si>
  <si>
    <t>Esponja macia para lavagem da pintura de veículos</t>
  </si>
  <si>
    <t>Estopa para polimento dos veículos oficiais</t>
  </si>
  <si>
    <t>(idem Item 14)</t>
  </si>
  <si>
    <t>Flanela</t>
  </si>
  <si>
    <t>(idem Item 15)</t>
  </si>
  <si>
    <t>Querosene para uso no processo de limpeza dos veículos</t>
  </si>
  <si>
    <t>Pano para limpeza de veículos</t>
  </si>
  <si>
    <t>(idem Item 24)</t>
  </si>
  <si>
    <t>Produto para limpeza de pneus de veículos</t>
  </si>
  <si>
    <t>Xampu concentrado para lavagem de veículos</t>
  </si>
  <si>
    <t>ESPECIFICAÇÃO</t>
  </si>
  <si>
    <t>Unidade de Medida</t>
  </si>
  <si>
    <t>Valor Unitário</t>
  </si>
  <si>
    <t>QUANTITATIVO / DEPRECIAÇÃO MENSAL</t>
  </si>
  <si>
    <t xml:space="preserve">PFO </t>
  </si>
  <si>
    <r>
      <t xml:space="preserve">Aspirador de pó e água profissional – 1000 watts, 127/220v  </t>
    </r>
    <r>
      <rPr>
        <sz val="11"/>
        <color theme="9" tint="-0.249977111117893"/>
        <rFont val="Arial"/>
        <family val="2"/>
      </rPr>
      <t>Aspirador De Pó E Água - Material: Termoplástico; Capacidade: 15 L; Características Adicionais: 4 Rodizios, Guarnições; Tensão Alimentação: 220 V; Potência: 1.100 W.</t>
    </r>
  </si>
  <si>
    <t>Unidade</t>
  </si>
  <si>
    <r>
      <t xml:space="preserve">Balde espremedor </t>
    </r>
    <r>
      <rPr>
        <sz val="11"/>
        <color theme="9" tint="-0.249977111117893"/>
        <rFont val="Arial"/>
        <family val="2"/>
      </rPr>
      <t>Balde Com Espremedor - Material Base: Plástico; Altura: 84 CM; Capacidade Balde: 30 L; Material Balde: Plástico; Material Espremedor: Plástico; Tipo Espremedor: Pressão Vertical; Comprimento: 52 CM; Largura: 37 CM.</t>
    </r>
  </si>
  <si>
    <r>
      <t xml:space="preserve">Balde plástico de 10 litros </t>
    </r>
    <r>
      <rPr>
        <sz val="11"/>
        <color theme="9" tint="-0.249977111117893"/>
        <rFont val="Arial"/>
        <family val="2"/>
      </rPr>
      <t>Balde - Material: Pvc; Material Alça: Arame Galvanizado; Capacidade: 10 L; Cor: Preta</t>
    </r>
  </si>
  <si>
    <r>
      <t xml:space="preserve">Balde plástico de 20 litros </t>
    </r>
    <r>
      <rPr>
        <sz val="11"/>
        <color theme="9" tint="-0.249977111117893"/>
        <rFont val="Arial"/>
        <family val="2"/>
      </rPr>
      <t>Balde- Material: Plástico; Aplicação: Uso Geral; Capacidade: 20 L; Características Adicionais: Com Alça Metálica</t>
    </r>
  </si>
  <si>
    <r>
      <t>Bico para mangueira de 3 ¼</t>
    </r>
    <r>
      <rPr>
        <sz val="11"/>
        <color theme="9" tint="-0.249977111117893"/>
        <rFont val="Arial"/>
        <family val="2"/>
      </rPr>
      <t xml:space="preserve"> Bico Mangueira- Material: Aço; Tipo: Pistola; Bitola: 3/4 POL</t>
    </r>
  </si>
  <si>
    <r>
      <t xml:space="preserve">Bomba pulverizadora </t>
    </r>
    <r>
      <rPr>
        <sz val="11"/>
        <color theme="9" tint="-0.249977111117893"/>
        <rFont val="Arial"/>
        <family val="2"/>
      </rPr>
      <t>Pulverizador De Compressão Prévia
Capacidade: 1,25 L.Características Adicionais: Portátil, Manual De Mesa/Laboratório, Bomba De Ar</t>
    </r>
  </si>
  <si>
    <r>
      <t xml:space="preserve">Carrinho de mão, de pneu c/ câmara  </t>
    </r>
    <r>
      <rPr>
        <sz val="11"/>
        <color theme="9" tint="-0.249977111117893"/>
        <rFont val="Arial"/>
        <family val="2"/>
      </rPr>
      <t>Carrinho Mão. Tipo Roda: Pneu Maciço, Com 3,2 Pol De Diâmetro; Altura: 20 CM; Material Caçamba: Chapa Aço Galvanizado; Tipo Travessa: Suporte Dianteiro Caçamba; Quantidade Roda: 1; Espessura Caçamba: 5 MM; Comprimento Eixo: 25 CM; Comprimento: 80 CM; Largura: 62 CM; Material Pés: Ferro; Material Chassi: Ferro.</t>
    </r>
  </si>
  <si>
    <r>
      <t xml:space="preserve">Carro funcional </t>
    </r>
    <r>
      <rPr>
        <i/>
        <sz val="11"/>
        <color rgb="FFFF0000"/>
        <rFont val="Arial"/>
        <family val="2"/>
      </rPr>
      <t>master</t>
    </r>
    <r>
      <rPr>
        <sz val="11"/>
        <color rgb="FFFF0000"/>
        <rFont val="Arial"/>
        <family val="2"/>
      </rPr>
      <t xml:space="preserve"> para limpeza </t>
    </r>
    <r>
      <rPr>
        <sz val="11"/>
        <color theme="9" tint="-0.249977111117893"/>
        <rFont val="Arial"/>
        <family val="2"/>
      </rPr>
      <t>Carro Limpeza - Material: Metal E Plástico; Tipo: 4 Rodízios; Comprimento: 114 CM; Largura: 48 CM; Altura: 96 CM; Aplicação: Limpeza Industrial E Comercial; Características Adicionais: 3 Prateleiras, 4 Baldes, Saco Funcional E Tampa</t>
    </r>
  </si>
  <si>
    <r>
      <t xml:space="preserve">Desentupidor de pias </t>
    </r>
    <r>
      <rPr>
        <sz val="11"/>
        <color theme="9" tint="-0.249977111117893"/>
        <rFont val="Arial"/>
        <family val="2"/>
      </rPr>
      <t>Desentupidor Pia - Material: Borracha Flexível; Cor: Preta; Material Cabo: Plástico Resistente; Comprimento Cabo: 20 CM; Tipo: Sanfonado.</t>
    </r>
  </si>
  <si>
    <r>
      <t>Desentupidor de vasos</t>
    </r>
    <r>
      <rPr>
        <sz val="11"/>
        <color theme="9" tint="-0.249977111117893"/>
        <rFont val="Arial"/>
        <family val="2"/>
      </rPr>
      <t xml:space="preserve"> Desentupidor Vaso Sanitário - Material: Borracha Flexível; Cor: Preta; Altura: 10 CM; Diâmetro: 16 CM; Material Cabo: Madeira; Comprimento Cabo: 50 CM.</t>
    </r>
  </si>
  <si>
    <r>
      <t xml:space="preserve">Enceradeira doméstica </t>
    </r>
    <r>
      <rPr>
        <sz val="11"/>
        <color theme="9" tint="-0.249977111117893"/>
        <rFont val="Arial"/>
        <family val="2"/>
      </rPr>
      <t>Enceradeira
Tipo: Doméstica
Potência Motor: Mínimo 250 W
Tensão Alimentação: 110 / 220 V
Diâmetro Escova: 24 CM
Características Adicionais: Com Uma Escova</t>
    </r>
  </si>
  <si>
    <r>
      <t xml:space="preserve">Enceradeira profissional grande, Bandeirante ou de melhor qualidade </t>
    </r>
    <r>
      <rPr>
        <sz val="11"/>
        <color theme="9" tint="-0.249977111117893"/>
        <rFont val="Arial"/>
        <family val="2"/>
      </rPr>
      <t xml:space="preserve"> Enceradeira
Tipo: Industrial
Potência Motor: 1 HP
Tipo Motor: Monofásico
Tensão Alimentação: 110 / 220 V
Diâmetro Escova: 50 CM</t>
    </r>
  </si>
  <si>
    <t>485736 ou 315412</t>
  </si>
  <si>
    <r>
      <t xml:space="preserve">Escada de alumínio com no mínimo / 06 degraus </t>
    </r>
    <r>
      <rPr>
        <sz val="11"/>
        <color theme="9" tint="-0.249977111117893"/>
        <rFont val="Arial"/>
        <family val="2"/>
      </rPr>
      <t>Escada Doméstica
Material: Alumínio
Número Degraus: 6 UN
Altura: 1,70 M
Características Adicionais: Pés Anti-Derrapantes, Sapatas Borracha, Travamento
Capacidade: 120 KG</t>
    </r>
  </si>
  <si>
    <r>
      <t>Escada extensiva de alumínio, 13x2 degraus, tipo  Escelsa</t>
    </r>
    <r>
      <rPr>
        <sz val="11"/>
        <color theme="9" tint="-0.249977111117893"/>
        <rFont val="Arial"/>
        <family val="2"/>
      </rPr>
      <t xml:space="preserve"> Escada Extensível De Alumínio
Capacidade: 150 KG
Tipo Sapata: Borracha Antiderrapante
Tipo Degraus: 2 X 13
Quantidade Degraus: 26 UN
Altura Fechada: 4,16 M
Altura Aberta: 3,89 M
Material: Alumínio
Altura Estendida: 6,88 M
Características Adicionais: Rodízios Na Parte Superior</t>
    </r>
  </si>
  <si>
    <r>
      <t>Escova oval de nylon, grande</t>
    </r>
    <r>
      <rPr>
        <sz val="11"/>
        <color theme="9" tint="-0.249977111117893"/>
        <rFont val="Arial"/>
        <family val="2"/>
      </rPr>
      <t xml:space="preserve"> Escova Limpeza Geral
Material Corpo: Madeira
Material Cerdas: Náilon
Características Adicionais: Ovalada
Comprimento: 12,50 CM
Largura: 6 CM
Espessura: 4 CM</t>
    </r>
  </si>
  <si>
    <r>
      <t>Espanador de pó</t>
    </r>
    <r>
      <rPr>
        <sz val="11"/>
        <color theme="9" tint="-0.249977111117893"/>
        <rFont val="Arial"/>
        <family val="2"/>
      </rPr>
      <t xml:space="preserve"> Espanador
Material: Penas
Material Cabo: Madeira
Comprimento Cabo: 40 CM
Características Adicionais: Torneado E Reforçado</t>
    </r>
  </si>
  <si>
    <r>
      <t xml:space="preserve">Espátula de 3” </t>
    </r>
    <r>
      <rPr>
        <sz val="11"/>
        <color theme="9" tint="-0.249977111117893"/>
        <rFont val="Arial"/>
        <family val="2"/>
      </rPr>
      <t>Espátula
Material Lâmina: Aço Cromado
Material Cabo: Plástico
Aplicação: Massa E Raspagem
Comprimento Total: 21,60 CM
Largura Da Lâmina: 6 CM</t>
    </r>
  </si>
  <si>
    <r>
      <t>Lava jato profissional, móvel, de 1600 libras</t>
    </r>
    <r>
      <rPr>
        <sz val="11"/>
        <color theme="9" tint="-0.249977111117893"/>
        <rFont val="Arial"/>
        <family val="2"/>
      </rPr>
      <t xml:space="preserve"> Lavadora Alta Pressão
Pressão: 1600 PSI
Vazão: 7,5 L/MIN
Tensão: 220 V
Potência Consumida: 2,9 KW
Características Adicionais: 3 Pistões E Carrinho De Transporte
Tipo: Lava-Jato
Modelo: Profissional
Acessórios: Reservatório Para Detergente E Mangueira De Alta P</t>
    </r>
  </si>
  <si>
    <r>
      <t xml:space="preserve">Luva impermeável de borracha látex (P, M e G) </t>
    </r>
    <r>
      <rPr>
        <sz val="11"/>
        <color theme="9" tint="-0.249977111117893"/>
        <rFont val="Arial"/>
        <family val="2"/>
      </rPr>
      <t>Luva De Proteção
Material: Latéx
Finalidade: Epi - Equipamento De Proteção Individual
Tamanho: Médio
Características Adicionais: Forro Flocado Algodão, Comprimento Mínimo 29cm
Acabamento Palma: Antiderrapante</t>
    </r>
  </si>
  <si>
    <t>Par</t>
  </si>
  <si>
    <r>
      <t xml:space="preserve">Luva de couro </t>
    </r>
    <r>
      <rPr>
        <sz val="11"/>
        <color theme="9" tint="-0.249977111117893"/>
        <rFont val="Arial"/>
        <family val="2"/>
      </rPr>
      <t>Luva Industrial
Material: Couro
Revestimento Interno: Couro
Acabamento Superficial: Costura Externa
Características Adicionais: Anti-Derrapante
Tamanho Cano: 11 Cm</t>
    </r>
  </si>
  <si>
    <r>
      <t xml:space="preserve">Mangueira trançada reforçada ½ polegada </t>
    </r>
    <r>
      <rPr>
        <sz val="11"/>
        <color theme="9" tint="-0.249977111117893"/>
        <rFont val="Arial"/>
        <family val="2"/>
      </rPr>
      <t>Mangueira Jardim
Material: Pvc Trançado Em Fio Poliéster
Diâmetro: 1/2 POL
Espessura: 2 MM
Pressão Máxima: 10,34 BAR.
Cor: Verde/Cristal</t>
    </r>
  </si>
  <si>
    <t>ROLO 50m</t>
  </si>
  <si>
    <r>
      <t>Óculos de proteção</t>
    </r>
    <r>
      <rPr>
        <sz val="11"/>
        <color theme="9" tint="-0.249977111117893"/>
        <rFont val="Arial"/>
        <family val="2"/>
      </rPr>
      <t xml:space="preserve"> Óculos Proteção
Material Armação: Plástico Rígido
Tipo Proteção: Ampla Visão
Material Proteção: Policarbonato
Tipo Lente: Policarbonato Translúcido
Cor Lente: Incolor
Aplicação: Contra Impactos De Particulas E Ráios Ultravioleta
Características Adicionais: Ajuste Por Tirante Elástico Apresilhadas Nas Later</t>
    </r>
  </si>
  <si>
    <t>485731 ou 247031</t>
  </si>
  <si>
    <r>
      <t>Pá p/ lixo de plástico, cabo longo</t>
    </r>
    <r>
      <rPr>
        <sz val="11"/>
        <color theme="9" tint="-0.249977111117893"/>
        <rFont val="Arial"/>
        <family val="2"/>
      </rPr>
      <t xml:space="preserve"> Pá Coletora Lixo
Material Coletor: Poliestireno
Material Cabo: Alumínio
Comprimento Cabo: 80 CM
Comprimento: 28 CM
Largura: 28 CM
Altura: 81 CM
Aplicação: Limpeza
Modelo: Com Tampa</t>
    </r>
  </si>
  <si>
    <r>
      <t xml:space="preserve">Rodo de plástico c/ borracha dupla c/base de 40 cm </t>
    </r>
    <r>
      <rPr>
        <sz val="11"/>
        <color theme="9" tint="-0.249977111117893"/>
        <rFont val="Arial"/>
        <family val="2"/>
      </rPr>
      <t>Rodo
Material Cabo: Madeira Com Capa Plástica
Material Suporte: Madeira
Comprimento Suporte: 40 CM
Quantidade Borrachas: 2 UN
Características Adicionais: Cabo 1,40 M</t>
    </r>
  </si>
  <si>
    <r>
      <t>Sinalizador para piso molhado/Placa de advertência “piso escorregadio”</t>
    </r>
    <r>
      <rPr>
        <sz val="11"/>
        <color theme="9" tint="-0.249977111117893"/>
        <rFont val="Arial"/>
        <family val="2"/>
      </rPr>
      <t xml:space="preserve"> Cavalete Sinalização
Material: Polipropileno
Largura: 0,23 M
Altura: 60 CM
Cor: Laranja/Amarelo
Características Adicionais: Dobrável, Conforme Modelo Do Órgão
Aplicação: Advertência Piso Escorregadio</t>
    </r>
  </si>
  <si>
    <r>
      <t>Vassoura de limpar vaso</t>
    </r>
    <r>
      <rPr>
        <sz val="11"/>
        <color theme="9" tint="-0.249977111117893"/>
        <rFont val="Arial"/>
        <family val="2"/>
      </rPr>
      <t xml:space="preserve"> Vassourinha
Material Cerda: Náilon
Material Cabo: Plástico
Aplicação: Limpeza Sanitário</t>
    </r>
  </si>
  <si>
    <r>
      <t xml:space="preserve">Vassoura de pelo </t>
    </r>
    <r>
      <rPr>
        <sz val="11"/>
        <color theme="9" tint="-0.249977111117893"/>
        <rFont val="Arial"/>
        <family val="2"/>
      </rPr>
      <t>Vassoura
Material Cerdas: Pêlo Sintético
Material Cepa: Madeira
Comprimento Cepa: 40 CM
Características Adicionais: Cabo Rosqueável, 1,20 M
Largura Cepa: 4,5 CM</t>
    </r>
  </si>
  <si>
    <r>
      <t xml:space="preserve">Vassoura cerdas nylon </t>
    </r>
    <r>
      <rPr>
        <sz val="11"/>
        <color theme="9" tint="-0.249977111117893"/>
        <rFont val="Arial"/>
        <family val="2"/>
      </rPr>
      <t>Vassoura
Material Cerdas: Náilon
Material Cepa: Polipropileno
Comprimento Cepa: 25 CM
Características Adicionais: Com Ponteira Alça, Cabo Rosqueado De 1,20 M</t>
    </r>
  </si>
  <si>
    <r>
      <t>Vassourão de piaçava com 50 cm.</t>
    </r>
    <r>
      <rPr>
        <sz val="11"/>
        <color theme="9" tint="-0.249977111117893"/>
        <rFont val="Arial"/>
        <family val="2"/>
      </rPr>
      <t xml:space="preserve"> Vassoura
Material Cerdas: Piaçava
Material Cabo: Madeira
Material Cepa: Madeira
Comprimento Cepa: 50 CM
Características Adicionais: 36 Furos, 13 Cm De Piaçava Fora Da Cepa, Cepa Com
Largura Cepa: 5 CM
Altura Cepa: 5 CM
Comprimento Cabo: 110 CM</t>
    </r>
  </si>
  <si>
    <t>lixeira 15L</t>
  </si>
  <si>
    <t>lixeira 60L</t>
  </si>
  <si>
    <r>
      <t xml:space="preserve">Vassoura p/ limpar teto </t>
    </r>
    <r>
      <rPr>
        <sz val="11"/>
        <color theme="9" tint="-0.249977111117893"/>
        <rFont val="Arial"/>
        <family val="2"/>
      </rPr>
      <t>Vassoura
Material Cerdas: Sisal
Material Cabo: Madeira
Tipo: Vasculho
Aplicação: Limpeza Teto
Comprimento Cabo: 170 CM</t>
    </r>
  </si>
  <si>
    <r>
      <t xml:space="preserve">Vassoura tipo mop sec </t>
    </r>
    <r>
      <rPr>
        <sz val="11"/>
        <color theme="9" tint="-0.249977111117893"/>
        <rFont val="Arial"/>
        <family val="2"/>
      </rPr>
      <t>Mop Pó
Material: Fibras De Algodão
Aplicação: Limpeza
Gramatura: 300 G/M2
Características Adicionais: Alumínio, Cabo 1,50 M, Lavável E Adaptável
Base Do Mop: 60 CM</t>
    </r>
  </si>
  <si>
    <r>
      <t xml:space="preserve">Fio elétrico p/ extensão, mínimo 30 metros </t>
    </r>
    <r>
      <rPr>
        <sz val="11"/>
        <color theme="9" tint="-0.249977111117893"/>
        <rFont val="Arial"/>
        <family val="2"/>
      </rPr>
      <t>Extensão Elétrica
Tipo: Flexível
Comprimento: 30 M
Componentes: 3 Tomadas Fêmeas E Plugue Terra
Tensão Nominal: 250 V
Normas Técnicas: Nbr 14136
Corrente Nominal: 10 A</t>
    </r>
  </si>
  <si>
    <r>
      <t>Dispenser</t>
    </r>
    <r>
      <rPr>
        <sz val="11"/>
        <color rgb="FF000000"/>
        <rFont val="Arial"/>
        <family val="2"/>
      </rPr>
      <t xml:space="preserve"> de “mesa” p/ sabonete líquido em material plástico transparente, c/ válvula p/ acionamento por pressão</t>
    </r>
    <r>
      <rPr>
        <i/>
        <sz val="11"/>
        <color rgb="FF000000"/>
        <rFont val="Arial"/>
        <family val="2"/>
      </rPr>
      <t xml:space="preserve"> </t>
    </r>
    <r>
      <rPr>
        <i/>
        <sz val="11"/>
        <color theme="9" tint="-0.249977111117893"/>
        <rFont val="Arial"/>
        <family val="2"/>
      </rPr>
      <t>Garrafa
Material: Plástico
Capacidade: 1.000 ML
Aplicação: Sabão Líquido
Características Adicionais: Dosador De Sabão/Roscável/Bitola Adaptador 1/2" Em</t>
    </r>
  </si>
  <si>
    <t>Cortador de grama costal a gasolina (sthil ou similar)</t>
  </si>
  <si>
    <t>Podador de árvore a gasolina (sthil ou similar)</t>
  </si>
  <si>
    <t>Soprador a de folhas gasolina (sthil ou similar)</t>
  </si>
  <si>
    <r>
      <t>Enxada com cabo</t>
    </r>
    <r>
      <rPr>
        <sz val="11"/>
        <color theme="9" tint="-0.249977111117893"/>
        <rFont val="Arial"/>
        <family val="2"/>
      </rPr>
      <t xml:space="preserve"> Enxada
Material: Aço Carbono
Material Encaixe Cabo: Ferro Fundido
Largura: 30 CM
Altura: 18 CM
Peso: 1 KG
Tipo: Estampado(Achatado)
Material Cabo: Madeira
Comprimento Cabo: 150 CM</t>
    </r>
  </si>
  <si>
    <r>
      <t xml:space="preserve">Facão </t>
    </r>
    <r>
      <rPr>
        <sz val="11"/>
        <color theme="9" tint="-0.249977111117893"/>
        <rFont val="Arial"/>
        <family val="2"/>
      </rPr>
      <t>Facão
Material Lâmina: Aço
Material Cabo: Polipropileno
Comprimento: 14 POL
Tipo: Para Mato
Características Adicionais: Com Bainha</t>
    </r>
  </si>
  <si>
    <r>
      <t xml:space="preserve">Rastilho </t>
    </r>
    <r>
      <rPr>
        <sz val="11"/>
        <color rgb="FFFF0000"/>
        <rFont val="Arial"/>
        <family val="2"/>
      </rPr>
      <t>(rastelo, ancinho?)</t>
    </r>
    <r>
      <rPr>
        <sz val="11"/>
        <color rgb="FF000000"/>
        <rFont val="Arial"/>
        <family val="2"/>
      </rPr>
      <t xml:space="preserve"> </t>
    </r>
    <r>
      <rPr>
        <sz val="11"/>
        <color theme="9" tint="-0.249977111117893"/>
        <rFont val="Arial"/>
        <family val="2"/>
      </rPr>
      <t>Ancinho Jardinagem
Material: Chapa Ferro
Quantidade Dentes: 22 UN
Altura Dentes: 420 MM
Largura Total: 320 MM
Espessura Dentes: 3,50 MM
Características Adicionais: Com Cabo Madeira</t>
    </r>
  </si>
  <si>
    <r>
      <t xml:space="preserve">Vassoura grande de varrer pátio </t>
    </r>
    <r>
      <rPr>
        <sz val="11"/>
        <color theme="9" tint="-0.249977111117893"/>
        <rFont val="Arial"/>
        <family val="2"/>
      </rPr>
      <t>Vassoura Jardinagem
Tipo: Fixa
Material Cerdas: Polipropileno Alta Resistência
Características Adicionais: Com Cabo 120 Cm
Quantidade Lâminas: 22 UN</t>
    </r>
  </si>
  <si>
    <r>
      <t xml:space="preserve">Aspersor de água reto </t>
    </r>
    <r>
      <rPr>
        <sz val="11"/>
        <color theme="9" tint="-0.249977111117893"/>
        <rFont val="Arial"/>
        <family val="2"/>
      </rPr>
      <t>Aspersor
Material: Polietileno
Aplicação: Irrigação
Pressão: 1,4 A 3,8 BAR.
Vazão: 0,29 A A,49 M3/H</t>
    </r>
  </si>
  <si>
    <r>
      <t>Tesoura para pode de árvore</t>
    </r>
    <r>
      <rPr>
        <sz val="11"/>
        <color theme="9" tint="-0.249977111117893"/>
        <rFont val="Arial"/>
        <family val="2"/>
      </rPr>
      <t xml:space="preserve"> Tesoura Poda
Material Lâmina: Chapa Galvanizada
Características Adicionais: Com Guilhotina De Mola
Comprimento: 30 CM
Formato: Bico De Gavião</t>
    </r>
  </si>
  <si>
    <t>Bandeja em aço inoxidável, com alças, acabamento decorado, tamanho grande</t>
  </si>
  <si>
    <t>Garrafa térmica de pressão, com capacidade aproximada de 1,9 litros, acabamento interno e externo em aço inoxidável, inquebrável, sem ampola de vidro.</t>
  </si>
  <si>
    <t>Garrafa térmica tipo jarra, com capacidade aproximada de 1,0 litro, acabamento em aço inoxidável, alça fixa e bico direcionador com corta-gotas, abertura por rosca.</t>
  </si>
  <si>
    <t>Bule em alumínio, com capacidade de 05 litros</t>
  </si>
  <si>
    <t>Colher grande e resistente, em aço inox, tipo para servir arroz</t>
  </si>
  <si>
    <t>Balde, capacidade 05 litros.</t>
  </si>
  <si>
    <t>Potes para mantimentos (café, chá e açúcar). Conjunto de 3 unidades cada.</t>
  </si>
  <si>
    <t>Conjunto</t>
  </si>
  <si>
    <t>Carrinhos com rodízios, para servir café, chá e/ou água quente</t>
  </si>
  <si>
    <t>473584, 374447 ou 362038</t>
  </si>
  <si>
    <t>LAVADOR VEÍCULO</t>
  </si>
  <si>
    <t>TRATADOR DE ANIMAIS</t>
  </si>
  <si>
    <t>Qtd. / Valor deprec.</t>
  </si>
  <si>
    <t>CONSUMO MENSAL</t>
  </si>
  <si>
    <t>MATERIAL DE CONSUMO</t>
  </si>
  <si>
    <t>QUANTIDADE MENSAL</t>
  </si>
  <si>
    <t>Preço</t>
  </si>
  <si>
    <t>Preço Total</t>
  </si>
  <si>
    <t>Unitário</t>
  </si>
  <si>
    <t>(Mensal)</t>
  </si>
  <si>
    <t>Alvejante não aromatizado (hipoclorito de sódio 10 a 13% cloro ativo)</t>
  </si>
  <si>
    <t>Litro</t>
  </si>
  <si>
    <t>Desinfetante líquido, aroma pinho, com ação bactericida (Cloreto de Cocobenzil Alquil Dimetil Amônio / Cloreto de Didecil Dimetil Amônio da marca Pinho Silvestre – Bombril)</t>
  </si>
  <si>
    <t>Detergente líquido biodegradável</t>
  </si>
  <si>
    <t>Esponja sintética em poliuretano para limpeza, dupla face, com abrasivo em uma das faces, antibactéria</t>
  </si>
  <si>
    <t>unidade</t>
  </si>
  <si>
    <t>Flanela amarela, 29 x 49 cm</t>
  </si>
  <si>
    <t>Limpador multiuso neutro</t>
  </si>
  <si>
    <t>Palha de Aço n° 0 - pacote com 08 unidades</t>
  </si>
  <si>
    <t>Pacote</t>
  </si>
  <si>
    <t>Pano de chão de algodão - 45 x 85 cm</t>
  </si>
  <si>
    <t>Papel toalha com folhas intercaladas, 02 dobras, 100% celulose virgem, dimensões mínimas 22 x 21 cm, primeira qualidade tipo gofrado, na cor branca - pacote com 200 folhas</t>
  </si>
  <si>
    <t>Sabonete em Barra (90g)</t>
  </si>
  <si>
    <t>Saco preto para lixo, super reforçado, capacidade 100 litros (fardo com 50)</t>
  </si>
  <si>
    <t>Saco preto para lixo, super reforçado, capacidade 60 litros (fardo com 50)</t>
  </si>
  <si>
    <t>Papel Higiênico</t>
  </si>
  <si>
    <t>CONSUMO ANUAL</t>
  </si>
  <si>
    <t>QUANTIDADE ANUAL</t>
  </si>
  <si>
    <t>(conforme quantitativo estimado)</t>
  </si>
  <si>
    <t>Álcool gel 65° - frasco com 500g</t>
  </si>
  <si>
    <t>Balde plástico, alta resistência, com alça metálica - capacidade mínima de 12 litros</t>
  </si>
  <si>
    <t>Balde plástico, alta resistência, com base retangular ou ovalada, com alça metálica, capacidade mínima 20 litros</t>
  </si>
  <si>
    <t>Desinfetante líquido concentrado com ação bactericida (amônia quaternária da marca Herbalvet T.A. - Ourofino)</t>
  </si>
  <si>
    <t>Gás GLP (13 kg)</t>
  </si>
  <si>
    <t>Botijão</t>
  </si>
  <si>
    <t>Luva de látex natural aditivado, impermeabilizada, antialérgica, alta resistência - tamanho G</t>
  </si>
  <si>
    <t>Luva de procedimento não cirúrgica, látex de borracha natural - tamanho G - caixa com 100 unidades</t>
  </si>
  <si>
    <t>Caixa</t>
  </si>
  <si>
    <t>Máscara cirúrgica descartável dupla camada com elástico na cor branca - caixa com 50</t>
  </si>
  <si>
    <t>Pá para lixo, de metal, cabo longo de madeira, altura mínima de 80 cm</t>
  </si>
  <si>
    <t>Rodo de alumínio, base de 60 cm, 02 borrachas, cabo em alumínio com 120 cm</t>
  </si>
  <si>
    <t>Desincrustante líquido concentrado (ácido sulfônico da marca Azulim – Startsul)</t>
  </si>
  <si>
    <t>Sabão em pó - pacote com 03 kg</t>
  </si>
  <si>
    <t>Sabonete líquido antisséptico</t>
  </si>
  <si>
    <t>Vassoura gari com cerdas de nylon especial, base de 60 cm, cabo de madeira</t>
  </si>
  <si>
    <t>Vassoura gari com cerdas de nylon especial, base de 40 cm, cabo de madeira</t>
  </si>
  <si>
    <t>Vassoura gari com cerdas de piaçava, base de 40 cm, cabo de madeira</t>
  </si>
  <si>
    <t>421697  </t>
  </si>
  <si>
    <t>Suporte de Papel toalha</t>
  </si>
  <si>
    <t>Óculos de proteção</t>
  </si>
  <si>
    <t>Máscara com válvula (com respirador)</t>
  </si>
  <si>
    <t>Luva de segurança tricotada com látex</t>
  </si>
  <si>
    <t xml:space="preserve">Total de materais </t>
  </si>
  <si>
    <t>TOTAL MATERIAIS</t>
  </si>
  <si>
    <t>TOTAL EQUIPAMENTOS</t>
  </si>
  <si>
    <t>PLANILHA DE CUSTOS E FORMAÇÃO DE PREÇOS</t>
  </si>
  <si>
    <t xml:space="preserve">Nº Processo </t>
  </si>
  <si>
    <t>08430.008617/2022-39</t>
  </si>
  <si>
    <t xml:space="preserve">Licitação </t>
  </si>
  <si>
    <t>xx/2022-200372</t>
  </si>
  <si>
    <t>Discriminação dos Serviços (dados referentes à contratação)</t>
  </si>
  <si>
    <t xml:space="preserve">A </t>
  </si>
  <si>
    <t>Data de apresentação da proposta (dia/mês/ano)</t>
  </si>
  <si>
    <t>xx/xx/xxxx</t>
  </si>
  <si>
    <t>B</t>
  </si>
  <si>
    <t>Município/UF</t>
  </si>
  <si>
    <r>
      <rPr>
        <b/>
        <sz val="11"/>
        <color rgb="FF000000"/>
        <rFont val="Franklin Gothic Book"/>
        <family val="2"/>
      </rPr>
      <t>Porto Alegre</t>
    </r>
    <r>
      <rPr>
        <sz val="11"/>
        <color rgb="FF000000"/>
        <rFont val="Franklin Gothic Book"/>
        <family val="2"/>
      </rPr>
      <t xml:space="preserve"> - Rio Grande do Sul</t>
    </r>
  </si>
  <si>
    <t>C</t>
  </si>
  <si>
    <t>Ano Acordo, Convenção ou Sentença Normativa em Dissídio Coletivo</t>
  </si>
  <si>
    <t>RS005021/2021</t>
  </si>
  <si>
    <t>D</t>
  </si>
  <si>
    <t>Tipo de serviço</t>
  </si>
  <si>
    <t>Continuado</t>
  </si>
  <si>
    <t>E</t>
  </si>
  <si>
    <t>Unidade de medida</t>
  </si>
  <si>
    <t>Metro Quadrado</t>
  </si>
  <si>
    <t>F</t>
  </si>
  <si>
    <t>Quantidade (total) a contratar</t>
  </si>
  <si>
    <t>H</t>
  </si>
  <si>
    <t>Nº de meses de execução contratual</t>
  </si>
  <si>
    <t>Mão-de-obra</t>
  </si>
  <si>
    <t>Módulo de Mão-de-obra vinculada à execução contratual Unidade de medida - tipos e quantidades</t>
  </si>
  <si>
    <t>Tipo de serviço (mesmo serviço com características distintas)</t>
  </si>
  <si>
    <t>Auxiliar de Limpeza (44 horas semanais)</t>
  </si>
  <si>
    <t>Classificação Brasileira de Ocupações</t>
  </si>
  <si>
    <t>5143-20</t>
  </si>
  <si>
    <t>Dados complementares para composição dos custos referente à mão-de-obra</t>
  </si>
  <si>
    <t>Salário Normativo da Categoria Profissional</t>
  </si>
  <si>
    <t>Carga horária da Categoria (horas)</t>
  </si>
  <si>
    <t>Categoria profissional (vinculada à execução contratual)</t>
  </si>
  <si>
    <t>Auxiliar de Limpeza</t>
  </si>
  <si>
    <t>Data base da categoria (dia/mês/ano)</t>
  </si>
  <si>
    <t>MÓDULO 1: COMPOSIÇÃO DA REMUNERAÇÃO</t>
  </si>
  <si>
    <t>Composição da remuneração</t>
  </si>
  <si>
    <t>Valor (R$)</t>
  </si>
  <si>
    <t>A</t>
  </si>
  <si>
    <t>Salário Base (Quantidade de horas/mês)</t>
  </si>
  <si>
    <t>Adicional de periculosidade - Lei nº 12.740/2012</t>
  </si>
  <si>
    <t>Adicional de insalubridade</t>
  </si>
  <si>
    <t>Adicional Noturno [qtd de horas: 22h00 as 05h00 = 7 horas]</t>
  </si>
  <si>
    <t>D1</t>
  </si>
  <si>
    <t>Adicional Noturno mensal [percentual do adicional]</t>
  </si>
  <si>
    <t>D2</t>
  </si>
  <si>
    <t>Hora noturna reduzida</t>
  </si>
  <si>
    <t>Adicionou de Hora Extra</t>
  </si>
  <si>
    <t>Σ</t>
  </si>
  <si>
    <t>E1</t>
  </si>
  <si>
    <t>Hora Extra Normal [(Remuneração ÷ Qtd. Horas mensais) + 50%]</t>
  </si>
  <si>
    <t>E2</t>
  </si>
  <si>
    <t>Hora Extra Noturna [(Remuneração ÷ Qtd. Horas mensais) + 50% x 20% x 14,28%]</t>
  </si>
  <si>
    <t>E3</t>
  </si>
  <si>
    <t>Hora Extra Feriado [(Remuneração ÷ Qtd. Horas mensais) + 100%]</t>
  </si>
  <si>
    <t>E4</t>
  </si>
  <si>
    <t>Hora Extra Feriado Norturno [(Remuneração ÷ Qtd. Horas mensais) + 100% x 20% x 14,28%]</t>
  </si>
  <si>
    <t>Outros (especificar)</t>
  </si>
  <si>
    <t>Total da Remuneração</t>
  </si>
  <si>
    <t>1.2</t>
  </si>
  <si>
    <t>Outras verbas não salariais</t>
  </si>
  <si>
    <t>Qtd.</t>
  </si>
  <si>
    <t>Intervalo Intrajornada indenizado</t>
  </si>
  <si>
    <t>Indenização por viagem</t>
  </si>
  <si>
    <t>Total de Indenizações</t>
  </si>
  <si>
    <t>MÓDULO 2: ENCARGOS E BENEFÍCIOS ANUAIS, MENSAIS E DIÁRIOS</t>
  </si>
  <si>
    <t xml:space="preserve">2.1 </t>
  </si>
  <si>
    <t>13º (décimo terceiro) Salário, Férias e Adicional de Férias</t>
  </si>
  <si>
    <t>%</t>
  </si>
  <si>
    <t>13º (décimo terceiro) Salário</t>
  </si>
  <si>
    <t>Adicional de Férias</t>
  </si>
  <si>
    <t>2.2</t>
  </si>
  <si>
    <t>GPS, FGTS e outras contribuições</t>
  </si>
  <si>
    <t>INSS</t>
  </si>
  <si>
    <t>Salário Educação</t>
  </si>
  <si>
    <t>SAT - Seg. acid. de trabalho (Cálculo=RATxFAP)</t>
  </si>
  <si>
    <t>SESC</t>
  </si>
  <si>
    <t>SENAC</t>
  </si>
  <si>
    <t>SEBRAE</t>
  </si>
  <si>
    <t>G</t>
  </si>
  <si>
    <t>INCRA</t>
  </si>
  <si>
    <t>FGTS</t>
  </si>
  <si>
    <t xml:space="preserve">2.3 </t>
  </si>
  <si>
    <t>Benefícios Mensais e Diários</t>
  </si>
  <si>
    <t>Valor unitário</t>
  </si>
  <si>
    <t>Transporte</t>
  </si>
  <si>
    <t>A1</t>
  </si>
  <si>
    <t>Valor total de VT (ida + volta)</t>
  </si>
  <si>
    <t>A2</t>
  </si>
  <si>
    <t>Desconto máximo do empregado (6% do salário)</t>
  </si>
  <si>
    <t>Auxílio-Refeição/Alimentação</t>
  </si>
  <si>
    <t>B1</t>
  </si>
  <si>
    <t>Valor total de VR/Alimentação</t>
  </si>
  <si>
    <t>B2</t>
  </si>
  <si>
    <t>Desconto empregado</t>
  </si>
  <si>
    <t>Plano de Benefício Social Familiar</t>
  </si>
  <si>
    <r>
      <t>Auxílio Babá/Cuidadora</t>
    </r>
    <r>
      <rPr>
        <i/>
        <sz val="11"/>
        <color theme="1"/>
        <rFont val="Franklin Gothic Book"/>
        <family val="2"/>
      </rPr>
      <t xml:space="preserve"> [(R$ 140,00 * 3 meses) * probabilidade afastamento maternidade]</t>
    </r>
  </si>
  <si>
    <t>Custeio da Atividade Sindical Patronal</t>
  </si>
  <si>
    <t>Total de Encargos e Benefícios</t>
  </si>
  <si>
    <t>Quadro-Resumo - Módulo 2 - Encargos e Benefícios Anuais, Mensais e Diários</t>
  </si>
  <si>
    <t>2.1</t>
  </si>
  <si>
    <t>2.3</t>
  </si>
  <si>
    <t>MÓDULO 3 - CUSTOS COM RESCISÃO</t>
  </si>
  <si>
    <t>3.1</t>
  </si>
  <si>
    <t>Provisão para Aviso Prévio Indenizado</t>
  </si>
  <si>
    <t>Valor do período de Trabalho Indenizado devido</t>
  </si>
  <si>
    <t>A.1</t>
  </si>
  <si>
    <t>Remuneração (30 dias + acréscimo 3 dias/ano)</t>
  </si>
  <si>
    <t>A.2</t>
  </si>
  <si>
    <t>13º Salário proporcional ao Mês Indenizado</t>
  </si>
  <si>
    <t>A.3</t>
  </si>
  <si>
    <t>Férias + 1/3 proporcionais ao Mês Indenizado</t>
  </si>
  <si>
    <t>A.4</t>
  </si>
  <si>
    <t>FGTS do Mês Indenizado (Rem. + 13º)</t>
  </si>
  <si>
    <t>Multa do FGTS sobre o Aviso Prévio Indenizado</t>
  </si>
  <si>
    <t>B.1</t>
  </si>
  <si>
    <t>Incidência do FGTS sobre o montante de depósitos</t>
  </si>
  <si>
    <t>B.1.1</t>
  </si>
  <si>
    <t>Montante dos depósitos realizado nos meses de serviços prestados</t>
  </si>
  <si>
    <t>B.1.1.1</t>
  </si>
  <si>
    <t>Remuneração</t>
  </si>
  <si>
    <t>B.1.1.2</t>
  </si>
  <si>
    <t>13º Salário integral</t>
  </si>
  <si>
    <t>B.1.1.3</t>
  </si>
  <si>
    <t>Férias + 1/3 constitucional (usufruídas)</t>
  </si>
  <si>
    <t>3.2</t>
  </si>
  <si>
    <t>Provisão para Aviso Prévio Trabalhado</t>
  </si>
  <si>
    <t>+ 7 dias ( parágrafo único do art. 488 da CLT)</t>
  </si>
  <si>
    <t>Remuneração (30 dias)</t>
  </si>
  <si>
    <t>13º Salário proporcional</t>
  </si>
  <si>
    <t>Férias + 1/3 proporcionais</t>
  </si>
  <si>
    <t>Incidência dos encargos do submódulo 2.2 sobre o Aviso Prévio Trabalhado</t>
  </si>
  <si>
    <t>A.5</t>
  </si>
  <si>
    <t>Submódulo 2.3 (Benefícios mensais) referente ao mês trabalhado</t>
  </si>
  <si>
    <t xml:space="preserve">  </t>
  </si>
  <si>
    <t>3.3</t>
  </si>
  <si>
    <t>Férias proporcionais das verbas rescisórias (sem incidência de FGTS)</t>
  </si>
  <si>
    <t>Férias proporcionais devidas</t>
  </si>
  <si>
    <t>1/3 Consitucional de férias proporcionais devidos</t>
  </si>
  <si>
    <t>Quadro-Resumo - Módulo 3 - CUSTO COM RESCISÃO</t>
  </si>
  <si>
    <t>SubTotal de Custo proporcional para Rescisão</t>
  </si>
  <si>
    <t>Proporção desligamentos com custos (vigência do contrato)</t>
  </si>
  <si>
    <t>Desligamento por Justa Causa (Desconto 13º e férias + 1;3)</t>
  </si>
  <si>
    <t>Provisão Mensal</t>
  </si>
  <si>
    <t>Férias proporcionais da rescisão (sem incidência de FGTS)</t>
  </si>
  <si>
    <t>MÓDULO 4 - CUSTO DE REPOSIÇÃO DO PROFISSIONAL AUSENTE</t>
  </si>
  <si>
    <t>4.1</t>
  </si>
  <si>
    <t>Férias</t>
  </si>
  <si>
    <t>Substituto - Cobertura Férias</t>
  </si>
  <si>
    <t>a.1</t>
  </si>
  <si>
    <t>Remuneração do Substituto [Módulo 1 x %vigência]</t>
  </si>
  <si>
    <t>a.2</t>
  </si>
  <si>
    <t>13º do Substituto [(12 avos/remuneração) x % vigência]</t>
  </si>
  <si>
    <t>a.3</t>
  </si>
  <si>
    <t>Férias + 1/3 de férias  [(12 avos/férias) x % vigência]</t>
  </si>
  <si>
    <t>a.4</t>
  </si>
  <si>
    <t>Incidência de Encargos [% do Submódulo 2.2 x   Σ 4.1-A.1 a 4.1-A3]</t>
  </si>
  <si>
    <t>a.5</t>
  </si>
  <si>
    <t>Provisão de Rescisão do ferista [Submódulos 3.1 + 3.2) x % vigência]</t>
  </si>
  <si>
    <t xml:space="preserve">Venda de Férias (100% = 10 dias) - Sem incidência de Encargos </t>
  </si>
  <si>
    <t>SubTotal</t>
  </si>
  <si>
    <t>Base de Cálculo do Custo do Substituto - exceto férias</t>
  </si>
  <si>
    <t>Férias acrescido do terço consitucional + 13º</t>
  </si>
  <si>
    <t>Incidência do Submódulo 2.2</t>
  </si>
  <si>
    <t>Benefícios diários e mensais</t>
  </si>
  <si>
    <t>Custo com a rescisão do ferista/volante</t>
  </si>
  <si>
    <t>Total da BCCS</t>
  </si>
  <si>
    <t>4.2</t>
  </si>
  <si>
    <t>Demais Ausências</t>
  </si>
  <si>
    <t>Substituto - Cobertura ausência por doenças</t>
  </si>
  <si>
    <t>Substituto - Cobertura Acidente de trabalho</t>
  </si>
  <si>
    <t>Substituto - Cobertura Ausências Legais</t>
  </si>
  <si>
    <t>Substituto - Cobertura Licença-Paternidade</t>
  </si>
  <si>
    <t>Substituto - Cobertura Afastamento Maternidade</t>
  </si>
  <si>
    <t>Substituto para Faltas Injustificáveis</t>
  </si>
  <si>
    <t>Descontos das ausências</t>
  </si>
  <si>
    <t>Σ %</t>
  </si>
  <si>
    <t>Descontos das ausências do colaborador residente</t>
  </si>
  <si>
    <r>
      <t xml:space="preserve">Módulo 1 - Remuneração </t>
    </r>
    <r>
      <rPr>
        <b/>
        <sz val="11"/>
        <color rgb="FF000000"/>
        <rFont val="Franklin Gothic Book"/>
        <family val="2"/>
      </rPr>
      <t>(Ausência F)</t>
    </r>
  </si>
  <si>
    <t>Módulo 1 - Descanso Semanal Remunerado</t>
  </si>
  <si>
    <t>Módulo 2.1 - Férias acrescido do terço consitucional + 13º</t>
  </si>
  <si>
    <r>
      <t>Módulo 2.3.A - Vale Transporte</t>
    </r>
    <r>
      <rPr>
        <b/>
        <sz val="11"/>
        <color rgb="FF000000"/>
        <rFont val="Franklin Gothic Book"/>
        <family val="2"/>
      </rPr>
      <t xml:space="preserve"> (Ausências A a F)</t>
    </r>
  </si>
  <si>
    <r>
      <t xml:space="preserve">Módulo 2.3.B - Vale Alimentação </t>
    </r>
    <r>
      <rPr>
        <b/>
        <sz val="11"/>
        <color rgb="FF000000"/>
        <rFont val="Franklin Gothic Book"/>
        <family val="2"/>
      </rPr>
      <t>(Ausências A a F)</t>
    </r>
  </si>
  <si>
    <r>
      <t xml:space="preserve">Módulo 2.B.C~ - Outros benefícios do SubMódulo 2.3 </t>
    </r>
    <r>
      <rPr>
        <b/>
        <sz val="11"/>
        <color rgb="FF000000"/>
        <rFont val="Franklin Gothic Book"/>
        <family val="2"/>
      </rPr>
      <t>(Ausência F)</t>
    </r>
  </si>
  <si>
    <r>
      <t xml:space="preserve">Módulo 2.2 (exceto FGTS) - Encargos sobre salário-maternidade </t>
    </r>
    <r>
      <rPr>
        <b/>
        <sz val="11"/>
        <color rgb="FF000000"/>
        <rFont val="Franklin Gothic Book"/>
        <family val="2"/>
      </rPr>
      <t>(Ausência E)</t>
    </r>
  </si>
  <si>
    <r>
      <t xml:space="preserve">Módulo 2.2 - Encargos </t>
    </r>
    <r>
      <rPr>
        <b/>
        <sz val="11"/>
        <color rgb="FF000000"/>
        <rFont val="Franklin Gothic Book"/>
        <family val="2"/>
      </rPr>
      <t>(Ausência F)</t>
    </r>
  </si>
  <si>
    <t>Desconto total sobre as ausências</t>
  </si>
  <si>
    <t xml:space="preserve">SubTotal - Demais Custos com substitutos </t>
  </si>
  <si>
    <t>Quadro-Resumo - Módulo 4 - CRPA</t>
  </si>
  <si>
    <t>MÓDULO 5 - INSUMOS DIVERSOS</t>
  </si>
  <si>
    <t>Insumos</t>
  </si>
  <si>
    <t>INSUMOS - Uniforme</t>
  </si>
  <si>
    <r>
      <t xml:space="preserve">INSUMOS - Outros </t>
    </r>
    <r>
      <rPr>
        <sz val="11"/>
        <color rgb="FFFF0000"/>
        <rFont val="Franklin Gothic Book"/>
        <family val="2"/>
      </rPr>
      <t>(quantidade rateada entre colaboradores da Sede atual e Sede Antiga)</t>
    </r>
  </si>
  <si>
    <t>Materiais de consumo</t>
  </si>
  <si>
    <t>Equipamentos</t>
  </si>
  <si>
    <t>TOTAL PARCIAL: MÓDULO 1 + 2 + 3 + 4+ 5</t>
  </si>
  <si>
    <t>MÓDULO 6 - CUSTOS DIRETOS, TRIBUTOS E LUCRO</t>
  </si>
  <si>
    <t>Custos Indiretos, Tributos e Lucro</t>
  </si>
  <si>
    <t>Custos Indiretos</t>
  </si>
  <si>
    <t>Subtotal</t>
  </si>
  <si>
    <t>Lucro</t>
  </si>
  <si>
    <t>Tributos</t>
  </si>
  <si>
    <t>PIS</t>
  </si>
  <si>
    <t>COFINS</t>
  </si>
  <si>
    <t>ISS - Porto Alegre</t>
  </si>
  <si>
    <t>Total de Tributos</t>
  </si>
  <si>
    <t>QUADRO-RESUMO DO CUSTO MENSAL POR EMPREGADO</t>
  </si>
  <si>
    <t xml:space="preserve">Mão de obra vinculada à execução contratual 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</si>
  <si>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</si>
  <si>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</si>
  <si>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</si>
  <si>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</si>
  <si>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</si>
  <si>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+C+ D+E)</t>
  </si>
  <si>
    <t xml:space="preserve">F </t>
  </si>
  <si>
    <t>Módulo 6 – Custos Indiretos, Tributos e Lucro</t>
  </si>
  <si>
    <t>Valor Total Mensal por Empregado</t>
  </si>
  <si>
    <t>Produtividade</t>
  </si>
  <si>
    <t>Qts. Estimad Func</t>
  </si>
  <si>
    <t>Índice Produtividade [1/(M²/qtd func.)]</t>
  </si>
  <si>
    <t>Preço Homem-Mês (R$)</t>
  </si>
  <si>
    <t>SubTotal (R$*M²)</t>
  </si>
  <si>
    <t>Encarregado Administrativo (44 horas semanais)</t>
  </si>
  <si>
    <t xml:space="preserve"> 4101-05</t>
  </si>
  <si>
    <t>Encarregado Administrativo</t>
  </si>
  <si>
    <r>
      <t xml:space="preserve">Adicional de insalubridade </t>
    </r>
    <r>
      <rPr>
        <i/>
        <sz val="11"/>
        <color rgb="FF000000"/>
        <rFont val="Franklin Gothic Book"/>
        <family val="2"/>
      </rPr>
      <t>[p/ encarregado conforme item 11.3.6 do ETP]</t>
    </r>
  </si>
  <si>
    <t>INSUMOS - Outros</t>
  </si>
  <si>
    <t>Índice Produtividade - Encarrergado (1/M²)</t>
  </si>
  <si>
    <t>Copeiro (44 horas semanais)</t>
  </si>
  <si>
    <t>5134-25</t>
  </si>
  <si>
    <t>Copeiro</t>
  </si>
  <si>
    <t>Limpador (44 horas semanais)</t>
  </si>
  <si>
    <t>5199-35</t>
  </si>
  <si>
    <t>Tratador de animais (44 horas semanais)</t>
  </si>
  <si>
    <t>6230-20</t>
  </si>
  <si>
    <r>
      <rPr>
        <b/>
        <sz val="11"/>
        <color rgb="FFFF0000"/>
        <rFont val="Franklin Gothic Book"/>
        <family val="2"/>
      </rPr>
      <t>Caxias do Sul</t>
    </r>
    <r>
      <rPr>
        <sz val="11"/>
        <color rgb="FF000000"/>
        <rFont val="Franklin Gothic Book"/>
        <family val="2"/>
      </rPr>
      <t xml:space="preserve"> - Rio Grande do Sul</t>
    </r>
  </si>
  <si>
    <t>RS005069/2021</t>
  </si>
  <si>
    <r>
      <t>ISS -</t>
    </r>
    <r>
      <rPr>
        <sz val="11"/>
        <color rgb="FFFF0000"/>
        <rFont val="Franklin Gothic Book"/>
        <family val="2"/>
      </rPr>
      <t xml:space="preserve"> Caxias/RS</t>
    </r>
  </si>
  <si>
    <r>
      <rPr>
        <b/>
        <sz val="11"/>
        <color rgb="FFFF0000"/>
        <rFont val="Franklin Gothic Book"/>
        <family val="2"/>
      </rPr>
      <t>Passo Fundo</t>
    </r>
    <r>
      <rPr>
        <sz val="11"/>
        <color rgb="FF000000"/>
        <rFont val="Franklin Gothic Book"/>
        <family val="2"/>
      </rPr>
      <t xml:space="preserve"> - Rio Grande do Sul</t>
    </r>
  </si>
  <si>
    <t>RS000043/2022</t>
  </si>
  <si>
    <r>
      <t xml:space="preserve">ISS - </t>
    </r>
    <r>
      <rPr>
        <sz val="11"/>
        <color rgb="FFFF0000"/>
        <rFont val="Franklin Gothic Book"/>
        <family val="2"/>
      </rPr>
      <t>Passo Fundo/RS</t>
    </r>
  </si>
  <si>
    <r>
      <rPr>
        <b/>
        <sz val="11"/>
        <color rgb="FFFF0000"/>
        <rFont val="Franklin Gothic Book"/>
        <family val="2"/>
      </rPr>
      <t>Santo Ângelo</t>
    </r>
    <r>
      <rPr>
        <sz val="11"/>
        <color rgb="FF000000"/>
        <rFont val="Franklin Gothic Book"/>
        <family val="2"/>
      </rPr>
      <t xml:space="preserve"> - Rio Grande do Sul</t>
    </r>
  </si>
  <si>
    <t>Adicional de periculosidade</t>
  </si>
  <si>
    <r>
      <t xml:space="preserve">ISS - </t>
    </r>
    <r>
      <rPr>
        <sz val="11"/>
        <color rgb="FFFF0000"/>
        <rFont val="Franklin Gothic Book"/>
        <family val="2"/>
      </rPr>
      <t>Santo Angelo/RS</t>
    </r>
  </si>
  <si>
    <r>
      <rPr>
        <b/>
        <sz val="11"/>
        <color rgb="FFFF0000"/>
        <rFont val="Franklin Gothic Book"/>
        <family val="2"/>
      </rPr>
      <t>São Borja</t>
    </r>
    <r>
      <rPr>
        <sz val="11"/>
        <color rgb="FF000000"/>
        <rFont val="Franklin Gothic Book"/>
        <family val="2"/>
      </rPr>
      <t xml:space="preserve"> - Rio Grande do Sul</t>
    </r>
  </si>
  <si>
    <r>
      <t xml:space="preserve">ISS - </t>
    </r>
    <r>
      <rPr>
        <sz val="11"/>
        <color rgb="FFFF0000"/>
        <rFont val="Franklin Gothic Book"/>
        <family val="2"/>
      </rPr>
      <t>São Borja/RS</t>
    </r>
  </si>
  <si>
    <r>
      <rPr>
        <b/>
        <sz val="11"/>
        <color rgb="FFFF0000"/>
        <rFont val="Franklin Gothic Book"/>
        <family val="2"/>
      </rPr>
      <t xml:space="preserve">Uruguaiana </t>
    </r>
    <r>
      <rPr>
        <sz val="11"/>
        <color rgb="FF000000"/>
        <rFont val="Franklin Gothic Book"/>
        <family val="2"/>
      </rPr>
      <t>- Rio Grande do Sul</t>
    </r>
  </si>
  <si>
    <r>
      <t xml:space="preserve">ISS - </t>
    </r>
    <r>
      <rPr>
        <sz val="11"/>
        <color rgb="FFFF0000"/>
        <rFont val="Franklin Gothic Book"/>
        <family val="2"/>
      </rPr>
      <t>Uruguaiana/RS</t>
    </r>
  </si>
  <si>
    <r>
      <rPr>
        <b/>
        <sz val="11"/>
        <color rgb="FFFF0000"/>
        <rFont val="Franklin Gothic Book"/>
        <family val="2"/>
      </rPr>
      <t xml:space="preserve"> Santa Maria </t>
    </r>
    <r>
      <rPr>
        <sz val="11"/>
        <color rgb="FF000000"/>
        <rFont val="Franklin Gothic Book"/>
        <family val="2"/>
      </rPr>
      <t>- Rio Grande do Sul</t>
    </r>
  </si>
  <si>
    <t>RS000052/2022</t>
  </si>
  <si>
    <r>
      <t xml:space="preserve">ISS - </t>
    </r>
    <r>
      <rPr>
        <sz val="11"/>
        <color rgb="FFFF0000"/>
        <rFont val="Franklin Gothic Book"/>
        <family val="2"/>
      </rPr>
      <t>Santa Maria/RS</t>
    </r>
  </si>
  <si>
    <r>
      <rPr>
        <b/>
        <sz val="11"/>
        <color rgb="FFFF0000"/>
        <rFont val="Franklin Gothic Book"/>
        <family val="2"/>
      </rPr>
      <t xml:space="preserve">Santa Cruz do Sul </t>
    </r>
    <r>
      <rPr>
        <sz val="11"/>
        <color rgb="FF000000"/>
        <rFont val="Franklin Gothic Book"/>
        <family val="2"/>
      </rPr>
      <t>- Rio Grande do Sul</t>
    </r>
  </si>
  <si>
    <t>RS005035/2021</t>
  </si>
  <si>
    <r>
      <t>ISS -</t>
    </r>
    <r>
      <rPr>
        <sz val="11"/>
        <color rgb="FFFF0000"/>
        <rFont val="Franklin Gothic Book"/>
        <family val="2"/>
      </rPr>
      <t xml:space="preserve"> Santa Cruz do Sul/RS</t>
    </r>
  </si>
  <si>
    <r>
      <rPr>
        <b/>
        <sz val="11"/>
        <color rgb="FFFF0000"/>
        <rFont val="Franklin Gothic Book"/>
        <family val="2"/>
      </rPr>
      <t>Santana do Livramento</t>
    </r>
    <r>
      <rPr>
        <sz val="11"/>
        <color rgb="FF000000"/>
        <rFont val="Franklin Gothic Book"/>
        <family val="2"/>
      </rPr>
      <t xml:space="preserve"> - Rio Grande do Sul</t>
    </r>
  </si>
  <si>
    <r>
      <t xml:space="preserve">ISS - </t>
    </r>
    <r>
      <rPr>
        <sz val="11"/>
        <color rgb="FFFF0000"/>
        <rFont val="Franklin Gothic Book"/>
        <family val="2"/>
      </rPr>
      <t>Santana do Livramento/RS</t>
    </r>
  </si>
  <si>
    <r>
      <rPr>
        <b/>
        <sz val="11"/>
        <color rgb="FFFF0000"/>
        <rFont val="Franklin Gothic Book"/>
        <family val="2"/>
      </rPr>
      <t xml:space="preserve">Bagé </t>
    </r>
    <r>
      <rPr>
        <sz val="11"/>
        <color rgb="FF000000"/>
        <rFont val="Franklin Gothic Book"/>
        <family val="2"/>
      </rPr>
      <t>- Rio Grande do Sul</t>
    </r>
  </si>
  <si>
    <r>
      <t xml:space="preserve">ISS - </t>
    </r>
    <r>
      <rPr>
        <sz val="11"/>
        <color rgb="FFFF0000"/>
        <rFont val="Franklin Gothic Book"/>
        <family val="2"/>
      </rPr>
      <t>Bagé/RS</t>
    </r>
  </si>
  <si>
    <r>
      <rPr>
        <b/>
        <sz val="11"/>
        <color rgb="FFFF0000"/>
        <rFont val="Franklin Gothic Book"/>
        <family val="2"/>
      </rPr>
      <t xml:space="preserve">Pelotas </t>
    </r>
    <r>
      <rPr>
        <sz val="11"/>
        <color rgb="FF000000"/>
        <rFont val="Franklin Gothic Book"/>
        <family val="2"/>
      </rPr>
      <t>- Rio Grande do Sul</t>
    </r>
  </si>
  <si>
    <t>RS000051/2022</t>
  </si>
  <si>
    <t xml:space="preserve">Adicional de periculosidade </t>
  </si>
  <si>
    <r>
      <t xml:space="preserve">ISS - </t>
    </r>
    <r>
      <rPr>
        <sz val="11"/>
        <color rgb="FFFF0000"/>
        <rFont val="Franklin Gothic Book"/>
        <family val="2"/>
      </rPr>
      <t>Pelotas/RS</t>
    </r>
  </si>
  <si>
    <r>
      <rPr>
        <b/>
        <sz val="11"/>
        <color rgb="FFFF0000"/>
        <rFont val="Franklin Gothic Book"/>
        <family val="2"/>
      </rPr>
      <t>Rio Grande</t>
    </r>
    <r>
      <rPr>
        <sz val="11"/>
        <color rgb="FF000000"/>
        <rFont val="Franklin Gothic Book"/>
        <family val="2"/>
      </rPr>
      <t xml:space="preserve"> - Rio Grande do Sul</t>
    </r>
  </si>
  <si>
    <r>
      <t xml:space="preserve">ISS - </t>
    </r>
    <r>
      <rPr>
        <sz val="11"/>
        <color rgb="FFFF0000"/>
        <rFont val="Franklin Gothic Book"/>
        <family val="2"/>
      </rPr>
      <t>Rio Grande/RS</t>
    </r>
  </si>
  <si>
    <r>
      <rPr>
        <b/>
        <sz val="11"/>
        <color rgb="FFFF0000"/>
        <rFont val="Franklin Gothic Book"/>
        <family val="2"/>
      </rPr>
      <t>Jaguarão</t>
    </r>
    <r>
      <rPr>
        <sz val="11"/>
        <color rgb="FF000000"/>
        <rFont val="Franklin Gothic Book"/>
        <family val="2"/>
      </rPr>
      <t xml:space="preserve"> - Rio Grande do Sul</t>
    </r>
  </si>
  <si>
    <r>
      <t>ISS -</t>
    </r>
    <r>
      <rPr>
        <sz val="11"/>
        <color rgb="FFFF0000"/>
        <rFont val="Franklin Gothic Book"/>
        <family val="2"/>
      </rPr>
      <t xml:space="preserve"> Jaguarão/RS</t>
    </r>
  </si>
  <si>
    <r>
      <rPr>
        <b/>
        <sz val="11"/>
        <color rgb="FFFF0000"/>
        <rFont val="Franklin Gothic Book"/>
        <family val="2"/>
      </rPr>
      <t xml:space="preserve">Chuí/Santa Vitória do Palmar - </t>
    </r>
    <r>
      <rPr>
        <sz val="11"/>
        <color rgb="FF000000"/>
        <rFont val="Franklin Gothic Book"/>
        <family val="2"/>
      </rPr>
      <t xml:space="preserve"> Rio Grande do Sul</t>
    </r>
  </si>
  <si>
    <r>
      <t xml:space="preserve">ISS - </t>
    </r>
    <r>
      <rPr>
        <b/>
        <sz val="11"/>
        <color rgb="FFFF0000"/>
        <rFont val="Franklin Gothic Book"/>
        <family val="2"/>
      </rPr>
      <t>Chuí</t>
    </r>
    <r>
      <rPr>
        <sz val="11"/>
        <color rgb="FF000000"/>
        <rFont val="Franklin Gothic Book"/>
        <family val="2"/>
      </rPr>
      <t xml:space="preserve"> </t>
    </r>
    <r>
      <rPr>
        <sz val="11"/>
        <color rgb="FFFF0000"/>
        <rFont val="Franklin Gothic Book"/>
        <family val="2"/>
      </rPr>
      <t>Santa Vitória do Palmar/RS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</si>
</sst>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&quot;R$&quot;\ #,##0;[Red]\-&quot;R$&quot;\ #,##0"/>
    <numFmt numFmtId="165" formatCode="&quot;R$&quot;\ #,##0.00;[Red]\-&quot;R$&quot;\ #,##0.00"/>
    <numFmt numFmtId="166" formatCode="_-&quot;R$&quot;\ * #,##0.00_-;\-&quot;R$&quot;\ * #,##0.00_-;_-&quot;R$&quot;\ * &quot;-&quot;??_-;_-@_-"/>
    <numFmt numFmtId="167" formatCode="_-* #,##0.00_-;\-* #,##0.00_-;_-* &quot;-&quot;??_-;_-@_-"/>
    <numFmt numFmtId="168" formatCode="_-&quot;R$&quot;* #,##0.00_-;\-&quot;R$&quot;* #,##0.00_-;_-&quot;R$&quot;* &quot;-&quot;??_-;_-@_-"/>
    <numFmt numFmtId="169" formatCode="0.0%"/>
    <numFmt numFmtId="170" formatCode="0.0000"/>
    <numFmt numFmtId="171" formatCode="&quot;R$&quot;\ #,##0.00"/>
    <numFmt numFmtId="172" formatCode="0.0000%"/>
    <numFmt numFmtId="173" formatCode="0.0"/>
    <numFmt numFmtId="174" formatCode="_-&quot;R$&quot;\ * #,##0.00_-;\(\-&quot;R$&quot;\ * #,##0.00\);_-&quot;R$&quot;\ * &quot;-&quot;??_-;_-@_-"/>
    <numFmt numFmtId="175" formatCode="#,##0_ ;[Red]\-#,##0\ "/>
    <numFmt numFmtId="176" formatCode="_-* #,##0_-;\-* #,##0_-;_-* &quot;-&quot;??_-;_-@_-"/>
    <numFmt numFmtId="177" formatCode="0.000000000000"/>
    <numFmt numFmtId="178" formatCode="0.0000000000000"/>
    <numFmt numFmtId="179" formatCode="&quot;R$&quot;\ #,##0.000000"/>
    <numFmt numFmtId="180" formatCode="_-&quot;R$&quot;\ * #,##0.000000000_-;\-&quot;R$&quot;\ * #,##0.000000000_-;_-&quot;R$&quot;\ * &quot;-&quot;??_-;_-@_-"/>
  </numFmts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Franklin Gothic Book"/>
      <family val="2"/>
    </font>
    <font>
      <sz val="11"/>
      <color theme="1"/>
      <name val="Franklin Gothic Book"/>
      <family val="2"/>
    </font>
    <font>
      <sz val="11"/>
      <color rgb="FF000000"/>
      <name val="Franklin Gothic Book"/>
      <family val="2"/>
    </font>
    <font>
      <b/>
      <sz val="11"/>
      <color theme="1"/>
      <name val="Franklin Gothic Book"/>
      <family val="2"/>
    </font>
    <font>
      <sz val="11"/>
      <name val="Franklin Gothic Book"/>
      <family val="2"/>
    </font>
    <font>
      <sz val="11"/>
      <color rgb="FFFF0000"/>
      <name val="Franklin Gothic Book"/>
      <family val="2"/>
    </font>
    <font>
      <b/>
      <sz val="9"/>
      <color indexed="81"/>
      <name val="Segoe UI"/>
      <family val="2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1"/>
      <name val="Calibri"/>
      <family val="2"/>
      <scheme val="minor"/>
    </font>
    <font>
      <b/>
      <sz val="11"/>
      <name val="Franklin Gothic Book"/>
      <family val="2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1"/>
      <name val="Franklin Gothic Book"/>
      <family val="2"/>
    </font>
    <font>
      <i/>
      <sz val="11"/>
      <color theme="1"/>
      <name val="Franklin Gothic Book"/>
      <family val="2"/>
    </font>
    <font>
      <i/>
      <sz val="11"/>
      <color rgb="FF000000"/>
      <name val="Franklin Gothic Book"/>
      <family val="2"/>
    </font>
    <font>
      <sz val="9"/>
      <color theme="1"/>
      <name val="Franklin Gothic Book"/>
      <family val="2"/>
    </font>
    <font>
      <b/>
      <sz val="11"/>
      <color rgb="FFFF0000"/>
      <name val="Franklin Gothic Book"/>
      <family val="2"/>
    </font>
    <font>
      <sz val="11"/>
      <color rgb="FFFF0000"/>
      <name val="Calibri"/>
      <family val="2"/>
      <scheme val="minor"/>
    </font>
    <font>
      <sz val="10"/>
      <color theme="1"/>
      <name val="Franklin Gothic Book"/>
      <family val="2"/>
    </font>
    <font>
      <sz val="10"/>
      <color rgb="FF000000"/>
      <name val="Franklin Gothic Book"/>
      <family val="2"/>
    </font>
    <font>
      <sz val="10"/>
      <name val="Franklin Gothic Book"/>
      <family val="2"/>
    </font>
    <font>
      <sz val="10"/>
      <color rgb="FFFF0000"/>
      <name val="Franklin Gothic Book"/>
      <family val="2"/>
    </font>
    <font>
      <b/>
      <sz val="10.5"/>
      <color rgb="FF000000"/>
      <name val="Arial"/>
      <family val="2"/>
    </font>
    <font>
      <sz val="11"/>
      <color rgb="FF000000"/>
      <name val="Arial"/>
      <family val="2"/>
    </font>
    <font>
      <sz val="10.5"/>
      <color rgb="FF000000"/>
      <name val="Arial"/>
      <family val="2"/>
    </font>
    <font>
      <sz val="11"/>
      <color rgb="FFFF0000"/>
      <name val="Arial"/>
      <family val="2"/>
    </font>
    <font>
      <sz val="10.5"/>
      <color rgb="FFFF0000"/>
      <name val="Arial"/>
      <family val="2"/>
    </font>
    <font>
      <i/>
      <sz val="11"/>
      <color rgb="FFFF0000"/>
      <name val="Arial"/>
      <family val="2"/>
    </font>
    <font>
      <sz val="11"/>
      <color rgb="FF4472C4"/>
      <name val="Arial"/>
      <family val="2"/>
    </font>
    <font>
      <sz val="10.5"/>
      <color rgb="FF4472C4"/>
      <name val="Arial"/>
      <family val="2"/>
    </font>
    <font>
      <sz val="11"/>
      <color rgb="FFC65911"/>
      <name val="Arial"/>
      <family val="2"/>
    </font>
    <font>
      <sz val="10.5"/>
      <color rgb="FFC65911"/>
      <name val="Arial"/>
      <family val="2"/>
    </font>
    <font>
      <i/>
      <sz val="11"/>
      <color rgb="FF00000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color theme="9" tint="-0.249977111117893"/>
      <name val="Arial"/>
      <family val="2"/>
    </font>
    <font>
      <sz val="10"/>
      <color theme="9" tint="-0.249977111117893"/>
      <name val="Franklin Gothic Book"/>
      <family val="2"/>
    </font>
    <font>
      <i/>
      <sz val="11"/>
      <color theme="9" tint="-0.249977111117893"/>
      <name val="Arial"/>
      <family val="2"/>
    </font>
    <font>
      <sz val="8"/>
      <color theme="1"/>
      <name val="Calibri"/>
      <family val="2"/>
      <scheme val="minor"/>
    </font>
    <font>
      <b/>
      <sz val="9"/>
      <color indexed="81"/>
      <name val="Segoe UI"/>
      <charset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8" tint="-0.249977111117893"/>
      <name val="Times New Roman"/>
      <family val="1"/>
    </font>
    <font>
      <sz val="10"/>
      <color theme="8" tint="-0.249977111117893"/>
      <name val="Times New Roman"/>
      <family val="1"/>
    </font>
    <font>
      <sz val="11"/>
      <color theme="9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EFED6"/>
        <bgColor indexed="64"/>
      </patternFill>
    </fill>
    <fill>
      <patternFill patternType="solid">
        <fgColor rgb="FFFFF6D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8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</borders>
  <cellStyleXfs count="9">
    <xf numFmtId="0" fontId="0" fillId="0" borderId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741">
    <xf numFmtId="0" fontId="0" fillId="0" borderId="0" xfId="0"/>
    <xf numFmtId="166" fontId="5" fillId="0" borderId="3" xfId="2" applyFont="1" applyBorder="1" applyAlignment="1">
      <alignment vertical="center"/>
    </xf>
    <xf numFmtId="0" fontId="0" fillId="0" borderId="32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1" fontId="0" fillId="0" borderId="9" xfId="1" applyNumberFormat="1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0" fillId="0" borderId="2" xfId="1" applyNumberFormat="1" applyFont="1" applyBorder="1" applyAlignment="1" applyProtection="1">
      <alignment horizontal="center" vertical="center" wrapText="1"/>
    </xf>
    <xf numFmtId="1" fontId="0" fillId="0" borderId="1" xfId="1" applyNumberFormat="1" applyFont="1" applyBorder="1" applyAlignment="1" applyProtection="1">
      <alignment horizontal="center" vertical="center" wrapText="1"/>
    </xf>
    <xf numFmtId="0" fontId="0" fillId="0" borderId="3" xfId="0" applyBorder="1"/>
    <xf numFmtId="166" fontId="0" fillId="0" borderId="0" xfId="0" applyNumberFormat="1"/>
    <xf numFmtId="172" fontId="0" fillId="0" borderId="0" xfId="3" applyNumberFormat="1" applyFont="1"/>
    <xf numFmtId="0" fontId="0" fillId="11" borderId="3" xfId="0" applyFill="1" applyBorder="1" applyAlignment="1">
      <alignment horizontal="center"/>
    </xf>
    <xf numFmtId="168" fontId="0" fillId="0" borderId="3" xfId="0" applyNumberFormat="1" applyBorder="1"/>
    <xf numFmtId="168" fontId="0" fillId="0" borderId="0" xfId="6" applyFont="1"/>
    <xf numFmtId="168" fontId="0" fillId="11" borderId="3" xfId="6" applyFont="1" applyFill="1" applyBorder="1" applyAlignment="1">
      <alignment horizontal="center"/>
    </xf>
    <xf numFmtId="168" fontId="0" fillId="0" borderId="3" xfId="6" applyFont="1" applyBorder="1"/>
    <xf numFmtId="0" fontId="10" fillId="0" borderId="25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0" fillId="5" borderId="0" xfId="0" applyFill="1"/>
    <xf numFmtId="0" fontId="0" fillId="8" borderId="0" xfId="0" applyFill="1"/>
    <xf numFmtId="0" fontId="16" fillId="9" borderId="7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171" fontId="13" fillId="2" borderId="7" xfId="0" applyNumberFormat="1" applyFont="1" applyFill="1" applyBorder="1" applyAlignment="1">
      <alignment horizontal="center" vertical="center" wrapText="1"/>
    </xf>
    <xf numFmtId="171" fontId="13" fillId="9" borderId="7" xfId="0" applyNumberFormat="1" applyFont="1" applyFill="1" applyBorder="1" applyAlignment="1">
      <alignment horizontal="center" vertical="center" wrapText="1"/>
    </xf>
    <xf numFmtId="171" fontId="0" fillId="8" borderId="0" xfId="0" applyNumberFormat="1" applyFill="1"/>
    <xf numFmtId="0" fontId="4" fillId="5" borderId="0" xfId="0" applyFont="1" applyFill="1"/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7" fillId="0" borderId="3" xfId="0" applyFont="1" applyBorder="1" applyAlignment="1">
      <alignment vertical="center"/>
    </xf>
    <xf numFmtId="9" fontId="5" fillId="0" borderId="3" xfId="0" applyNumberFormat="1" applyFont="1" applyBorder="1" applyAlignment="1">
      <alignment horizontal="center" vertical="center"/>
    </xf>
    <xf numFmtId="10" fontId="5" fillId="2" borderId="3" xfId="3" applyNumberFormat="1" applyFont="1" applyFill="1" applyBorder="1" applyAlignment="1" applyProtection="1">
      <alignment horizontal="center" vertical="center"/>
    </xf>
    <xf numFmtId="10" fontId="3" fillId="4" borderId="3" xfId="3" applyNumberFormat="1" applyFont="1" applyFill="1" applyBorder="1" applyAlignment="1" applyProtection="1">
      <alignment horizontal="center" vertical="center"/>
    </xf>
    <xf numFmtId="0" fontId="4" fillId="0" borderId="3" xfId="0" applyFont="1" applyBorder="1" applyAlignment="1">
      <alignment vertical="center" wrapText="1"/>
    </xf>
    <xf numFmtId="10" fontId="7" fillId="2" borderId="8" xfId="5" applyNumberFormat="1" applyFont="1" applyFill="1" applyBorder="1" applyAlignment="1">
      <alignment horizontal="center" vertical="center"/>
    </xf>
    <xf numFmtId="10" fontId="3" fillId="4" borderId="4" xfId="3" applyNumberFormat="1" applyFont="1" applyFill="1" applyBorder="1" applyAlignment="1" applyProtection="1">
      <alignment horizontal="center" vertical="center"/>
    </xf>
    <xf numFmtId="10" fontId="5" fillId="0" borderId="4" xfId="3" applyNumberFormat="1" applyFont="1" applyBorder="1" applyAlignment="1" applyProtection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 wrapText="1"/>
    </xf>
    <xf numFmtId="9" fontId="5" fillId="2" borderId="3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173" fontId="5" fillId="2" borderId="3" xfId="0" applyNumberFormat="1" applyFont="1" applyFill="1" applyBorder="1" applyAlignment="1">
      <alignment horizontal="center" vertical="center"/>
    </xf>
    <xf numFmtId="10" fontId="7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169" fontId="7" fillId="2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10" fontId="5" fillId="0" borderId="3" xfId="3" applyNumberFormat="1" applyFont="1" applyBorder="1" applyAlignment="1" applyProtection="1">
      <alignment horizontal="center" vertical="center"/>
    </xf>
    <xf numFmtId="10" fontId="5" fillId="2" borderId="4" xfId="3" applyNumberFormat="1" applyFont="1" applyFill="1" applyBorder="1" applyAlignment="1" applyProtection="1">
      <alignment horizontal="center" vertical="center"/>
    </xf>
    <xf numFmtId="10" fontId="5" fillId="2" borderId="4" xfId="3" applyNumberFormat="1" applyFont="1" applyFill="1" applyBorder="1" applyAlignment="1" applyProtection="1">
      <alignment vertical="center"/>
    </xf>
    <xf numFmtId="10" fontId="5" fillId="0" borderId="3" xfId="3" applyNumberFormat="1" applyFont="1" applyBorder="1" applyAlignment="1" applyProtection="1">
      <alignment vertical="center"/>
    </xf>
    <xf numFmtId="10" fontId="3" fillId="4" borderId="3" xfId="3" applyNumberFormat="1" applyFont="1" applyFill="1" applyBorder="1" applyAlignment="1" applyProtection="1">
      <alignment vertical="center"/>
    </xf>
    <xf numFmtId="0" fontId="3" fillId="4" borderId="5" xfId="0" applyFont="1" applyFill="1" applyBorder="1" applyAlignment="1">
      <alignment horizontal="center" vertical="center"/>
    </xf>
    <xf numFmtId="0" fontId="4" fillId="12" borderId="3" xfId="0" applyFont="1" applyFill="1" applyBorder="1" applyAlignment="1" applyProtection="1">
      <alignment horizontal="left" vertical="justify"/>
      <protection locked="0"/>
    </xf>
    <xf numFmtId="9" fontId="4" fillId="12" borderId="3" xfId="3" applyFont="1" applyFill="1" applyBorder="1" applyAlignment="1" applyProtection="1">
      <alignment horizontal="center" vertical="justify"/>
      <protection locked="0"/>
    </xf>
    <xf numFmtId="171" fontId="13" fillId="2" borderId="44" xfId="0" applyNumberFormat="1" applyFont="1" applyFill="1" applyBorder="1" applyAlignment="1">
      <alignment horizontal="center" vertical="center" wrapText="1"/>
    </xf>
    <xf numFmtId="174" fontId="5" fillId="13" borderId="3" xfId="0" applyNumberFormat="1" applyFont="1" applyFill="1" applyBorder="1" applyAlignment="1">
      <alignment horizontal="right" vertical="center"/>
    </xf>
    <xf numFmtId="174" fontId="5" fillId="8" borderId="3" xfId="0" applyNumberFormat="1" applyFont="1" applyFill="1" applyBorder="1" applyAlignment="1">
      <alignment horizontal="right" vertical="center"/>
    </xf>
    <xf numFmtId="0" fontId="7" fillId="0" borderId="3" xfId="0" applyFont="1" applyBorder="1" applyAlignment="1">
      <alignment vertical="center" wrapText="1"/>
    </xf>
    <xf numFmtId="0" fontId="16" fillId="9" borderId="1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0" fontId="7" fillId="12" borderId="8" xfId="3" applyNumberFormat="1" applyFont="1" applyFill="1" applyBorder="1" applyAlignment="1" applyProtection="1">
      <alignment horizontal="center" vertical="center"/>
      <protection locked="0"/>
    </xf>
    <xf numFmtId="10" fontId="3" fillId="12" borderId="3" xfId="3" applyNumberFormat="1" applyFont="1" applyFill="1" applyBorder="1" applyAlignment="1" applyProtection="1">
      <alignment horizontal="center" vertical="center"/>
      <protection locked="0"/>
    </xf>
    <xf numFmtId="10" fontId="5" fillId="12" borderId="3" xfId="0" applyNumberFormat="1" applyFont="1" applyFill="1" applyBorder="1" applyAlignment="1" applyProtection="1">
      <alignment horizontal="center" vertical="center"/>
      <protection locked="0"/>
    </xf>
    <xf numFmtId="10" fontId="5" fillId="12" borderId="4" xfId="3" applyNumberFormat="1" applyFont="1" applyFill="1" applyBorder="1" applyAlignment="1" applyProtection="1">
      <alignment horizontal="center" vertical="center"/>
      <protection locked="0"/>
    </xf>
    <xf numFmtId="10" fontId="5" fillId="12" borderId="4" xfId="3" applyNumberFormat="1" applyFont="1" applyFill="1" applyBorder="1" applyAlignment="1" applyProtection="1">
      <alignment vertical="center"/>
      <protection locked="0"/>
    </xf>
    <xf numFmtId="175" fontId="4" fillId="0" borderId="3" xfId="0" applyNumberFormat="1" applyFont="1" applyBorder="1" applyAlignment="1">
      <alignment horizontal="center" vertical="center"/>
    </xf>
    <xf numFmtId="10" fontId="5" fillId="8" borderId="3" xfId="0" applyNumberFormat="1" applyFont="1" applyFill="1" applyBorder="1" applyAlignment="1">
      <alignment horizontal="center" vertical="center"/>
    </xf>
    <xf numFmtId="0" fontId="4" fillId="12" borderId="3" xfId="0" applyFont="1" applyFill="1" applyBorder="1" applyAlignment="1" applyProtection="1">
      <alignment horizontal="center" vertical="justify"/>
      <protection locked="0"/>
    </xf>
    <xf numFmtId="14" fontId="7" fillId="12" borderId="3" xfId="0" applyNumberFormat="1" applyFont="1" applyFill="1" applyBorder="1" applyAlignment="1" applyProtection="1">
      <alignment horizontal="center" vertical="center"/>
      <protection locked="0"/>
    </xf>
    <xf numFmtId="0" fontId="4" fillId="12" borderId="3" xfId="0" applyFont="1" applyFill="1" applyBorder="1" applyAlignment="1" applyProtection="1">
      <alignment vertical="center" wrapText="1"/>
      <protection locked="0"/>
    </xf>
    <xf numFmtId="0" fontId="4" fillId="12" borderId="3" xfId="0" applyFont="1" applyFill="1" applyBorder="1" applyAlignment="1" applyProtection="1">
      <alignment vertical="center"/>
      <protection locked="0"/>
    </xf>
    <xf numFmtId="10" fontId="5" fillId="2" borderId="4" xfId="3" applyNumberFormat="1" applyFont="1" applyFill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horizontal="right" vertical="center" indent="2"/>
    </xf>
    <xf numFmtId="9" fontId="5" fillId="12" borderId="3" xfId="3" applyFont="1" applyFill="1" applyBorder="1" applyAlignment="1" applyProtection="1">
      <alignment horizontal="center" vertical="center"/>
    </xf>
    <xf numFmtId="170" fontId="5" fillId="2" borderId="3" xfId="3" applyNumberFormat="1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>
      <alignment horizontal="left" vertical="center" indent="8"/>
    </xf>
    <xf numFmtId="0" fontId="5" fillId="2" borderId="3" xfId="0" applyFont="1" applyFill="1" applyBorder="1" applyAlignment="1">
      <alignment vertical="center"/>
    </xf>
    <xf numFmtId="1" fontId="5" fillId="14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vertical="center"/>
    </xf>
    <xf numFmtId="1" fontId="5" fillId="14" borderId="3" xfId="3" applyNumberFormat="1" applyFont="1" applyFill="1" applyBorder="1" applyAlignment="1">
      <alignment horizontal="center" vertical="center"/>
    </xf>
    <xf numFmtId="173" fontId="5" fillId="14" borderId="3" xfId="3" applyNumberFormat="1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1" fontId="7" fillId="1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vertical="center" wrapText="1"/>
    </xf>
    <xf numFmtId="10" fontId="20" fillId="2" borderId="4" xfId="3" applyNumberFormat="1" applyFont="1" applyFill="1" applyBorder="1" applyAlignment="1" applyProtection="1">
      <alignment horizontal="center" vertical="center"/>
    </xf>
    <xf numFmtId="10" fontId="5" fillId="12" borderId="4" xfId="3" applyNumberFormat="1" applyFont="1" applyFill="1" applyBorder="1" applyAlignment="1" applyProtection="1">
      <alignment horizontal="center" vertical="center"/>
    </xf>
    <xf numFmtId="0" fontId="5" fillId="2" borderId="4" xfId="3" applyNumberFormat="1" applyFont="1" applyFill="1" applyBorder="1" applyAlignment="1" applyProtection="1">
      <alignment horizontal="center" vertical="center"/>
    </xf>
    <xf numFmtId="10" fontId="5" fillId="8" borderId="4" xfId="3" applyNumberFormat="1" applyFont="1" applyFill="1" applyBorder="1" applyAlignment="1" applyProtection="1">
      <alignment horizontal="center" vertical="center"/>
    </xf>
    <xf numFmtId="10" fontId="4" fillId="0" borderId="3" xfId="0" applyNumberFormat="1" applyFont="1" applyBorder="1" applyAlignment="1">
      <alignment horizontal="center" vertical="center"/>
    </xf>
    <xf numFmtId="10" fontId="8" fillId="0" borderId="3" xfId="0" applyNumberFormat="1" applyFont="1" applyBorder="1" applyAlignment="1">
      <alignment horizontal="center" vertical="center"/>
    </xf>
    <xf numFmtId="10" fontId="5" fillId="2" borderId="3" xfId="3" applyNumberFormat="1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5" fontId="0" fillId="0" borderId="12" xfId="0" applyNumberFormat="1" applyBorder="1" applyAlignment="1">
      <alignment horizontal="center" vertical="center" wrapText="1"/>
    </xf>
    <xf numFmtId="165" fontId="0" fillId="0" borderId="33" xfId="0" applyNumberForma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65" fontId="0" fillId="0" borderId="31" xfId="0" applyNumberFormat="1" applyBorder="1" applyAlignment="1">
      <alignment horizontal="center" vertical="center" wrapText="1"/>
    </xf>
    <xf numFmtId="166" fontId="4" fillId="12" borderId="3" xfId="2" applyFont="1" applyFill="1" applyBorder="1" applyAlignment="1" applyProtection="1">
      <alignment horizontal="center"/>
      <protection locked="0"/>
    </xf>
    <xf numFmtId="166" fontId="5" fillId="0" borderId="3" xfId="2" applyFont="1" applyBorder="1" applyAlignment="1" applyProtection="1">
      <alignment horizontal="right" vertical="center"/>
    </xf>
    <xf numFmtId="166" fontId="5" fillId="0" borderId="3" xfId="2" applyFont="1" applyBorder="1" applyAlignment="1" applyProtection="1">
      <alignment vertical="center"/>
    </xf>
    <xf numFmtId="166" fontId="5" fillId="2" borderId="3" xfId="2" applyFont="1" applyFill="1" applyBorder="1" applyAlignment="1">
      <alignment vertical="center"/>
    </xf>
    <xf numFmtId="166" fontId="5" fillId="12" borderId="3" xfId="2" applyFont="1" applyFill="1" applyBorder="1" applyAlignment="1" applyProtection="1">
      <alignment vertical="center"/>
      <protection locked="0"/>
    </xf>
    <xf numFmtId="166" fontId="3" fillId="4" borderId="3" xfId="2" applyFont="1" applyFill="1" applyBorder="1" applyAlignment="1" applyProtection="1">
      <alignment vertical="center"/>
    </xf>
    <xf numFmtId="165" fontId="3" fillId="4" borderId="3" xfId="0" applyNumberFormat="1" applyFont="1" applyFill="1" applyBorder="1" applyAlignment="1">
      <alignment horizontal="left" vertical="center"/>
    </xf>
    <xf numFmtId="165" fontId="3" fillId="4" borderId="3" xfId="0" applyNumberFormat="1" applyFont="1" applyFill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166" fontId="7" fillId="0" borderId="3" xfId="2" applyFont="1" applyBorder="1" applyAlignment="1" applyProtection="1">
      <alignment vertical="center"/>
    </xf>
    <xf numFmtId="165" fontId="5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left" vertical="center"/>
    </xf>
    <xf numFmtId="1" fontId="5" fillId="12" borderId="3" xfId="2" applyNumberFormat="1" applyFont="1" applyFill="1" applyBorder="1" applyAlignment="1" applyProtection="1">
      <alignment horizontal="center" vertical="center"/>
    </xf>
    <xf numFmtId="166" fontId="3" fillId="4" borderId="3" xfId="2" applyFont="1" applyFill="1" applyBorder="1" applyAlignment="1" applyProtection="1">
      <alignment horizontal="right" vertical="center"/>
    </xf>
    <xf numFmtId="165" fontId="3" fillId="4" borderId="6" xfId="0" applyNumberFormat="1" applyFont="1" applyFill="1" applyBorder="1" applyAlignment="1">
      <alignment horizontal="left" vertical="center"/>
    </xf>
    <xf numFmtId="165" fontId="3" fillId="4" borderId="3" xfId="0" applyNumberFormat="1" applyFont="1" applyFill="1" applyBorder="1" applyAlignment="1">
      <alignment horizontal="right" vertical="center"/>
    </xf>
    <xf numFmtId="166" fontId="3" fillId="4" borderId="3" xfId="2" applyFont="1" applyFill="1" applyBorder="1" applyAlignment="1" applyProtection="1">
      <alignment horizontal="center" vertical="center"/>
    </xf>
    <xf numFmtId="166" fontId="5" fillId="12" borderId="4" xfId="2" applyFont="1" applyFill="1" applyBorder="1" applyAlignment="1" applyProtection="1">
      <alignment horizontal="center" vertical="center"/>
    </xf>
    <xf numFmtId="166" fontId="4" fillId="0" borderId="3" xfId="2" applyFont="1" applyBorder="1" applyAlignment="1" applyProtection="1">
      <alignment horizontal="right" vertical="center"/>
    </xf>
    <xf numFmtId="165" fontId="5" fillId="0" borderId="5" xfId="0" applyNumberFormat="1" applyFont="1" applyBorder="1" applyAlignment="1">
      <alignment horizontal="right" vertical="center"/>
    </xf>
    <xf numFmtId="0" fontId="5" fillId="2" borderId="4" xfId="1" applyNumberFormat="1" applyFont="1" applyFill="1" applyBorder="1" applyAlignment="1" applyProtection="1">
      <alignment horizontal="center" vertical="center"/>
      <protection locked="0"/>
    </xf>
    <xf numFmtId="174" fontId="5" fillId="0" borderId="3" xfId="2" applyNumberFormat="1" applyFont="1" applyBorder="1" applyAlignment="1" applyProtection="1">
      <alignment horizontal="right" vertical="center"/>
    </xf>
    <xf numFmtId="9" fontId="5" fillId="2" borderId="4" xfId="2" applyNumberFormat="1" applyFont="1" applyFill="1" applyBorder="1" applyAlignment="1" applyProtection="1">
      <alignment horizontal="center" vertical="center"/>
      <protection locked="0"/>
    </xf>
    <xf numFmtId="166" fontId="5" fillId="12" borderId="4" xfId="2" applyFont="1" applyFill="1" applyBorder="1" applyAlignment="1" applyProtection="1">
      <alignment horizontal="center" vertical="center"/>
      <protection locked="0"/>
    </xf>
    <xf numFmtId="9" fontId="5" fillId="12" borderId="4" xfId="2" applyNumberFormat="1" applyFont="1" applyFill="1" applyBorder="1" applyAlignment="1" applyProtection="1">
      <alignment horizontal="center" vertical="center"/>
      <protection locked="0"/>
    </xf>
    <xf numFmtId="10" fontId="5" fillId="12" borderId="4" xfId="2" applyNumberFormat="1" applyFont="1" applyFill="1" applyBorder="1" applyAlignment="1" applyProtection="1">
      <alignment horizontal="center" vertical="center"/>
      <protection locked="0"/>
    </xf>
    <xf numFmtId="166" fontId="4" fillId="12" borderId="3" xfId="2" applyFont="1" applyFill="1" applyBorder="1" applyAlignment="1" applyProtection="1">
      <alignment horizontal="right" vertical="center"/>
      <protection locked="0"/>
    </xf>
    <xf numFmtId="166" fontId="5" fillId="12" borderId="3" xfId="2" applyFont="1" applyFill="1" applyBorder="1" applyAlignment="1" applyProtection="1">
      <alignment horizontal="right" vertical="center"/>
      <protection locked="0"/>
    </xf>
    <xf numFmtId="166" fontId="5" fillId="2" borderId="3" xfId="0" applyNumberFormat="1" applyFont="1" applyFill="1" applyBorder="1" applyAlignment="1">
      <alignment horizontal="right" vertical="center"/>
    </xf>
    <xf numFmtId="166" fontId="7" fillId="2" borderId="3" xfId="0" applyNumberFormat="1" applyFont="1" applyFill="1" applyBorder="1" applyAlignment="1">
      <alignment horizontal="right" vertical="center"/>
    </xf>
    <xf numFmtId="166" fontId="5" fillId="2" borderId="3" xfId="2" applyFont="1" applyFill="1" applyBorder="1" applyAlignment="1" applyProtection="1">
      <alignment horizontal="right" vertical="center"/>
    </xf>
    <xf numFmtId="166" fontId="5" fillId="0" borderId="4" xfId="3" applyNumberFormat="1" applyFont="1" applyBorder="1" applyAlignment="1" applyProtection="1">
      <alignment horizontal="center" vertical="center"/>
    </xf>
    <xf numFmtId="166" fontId="5" fillId="13" borderId="3" xfId="0" applyNumberFormat="1" applyFont="1" applyFill="1" applyBorder="1" applyAlignment="1">
      <alignment horizontal="right" vertical="center"/>
    </xf>
    <xf numFmtId="165" fontId="3" fillId="4" borderId="3" xfId="2" applyNumberFormat="1" applyFont="1" applyFill="1" applyBorder="1" applyAlignment="1" applyProtection="1">
      <alignment horizontal="right" vertical="center"/>
    </xf>
    <xf numFmtId="165" fontId="5" fillId="2" borderId="5" xfId="0" applyNumberFormat="1" applyFont="1" applyFill="1" applyBorder="1" applyAlignment="1">
      <alignment horizontal="center" vertical="center"/>
    </xf>
    <xf numFmtId="164" fontId="18" fillId="2" borderId="5" xfId="0" applyNumberFormat="1" applyFont="1" applyFill="1" applyBorder="1" applyAlignment="1">
      <alignment horizontal="left" vertical="center" indent="8"/>
    </xf>
    <xf numFmtId="166" fontId="20" fillId="2" borderId="4" xfId="3" applyNumberFormat="1" applyFont="1" applyFill="1" applyBorder="1" applyAlignment="1" applyProtection="1">
      <alignment horizontal="center" vertical="center"/>
    </xf>
    <xf numFmtId="166" fontId="20" fillId="2" borderId="3" xfId="2" applyFont="1" applyFill="1" applyBorder="1" applyAlignment="1" applyProtection="1">
      <alignment horizontal="right" vertical="center"/>
    </xf>
    <xf numFmtId="166" fontId="20" fillId="2" borderId="4" xfId="2" applyFont="1" applyFill="1" applyBorder="1" applyAlignment="1" applyProtection="1">
      <alignment horizontal="center" vertical="center"/>
    </xf>
    <xf numFmtId="165" fontId="5" fillId="2" borderId="6" xfId="0" applyNumberFormat="1" applyFont="1" applyFill="1" applyBorder="1" applyAlignment="1">
      <alignment horizontal="left" vertical="center"/>
    </xf>
    <xf numFmtId="166" fontId="5" fillId="2" borderId="3" xfId="0" applyNumberFormat="1" applyFont="1" applyFill="1" applyBorder="1" applyAlignment="1">
      <alignment horizontal="center" vertical="center"/>
    </xf>
    <xf numFmtId="166" fontId="5" fillId="2" borderId="3" xfId="2" applyFont="1" applyFill="1" applyBorder="1" applyAlignment="1" applyProtection="1">
      <alignment horizontal="center" vertical="center"/>
    </xf>
    <xf numFmtId="165" fontId="5" fillId="2" borderId="3" xfId="0" applyNumberFormat="1" applyFont="1" applyFill="1" applyBorder="1" applyAlignment="1">
      <alignment horizontal="left" vertical="center"/>
    </xf>
    <xf numFmtId="166" fontId="5" fillId="8" borderId="3" xfId="2" applyFont="1" applyFill="1" applyBorder="1" applyAlignment="1" applyProtection="1">
      <alignment horizontal="center" vertical="center"/>
    </xf>
    <xf numFmtId="166" fontId="4" fillId="0" borderId="3" xfId="0" applyNumberFormat="1" applyFont="1" applyBorder="1"/>
    <xf numFmtId="165" fontId="8" fillId="2" borderId="6" xfId="0" applyNumberFormat="1" applyFont="1" applyFill="1" applyBorder="1" applyAlignment="1">
      <alignment horizontal="left" vertical="center"/>
    </xf>
    <xf numFmtId="166" fontId="8" fillId="0" borderId="3" xfId="0" applyNumberFormat="1" applyFont="1" applyBorder="1"/>
    <xf numFmtId="166" fontId="5" fillId="0" borderId="3" xfId="2" applyFont="1" applyBorder="1" applyAlignment="1" applyProtection="1">
      <alignment horizontal="center" vertical="center"/>
    </xf>
    <xf numFmtId="166" fontId="7" fillId="2" borderId="3" xfId="2" applyFont="1" applyFill="1" applyBorder="1" applyAlignment="1" applyProtection="1">
      <alignment horizontal="right" vertical="center"/>
    </xf>
    <xf numFmtId="166" fontId="3" fillId="3" borderId="4" xfId="2" applyFont="1" applyFill="1" applyBorder="1" applyAlignment="1" applyProtection="1">
      <alignment horizontal="right" vertical="center"/>
    </xf>
    <xf numFmtId="165" fontId="5" fillId="0" borderId="5" xfId="0" applyNumberFormat="1" applyFont="1" applyBorder="1" applyAlignment="1">
      <alignment horizontal="left" vertical="center"/>
    </xf>
    <xf numFmtId="166" fontId="3" fillId="7" borderId="3" xfId="2" applyFont="1" applyFill="1" applyBorder="1" applyAlignment="1" applyProtection="1">
      <alignment horizontal="right" vertical="center"/>
    </xf>
    <xf numFmtId="0" fontId="4" fillId="12" borderId="3" xfId="2" applyNumberFormat="1" applyFont="1" applyFill="1" applyBorder="1" applyAlignment="1" applyProtection="1">
      <alignment horizontal="center"/>
      <protection locked="0"/>
    </xf>
    <xf numFmtId="1" fontId="5" fillId="2" borderId="3" xfId="1" applyNumberFormat="1" applyFont="1" applyFill="1" applyBorder="1" applyAlignment="1" applyProtection="1">
      <alignment horizontal="center" vertical="center"/>
    </xf>
    <xf numFmtId="0" fontId="10" fillId="0" borderId="3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165" fontId="0" fillId="15" borderId="12" xfId="0" applyNumberFormat="1" applyFill="1" applyBorder="1" applyAlignment="1" applyProtection="1">
      <alignment horizontal="center" vertical="center" wrapText="1"/>
      <protection locked="0"/>
    </xf>
    <xf numFmtId="165" fontId="14" fillId="15" borderId="24" xfId="0" applyNumberFormat="1" applyFont="1" applyFill="1" applyBorder="1" applyAlignment="1" applyProtection="1">
      <alignment horizontal="center" vertical="center" wrapText="1"/>
      <protection locked="0"/>
    </xf>
    <xf numFmtId="165" fontId="10" fillId="7" borderId="7" xfId="0" applyNumberFormat="1" applyFont="1" applyFill="1" applyBorder="1" applyAlignment="1">
      <alignment horizontal="center" wrapText="1"/>
    </xf>
    <xf numFmtId="171" fontId="0" fillId="7" borderId="9" xfId="2" applyNumberFormat="1" applyFont="1" applyFill="1" applyBorder="1" applyAlignment="1" applyProtection="1">
      <alignment horizontal="center" vertical="center" wrapText="1"/>
    </xf>
    <xf numFmtId="0" fontId="21" fillId="12" borderId="3" xfId="0" applyFont="1" applyFill="1" applyBorder="1" applyAlignment="1" applyProtection="1">
      <alignment horizontal="center" vertical="justify"/>
      <protection locked="0"/>
    </xf>
    <xf numFmtId="0" fontId="0" fillId="0" borderId="14" xfId="0" applyBorder="1" applyAlignment="1">
      <alignment horizontal="center" vertical="center" wrapText="1"/>
    </xf>
    <xf numFmtId="1" fontId="0" fillId="0" borderId="50" xfId="1" applyNumberFormat="1" applyFont="1" applyBorder="1" applyAlignment="1" applyProtection="1">
      <alignment horizontal="center" vertical="center" wrapText="1"/>
    </xf>
    <xf numFmtId="166" fontId="0" fillId="0" borderId="0" xfId="2" applyFont="1"/>
    <xf numFmtId="176" fontId="0" fillId="0" borderId="0" xfId="1" applyNumberFormat="1" applyFont="1"/>
    <xf numFmtId="166" fontId="5" fillId="16" borderId="3" xfId="0" applyNumberFormat="1" applyFont="1" applyFill="1" applyBorder="1" applyAlignment="1">
      <alignment horizontal="right" vertical="center"/>
    </xf>
    <xf numFmtId="166" fontId="5" fillId="16" borderId="3" xfId="2" applyFont="1" applyFill="1" applyBorder="1" applyAlignment="1" applyProtection="1">
      <alignment horizontal="right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166" fontId="5" fillId="0" borderId="43" xfId="2" applyFont="1" applyBorder="1" applyAlignment="1">
      <alignment horizontal="center" vertical="center" wrapText="1"/>
    </xf>
    <xf numFmtId="177" fontId="5" fillId="0" borderId="55" xfId="0" applyNumberFormat="1" applyFont="1" applyBorder="1" applyAlignment="1">
      <alignment horizontal="center" vertical="center" wrapText="1"/>
    </xf>
    <xf numFmtId="178" fontId="5" fillId="0" borderId="55" xfId="0" applyNumberFormat="1" applyFont="1" applyBorder="1" applyAlignment="1">
      <alignment horizontal="center" vertical="center" wrapText="1"/>
    </xf>
    <xf numFmtId="179" fontId="13" fillId="2" borderId="44" xfId="0" applyNumberFormat="1" applyFont="1" applyFill="1" applyBorder="1" applyAlignment="1">
      <alignment horizontal="center" vertical="center" wrapText="1"/>
    </xf>
    <xf numFmtId="180" fontId="3" fillId="7" borderId="1" xfId="2" applyNumberFormat="1" applyFont="1" applyFill="1" applyBorder="1" applyAlignment="1">
      <alignment horizontal="center" vertical="center" wrapText="1"/>
    </xf>
    <xf numFmtId="49" fontId="13" fillId="2" borderId="7" xfId="0" applyNumberFormat="1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/>
    </xf>
    <xf numFmtId="0" fontId="17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left" vertical="center"/>
    </xf>
    <xf numFmtId="171" fontId="0" fillId="0" borderId="0" xfId="0" applyNumberFormat="1"/>
    <xf numFmtId="179" fontId="13" fillId="2" borderId="29" xfId="0" applyNumberFormat="1" applyFont="1" applyFill="1" applyBorder="1" applyAlignment="1">
      <alignment horizontal="center" vertical="center" wrapText="1"/>
    </xf>
    <xf numFmtId="171" fontId="23" fillId="0" borderId="0" xfId="0" applyNumberFormat="1" applyFont="1"/>
    <xf numFmtId="0" fontId="0" fillId="0" borderId="3" xfId="0" applyBorder="1" applyAlignment="1">
      <alignment horizontal="center" vertical="center" wrapText="1"/>
    </xf>
    <xf numFmtId="165" fontId="0" fillId="15" borderId="3" xfId="0" applyNumberFormat="1" applyFill="1" applyBorder="1" applyAlignment="1" applyProtection="1">
      <alignment horizontal="center" vertical="center" wrapText="1"/>
      <protection locked="0"/>
    </xf>
    <xf numFmtId="0" fontId="10" fillId="0" borderId="57" xfId="0" applyFont="1" applyBorder="1" applyAlignment="1">
      <alignment horizontal="center" vertical="center" wrapText="1"/>
    </xf>
    <xf numFmtId="0" fontId="10" fillId="0" borderId="58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165" fontId="0" fillId="15" borderId="40" xfId="0" applyNumberFormat="1" applyFill="1" applyBorder="1" applyAlignment="1" applyProtection="1">
      <alignment horizontal="center" vertical="center" wrapText="1"/>
      <protection locked="0"/>
    </xf>
    <xf numFmtId="165" fontId="0" fillId="0" borderId="41" xfId="0" applyNumberFormat="1" applyBorder="1" applyAlignment="1">
      <alignment horizontal="center" vertical="center" wrapText="1"/>
    </xf>
    <xf numFmtId="0" fontId="0" fillId="2" borderId="0" xfId="0" applyFill="1"/>
    <xf numFmtId="0" fontId="24" fillId="2" borderId="0" xfId="0" applyFont="1" applyFill="1" applyAlignment="1">
      <alignment wrapText="1"/>
    </xf>
    <xf numFmtId="0" fontId="25" fillId="2" borderId="37" xfId="0" applyFont="1" applyFill="1" applyBorder="1" applyAlignment="1">
      <alignment horizontal="center" vertical="center" wrapText="1"/>
    </xf>
    <xf numFmtId="0" fontId="25" fillId="2" borderId="25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justify" vertical="center" wrapText="1"/>
    </xf>
    <xf numFmtId="1" fontId="24" fillId="20" borderId="60" xfId="0" applyNumberFormat="1" applyFont="1" applyFill="1" applyBorder="1" applyAlignment="1">
      <alignment horizontal="center" vertical="center" wrapText="1"/>
    </xf>
    <xf numFmtId="1" fontId="24" fillId="20" borderId="3" xfId="0" applyNumberFormat="1" applyFont="1" applyFill="1" applyBorder="1" applyAlignment="1">
      <alignment horizontal="center" vertical="center" wrapText="1"/>
    </xf>
    <xf numFmtId="1" fontId="24" fillId="20" borderId="2" xfId="0" applyNumberFormat="1" applyFont="1" applyFill="1" applyBorder="1" applyAlignment="1">
      <alignment horizontal="center" vertical="center" wrapText="1"/>
    </xf>
    <xf numFmtId="166" fontId="24" fillId="20" borderId="42" xfId="0" applyNumberFormat="1" applyFont="1" applyFill="1" applyBorder="1" applyAlignment="1">
      <alignment wrapText="1"/>
    </xf>
    <xf numFmtId="166" fontId="24" fillId="20" borderId="43" xfId="0" applyNumberFormat="1" applyFont="1" applyFill="1" applyBorder="1" applyAlignment="1">
      <alignment wrapText="1"/>
    </xf>
    <xf numFmtId="166" fontId="24" fillId="20" borderId="1" xfId="0" applyNumberFormat="1" applyFont="1" applyFill="1" applyBorder="1" applyAlignment="1">
      <alignment wrapText="1"/>
    </xf>
    <xf numFmtId="1" fontId="0" fillId="0" borderId="3" xfId="0" applyNumberFormat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166" fontId="5" fillId="2" borderId="3" xfId="2" applyFont="1" applyFill="1" applyBorder="1" applyAlignment="1" applyProtection="1">
      <alignment horizontal="right" vertical="center"/>
      <protection locked="0"/>
    </xf>
    <xf numFmtId="0" fontId="23" fillId="0" borderId="0" xfId="0" applyFont="1"/>
    <xf numFmtId="0" fontId="28" fillId="0" borderId="30" xfId="0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171" fontId="1" fillId="2" borderId="1" xfId="2" applyNumberFormat="1" applyFont="1" applyFill="1" applyBorder="1" applyAlignment="1" applyProtection="1">
      <alignment horizontal="center" vertical="center" wrapText="1"/>
    </xf>
    <xf numFmtId="179" fontId="0" fillId="0" borderId="0" xfId="0" applyNumberFormat="1"/>
    <xf numFmtId="0" fontId="28" fillId="21" borderId="30" xfId="0" applyFont="1" applyFill="1" applyBorder="1" applyAlignment="1">
      <alignment horizontal="center" vertical="center" wrapText="1"/>
    </xf>
    <xf numFmtId="0" fontId="30" fillId="0" borderId="40" xfId="0" applyFont="1" applyBorder="1" applyAlignment="1">
      <alignment horizontal="center" vertical="center" wrapText="1"/>
    </xf>
    <xf numFmtId="0" fontId="30" fillId="21" borderId="40" xfId="0" applyFont="1" applyFill="1" applyBorder="1" applyAlignment="1">
      <alignment horizontal="center" vertical="center" wrapText="1"/>
    </xf>
    <xf numFmtId="0" fontId="30" fillId="0" borderId="41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30" fillId="0" borderId="39" xfId="0" applyFont="1" applyBorder="1" applyAlignment="1">
      <alignment horizontal="center" vertical="center" wrapText="1"/>
    </xf>
    <xf numFmtId="171" fontId="24" fillId="20" borderId="39" xfId="0" applyNumberFormat="1" applyFont="1" applyFill="1" applyBorder="1" applyAlignment="1">
      <alignment wrapText="1"/>
    </xf>
    <xf numFmtId="171" fontId="30" fillId="0" borderId="65" xfId="0" applyNumberFormat="1" applyFont="1" applyBorder="1" applyAlignment="1">
      <alignment horizontal="center" vertical="center" wrapText="1"/>
    </xf>
    <xf numFmtId="171" fontId="30" fillId="0" borderId="6" xfId="0" applyNumberFormat="1" applyFont="1" applyBorder="1" applyAlignment="1">
      <alignment horizontal="center" vertical="center" wrapText="1"/>
    </xf>
    <xf numFmtId="171" fontId="30" fillId="0" borderId="50" xfId="0" applyNumberFormat="1" applyFont="1" applyBorder="1" applyAlignment="1">
      <alignment horizontal="center" vertical="center" wrapText="1"/>
    </xf>
    <xf numFmtId="171" fontId="1" fillId="15" borderId="43" xfId="2" applyNumberFormat="1" applyFont="1" applyFill="1" applyBorder="1" applyAlignment="1" applyProtection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165" fontId="0" fillId="0" borderId="0" xfId="0" applyNumberFormat="1"/>
    <xf numFmtId="0" fontId="24" fillId="2" borderId="66" xfId="0" applyFont="1" applyFill="1" applyBorder="1" applyAlignment="1">
      <alignment horizontal="center" vertical="center" wrapText="1"/>
    </xf>
    <xf numFmtId="0" fontId="25" fillId="2" borderId="35" xfId="0" applyFont="1" applyFill="1" applyBorder="1" applyAlignment="1">
      <alignment horizontal="center" vertical="center" wrapText="1"/>
    </xf>
    <xf numFmtId="166" fontId="24" fillId="20" borderId="64" xfId="0" applyNumberFormat="1" applyFont="1" applyFill="1" applyBorder="1" applyAlignment="1">
      <alignment wrapText="1"/>
    </xf>
    <xf numFmtId="0" fontId="25" fillId="8" borderId="3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6" fillId="8" borderId="3" xfId="0" applyFont="1" applyFill="1" applyBorder="1" applyAlignment="1">
      <alignment horizontal="center" vertical="center" wrapText="1"/>
    </xf>
    <xf numFmtId="1" fontId="25" fillId="8" borderId="3" xfId="6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171" fontId="26" fillId="8" borderId="3" xfId="6" applyNumberFormat="1" applyFont="1" applyFill="1" applyBorder="1" applyAlignment="1">
      <alignment horizontal="center" vertical="center" wrapText="1"/>
    </xf>
    <xf numFmtId="171" fontId="25" fillId="8" borderId="3" xfId="6" applyNumberFormat="1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171" fontId="26" fillId="2" borderId="3" xfId="6" applyNumberFormat="1" applyFont="1" applyFill="1" applyBorder="1" applyAlignment="1">
      <alignment horizontal="center" vertical="center" wrapText="1"/>
    </xf>
    <xf numFmtId="0" fontId="25" fillId="18" borderId="3" xfId="0" applyFont="1" applyFill="1" applyBorder="1" applyAlignment="1">
      <alignment horizontal="center" vertical="center" wrapText="1"/>
    </xf>
    <xf numFmtId="0" fontId="25" fillId="8" borderId="40" xfId="0" applyFont="1" applyFill="1" applyBorder="1" applyAlignment="1">
      <alignment horizontal="center" vertical="center" wrapText="1"/>
    </xf>
    <xf numFmtId="0" fontId="25" fillId="8" borderId="41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8" borderId="2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6" fillId="8" borderId="2" xfId="0" applyFont="1" applyFill="1" applyBorder="1" applyAlignment="1">
      <alignment horizontal="center" vertical="center" wrapText="1"/>
    </xf>
    <xf numFmtId="1" fontId="25" fillId="8" borderId="2" xfId="6" applyNumberFormat="1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171" fontId="25" fillId="8" borderId="2" xfId="6" applyNumberFormat="1" applyFont="1" applyFill="1" applyBorder="1" applyAlignment="1">
      <alignment horizontal="center" vertical="center" wrapText="1"/>
    </xf>
    <xf numFmtId="171" fontId="26" fillId="2" borderId="2" xfId="6" applyNumberFormat="1" applyFont="1" applyFill="1" applyBorder="1" applyAlignment="1">
      <alignment horizontal="center" vertical="center" wrapText="1"/>
    </xf>
    <xf numFmtId="171" fontId="26" fillId="8" borderId="2" xfId="6" applyNumberFormat="1" applyFont="1" applyFill="1" applyBorder="1" applyAlignment="1">
      <alignment horizontal="center" vertical="center" wrapText="1"/>
    </xf>
    <xf numFmtId="0" fontId="25" fillId="8" borderId="48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25" fillId="8" borderId="4" xfId="0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 wrapText="1"/>
    </xf>
    <xf numFmtId="0" fontId="26" fillId="8" borderId="4" xfId="0" applyFont="1" applyFill="1" applyBorder="1" applyAlignment="1">
      <alignment horizontal="center" vertical="center" wrapText="1"/>
    </xf>
    <xf numFmtId="1" fontId="25" fillId="8" borderId="4" xfId="6" applyNumberFormat="1" applyFont="1" applyFill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171" fontId="26" fillId="8" borderId="4" xfId="6" applyNumberFormat="1" applyFont="1" applyFill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171" fontId="26" fillId="2" borderId="4" xfId="6" applyNumberFormat="1" applyFont="1" applyFill="1" applyBorder="1" applyAlignment="1">
      <alignment horizontal="center" vertical="center" wrapText="1"/>
    </xf>
    <xf numFmtId="0" fontId="24" fillId="8" borderId="49" xfId="0" applyFont="1" applyFill="1" applyBorder="1" applyAlignment="1">
      <alignment horizontal="center" vertical="center" wrapText="1"/>
    </xf>
    <xf numFmtId="0" fontId="24" fillId="8" borderId="67" xfId="0" applyFont="1" applyFill="1" applyBorder="1" applyAlignment="1">
      <alignment horizontal="center" vertical="center" wrapText="1"/>
    </xf>
    <xf numFmtId="0" fontId="24" fillId="2" borderId="67" xfId="0" applyFont="1" applyFill="1" applyBorder="1" applyAlignment="1">
      <alignment horizontal="center" vertical="center" wrapText="1"/>
    </xf>
    <xf numFmtId="0" fontId="26" fillId="2" borderId="67" xfId="0" applyFont="1" applyFill="1" applyBorder="1" applyAlignment="1">
      <alignment horizontal="center" vertical="center" wrapText="1"/>
    </xf>
    <xf numFmtId="0" fontId="26" fillId="8" borderId="67" xfId="0" applyFont="1" applyFill="1" applyBorder="1" applyAlignment="1">
      <alignment horizontal="center" vertical="center" wrapText="1"/>
    </xf>
    <xf numFmtId="0" fontId="25" fillId="8" borderId="49" xfId="0" applyFont="1" applyFill="1" applyBorder="1" applyAlignment="1">
      <alignment horizontal="left" vertical="center" wrapText="1"/>
    </xf>
    <xf numFmtId="0" fontId="25" fillId="8" borderId="67" xfId="0" applyFont="1" applyFill="1" applyBorder="1" applyAlignment="1">
      <alignment horizontal="left" vertical="center" wrapText="1"/>
    </xf>
    <xf numFmtId="0" fontId="25" fillId="2" borderId="67" xfId="0" applyFont="1" applyFill="1" applyBorder="1" applyAlignment="1">
      <alignment horizontal="left" vertical="center" wrapText="1"/>
    </xf>
    <xf numFmtId="0" fontId="26" fillId="8" borderId="67" xfId="0" applyFont="1" applyFill="1" applyBorder="1" applyAlignment="1">
      <alignment horizontal="left" vertical="center" wrapText="1"/>
    </xf>
    <xf numFmtId="0" fontId="26" fillId="2" borderId="67" xfId="0" applyFont="1" applyFill="1" applyBorder="1" applyAlignment="1">
      <alignment horizontal="left" vertical="center" wrapText="1"/>
    </xf>
    <xf numFmtId="0" fontId="26" fillId="8" borderId="67" xfId="2" applyNumberFormat="1" applyFont="1" applyFill="1" applyBorder="1" applyAlignment="1">
      <alignment horizontal="left" vertical="center" wrapText="1"/>
    </xf>
    <xf numFmtId="0" fontId="25" fillId="8" borderId="69" xfId="0" applyFont="1" applyFill="1" applyBorder="1" applyAlignment="1">
      <alignment horizontal="center" vertical="center" wrapText="1"/>
    </xf>
    <xf numFmtId="0" fontId="25" fillId="8" borderId="70" xfId="0" applyFont="1" applyFill="1" applyBorder="1" applyAlignment="1">
      <alignment horizontal="center" vertical="center" wrapText="1"/>
    </xf>
    <xf numFmtId="0" fontId="25" fillId="2" borderId="70" xfId="0" applyFont="1" applyFill="1" applyBorder="1" applyAlignment="1">
      <alignment horizontal="center" vertical="center" wrapText="1"/>
    </xf>
    <xf numFmtId="0" fontId="26" fillId="8" borderId="70" xfId="0" applyFont="1" applyFill="1" applyBorder="1" applyAlignment="1">
      <alignment horizontal="center" vertical="center" wrapText="1"/>
    </xf>
    <xf numFmtId="0" fontId="42" fillId="8" borderId="61" xfId="0" applyFont="1" applyFill="1" applyBorder="1" applyAlignment="1">
      <alignment horizontal="center" vertical="center" wrapText="1"/>
    </xf>
    <xf numFmtId="0" fontId="25" fillId="2" borderId="62" xfId="0" applyFont="1" applyFill="1" applyBorder="1" applyAlignment="1">
      <alignment horizontal="center" vertical="center" wrapText="1"/>
    </xf>
    <xf numFmtId="0" fontId="25" fillId="8" borderId="62" xfId="0" applyFont="1" applyFill="1" applyBorder="1" applyAlignment="1">
      <alignment horizontal="center" vertical="center" wrapText="1"/>
    </xf>
    <xf numFmtId="0" fontId="26" fillId="8" borderId="62" xfId="0" applyFont="1" applyFill="1" applyBorder="1" applyAlignment="1">
      <alignment horizontal="center" vertical="center" wrapText="1"/>
    </xf>
    <xf numFmtId="0" fontId="24" fillId="20" borderId="64" xfId="0" applyFont="1" applyFill="1" applyBorder="1" applyAlignment="1">
      <alignment horizontal="center" vertical="center" wrapText="1"/>
    </xf>
    <xf numFmtId="0" fontId="24" fillId="20" borderId="3" xfId="0" applyFont="1" applyFill="1" applyBorder="1" applyAlignment="1">
      <alignment horizontal="center" vertical="center" wrapText="1"/>
    </xf>
    <xf numFmtId="0" fontId="0" fillId="0" borderId="39" xfId="0" applyBorder="1"/>
    <xf numFmtId="0" fontId="24" fillId="20" borderId="40" xfId="0" applyFont="1" applyFill="1" applyBorder="1" applyAlignment="1">
      <alignment horizontal="center" vertical="center" wrapText="1"/>
    </xf>
    <xf numFmtId="0" fontId="21" fillId="20" borderId="40" xfId="0" applyFont="1" applyFill="1" applyBorder="1" applyAlignment="1">
      <alignment horizontal="center" vertical="center" wrapText="1"/>
    </xf>
    <xf numFmtId="0" fontId="24" fillId="20" borderId="41" xfId="0" applyFont="1" applyFill="1" applyBorder="1" applyAlignment="1">
      <alignment horizontal="center" vertical="center" wrapText="1"/>
    </xf>
    <xf numFmtId="0" fontId="24" fillId="2" borderId="60" xfId="0" applyFont="1" applyFill="1" applyBorder="1" applyAlignment="1">
      <alignment horizontal="center" vertical="center" wrapText="1"/>
    </xf>
    <xf numFmtId="0" fontId="25" fillId="2" borderId="60" xfId="0" applyFont="1" applyFill="1" applyBorder="1" applyAlignment="1">
      <alignment horizontal="center" vertical="center" wrapText="1"/>
    </xf>
    <xf numFmtId="0" fontId="25" fillId="2" borderId="42" xfId="0" applyFont="1" applyFill="1" applyBorder="1" applyAlignment="1">
      <alignment horizontal="center" vertical="center" wrapText="1"/>
    </xf>
    <xf numFmtId="0" fontId="24" fillId="20" borderId="43" xfId="0" applyFont="1" applyFill="1" applyBorder="1" applyAlignment="1">
      <alignment horizontal="center" vertical="center" wrapText="1"/>
    </xf>
    <xf numFmtId="171" fontId="24" fillId="20" borderId="3" xfId="0" applyNumberFormat="1" applyFont="1" applyFill="1" applyBorder="1" applyAlignment="1">
      <alignment horizontal="center" vertical="center" wrapText="1"/>
    </xf>
    <xf numFmtId="171" fontId="24" fillId="20" borderId="43" xfId="0" applyNumberFormat="1" applyFont="1" applyFill="1" applyBorder="1" applyAlignment="1">
      <alignment horizontal="center" vertical="center" wrapText="1"/>
    </xf>
    <xf numFmtId="171" fontId="24" fillId="20" borderId="2" xfId="0" applyNumberFormat="1" applyFont="1" applyFill="1" applyBorder="1" applyAlignment="1">
      <alignment wrapText="1"/>
    </xf>
    <xf numFmtId="171" fontId="24" fillId="20" borderId="1" xfId="0" applyNumberFormat="1" applyFont="1" applyFill="1" applyBorder="1" applyAlignment="1">
      <alignment wrapText="1"/>
    </xf>
    <xf numFmtId="1" fontId="24" fillId="20" borderId="7" xfId="0" applyNumberFormat="1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4" fillId="2" borderId="68" xfId="0" applyFont="1" applyFill="1" applyBorder="1" applyAlignment="1">
      <alignment horizontal="center" vertical="center" wrapText="1"/>
    </xf>
    <xf numFmtId="0" fontId="25" fillId="2" borderId="68" xfId="0" applyFont="1" applyFill="1" applyBorder="1" applyAlignment="1">
      <alignment horizontal="left" vertical="center" wrapText="1"/>
    </xf>
    <xf numFmtId="0" fontId="25" fillId="2" borderId="63" xfId="0" applyFont="1" applyFill="1" applyBorder="1" applyAlignment="1">
      <alignment horizontal="center" vertical="center" wrapText="1"/>
    </xf>
    <xf numFmtId="0" fontId="25" fillId="2" borderId="71" xfId="0" applyFont="1" applyFill="1" applyBorder="1" applyAlignment="1">
      <alignment horizontal="center" vertical="center" wrapText="1"/>
    </xf>
    <xf numFmtId="171" fontId="25" fillId="19" borderId="75" xfId="2" applyNumberFormat="1" applyFont="1" applyFill="1" applyBorder="1" applyAlignment="1" applyProtection="1">
      <alignment horizontal="center" vertical="center" wrapText="1"/>
      <protection locked="0"/>
    </xf>
    <xf numFmtId="171" fontId="25" fillId="19" borderId="8" xfId="2" applyNumberFormat="1" applyFont="1" applyFill="1" applyBorder="1" applyAlignment="1" applyProtection="1">
      <alignment horizontal="center" vertical="center" wrapText="1"/>
      <protection locked="0"/>
    </xf>
    <xf numFmtId="171" fontId="25" fillId="19" borderId="76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171" fontId="0" fillId="0" borderId="70" xfId="0" applyNumberFormat="1" applyBorder="1" applyAlignment="1">
      <alignment horizontal="center" vertical="center"/>
    </xf>
    <xf numFmtId="171" fontId="0" fillId="0" borderId="71" xfId="0" applyNumberFormat="1" applyBorder="1" applyAlignment="1">
      <alignment horizontal="center" vertical="center"/>
    </xf>
    <xf numFmtId="0" fontId="30" fillId="0" borderId="61" xfId="0" applyFont="1" applyBorder="1" applyAlignment="1">
      <alignment horizontal="center" vertical="center" wrapText="1"/>
    </xf>
    <xf numFmtId="171" fontId="30" fillId="0" borderId="62" xfId="0" applyNumberFormat="1" applyFont="1" applyBorder="1" applyAlignment="1">
      <alignment horizontal="center" vertical="center" wrapText="1"/>
    </xf>
    <xf numFmtId="0" fontId="30" fillId="0" borderId="62" xfId="0" applyFont="1" applyBorder="1" applyAlignment="1">
      <alignment horizontal="center" vertical="center" wrapText="1"/>
    </xf>
    <xf numFmtId="1" fontId="24" fillId="20" borderId="62" xfId="0" applyNumberFormat="1" applyFont="1" applyFill="1" applyBorder="1" applyAlignment="1">
      <alignment horizontal="center" vertical="center" wrapText="1"/>
    </xf>
    <xf numFmtId="171" fontId="30" fillId="0" borderId="42" xfId="0" applyNumberFormat="1" applyFont="1" applyBorder="1" applyAlignment="1">
      <alignment horizontal="center" vertical="center" wrapText="1"/>
    </xf>
    <xf numFmtId="171" fontId="30" fillId="0" borderId="43" xfId="0" applyNumberFormat="1" applyFont="1" applyBorder="1" applyAlignment="1">
      <alignment horizontal="center" vertical="center" wrapText="1"/>
    </xf>
    <xf numFmtId="171" fontId="30" fillId="0" borderId="1" xfId="0" applyNumberFormat="1" applyFont="1" applyBorder="1" applyAlignment="1">
      <alignment horizontal="center" vertical="center" wrapText="1"/>
    </xf>
    <xf numFmtId="0" fontId="30" fillId="0" borderId="64" xfId="0" applyFont="1" applyBorder="1" applyAlignment="1">
      <alignment horizontal="center" vertical="center" wrapText="1"/>
    </xf>
    <xf numFmtId="171" fontId="30" fillId="0" borderId="59" xfId="0" applyNumberFormat="1" applyFont="1" applyBorder="1" applyAlignment="1">
      <alignment horizontal="center" vertical="center" wrapText="1"/>
    </xf>
    <xf numFmtId="171" fontId="30" fillId="0" borderId="9" xfId="0" applyNumberFormat="1" applyFont="1" applyBorder="1" applyAlignment="1">
      <alignment horizontal="center" vertical="center" wrapText="1"/>
    </xf>
    <xf numFmtId="171" fontId="30" fillId="0" borderId="40" xfId="0" applyNumberFormat="1" applyFont="1" applyBorder="1" applyAlignment="1">
      <alignment horizontal="center" vertical="center" wrapText="1"/>
    </xf>
    <xf numFmtId="171" fontId="30" fillId="0" borderId="41" xfId="0" applyNumberFormat="1" applyFont="1" applyBorder="1" applyAlignment="1">
      <alignment horizontal="center" vertical="center" wrapText="1"/>
    </xf>
    <xf numFmtId="0" fontId="30" fillId="0" borderId="59" xfId="0" applyFont="1" applyBorder="1" applyAlignment="1">
      <alignment horizontal="center" vertical="center" wrapText="1"/>
    </xf>
    <xf numFmtId="0" fontId="30" fillId="21" borderId="59" xfId="0" applyFont="1" applyFill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40" xfId="0" applyFont="1" applyBorder="1" applyAlignment="1">
      <alignment horizontal="right" vertical="center" wrapText="1" indent="1"/>
    </xf>
    <xf numFmtId="0" fontId="30" fillId="21" borderId="40" xfId="0" applyFont="1" applyFill="1" applyBorder="1" applyAlignment="1">
      <alignment horizontal="right" vertical="center" wrapText="1" indent="1"/>
    </xf>
    <xf numFmtId="0" fontId="30" fillId="0" borderId="41" xfId="0" applyFont="1" applyBorder="1" applyAlignment="1">
      <alignment horizontal="right" vertical="center" wrapText="1" indent="1"/>
    </xf>
    <xf numFmtId="0" fontId="30" fillId="0" borderId="59" xfId="0" applyFont="1" applyBorder="1" applyAlignment="1">
      <alignment horizontal="right" vertical="center" wrapText="1" indent="1"/>
    </xf>
    <xf numFmtId="0" fontId="30" fillId="21" borderId="59" xfId="0" applyFont="1" applyFill="1" applyBorder="1" applyAlignment="1">
      <alignment horizontal="right" vertical="center" wrapText="1" indent="1"/>
    </xf>
    <xf numFmtId="0" fontId="30" fillId="0" borderId="9" xfId="0" applyFont="1" applyBorder="1" applyAlignment="1">
      <alignment horizontal="right" vertical="center" wrapText="1" indent="1"/>
    </xf>
    <xf numFmtId="0" fontId="32" fillId="0" borderId="40" xfId="0" applyFont="1" applyBorder="1" applyAlignment="1">
      <alignment horizontal="center" vertical="center" wrapText="1"/>
    </xf>
    <xf numFmtId="0" fontId="32" fillId="21" borderId="40" xfId="0" applyFont="1" applyFill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21" borderId="59" xfId="0" applyFont="1" applyFill="1" applyBorder="1" applyAlignment="1">
      <alignment horizontal="center" vertical="center" wrapText="1"/>
    </xf>
    <xf numFmtId="0" fontId="23" fillId="21" borderId="59" xfId="0" applyFont="1" applyFill="1" applyBorder="1" applyAlignment="1">
      <alignment horizontal="right" indent="1"/>
    </xf>
    <xf numFmtId="0" fontId="32" fillId="0" borderId="59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7" fillId="0" borderId="59" xfId="0" applyFont="1" applyBorder="1" applyAlignment="1">
      <alignment horizontal="center" vertical="center" wrapText="1"/>
    </xf>
    <xf numFmtId="0" fontId="37" fillId="21" borderId="59" xfId="0" applyFont="1" applyFill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171" fontId="30" fillId="0" borderId="39" xfId="0" applyNumberFormat="1" applyFont="1" applyBorder="1" applyAlignment="1">
      <alignment horizontal="center" vertical="center" wrapText="1"/>
    </xf>
    <xf numFmtId="0" fontId="35" fillId="0" borderId="59" xfId="0" applyFont="1" applyBorder="1" applyAlignment="1">
      <alignment horizontal="center" vertical="center" wrapText="1"/>
    </xf>
    <xf numFmtId="0" fontId="35" fillId="21" borderId="59" xfId="0" applyFont="1" applyFill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5" fillId="0" borderId="40" xfId="0" applyFont="1" applyBorder="1" applyAlignment="1">
      <alignment horizontal="center" vertical="center" wrapText="1"/>
    </xf>
    <xf numFmtId="0" fontId="35" fillId="21" borderId="40" xfId="0" applyFont="1" applyFill="1" applyBorder="1" applyAlignment="1">
      <alignment horizontal="center" vertical="center" wrapText="1"/>
    </xf>
    <xf numFmtId="0" fontId="35" fillId="0" borderId="41" xfId="0" applyFont="1" applyBorder="1" applyAlignment="1">
      <alignment horizontal="center" vertical="center" wrapText="1"/>
    </xf>
    <xf numFmtId="0" fontId="30" fillId="0" borderId="64" xfId="1" applyNumberFormat="1" applyFont="1" applyBorder="1" applyAlignment="1">
      <alignment horizontal="center" vertical="center" wrapText="1"/>
    </xf>
    <xf numFmtId="171" fontId="24" fillId="20" borderId="74" xfId="0" applyNumberFormat="1" applyFont="1" applyFill="1" applyBorder="1" applyAlignment="1">
      <alignment horizontal="center" vertical="center" wrapText="1"/>
    </xf>
    <xf numFmtId="171" fontId="24" fillId="20" borderId="38" xfId="0" applyNumberFormat="1" applyFont="1" applyFill="1" applyBorder="1" applyAlignment="1">
      <alignment horizontal="center" vertical="center" wrapText="1"/>
    </xf>
    <xf numFmtId="171" fontId="25" fillId="2" borderId="8" xfId="2" applyNumberFormat="1" applyFont="1" applyFill="1" applyBorder="1" applyAlignment="1" applyProtection="1">
      <alignment horizontal="center" vertical="center" wrapText="1"/>
      <protection locked="0"/>
    </xf>
    <xf numFmtId="0" fontId="0" fillId="8" borderId="61" xfId="0" applyFill="1" applyBorder="1" applyAlignment="1">
      <alignment horizontal="center" vertical="center"/>
    </xf>
    <xf numFmtId="171" fontId="0" fillId="8" borderId="69" xfId="0" applyNumberFormat="1" applyFill="1" applyBorder="1" applyAlignment="1">
      <alignment horizontal="center" vertical="center"/>
    </xf>
    <xf numFmtId="0" fontId="0" fillId="8" borderId="62" xfId="0" applyFill="1" applyBorder="1" applyAlignment="1">
      <alignment horizontal="center" vertical="center"/>
    </xf>
    <xf numFmtId="171" fontId="0" fillId="8" borderId="70" xfId="0" applyNumberFormat="1" applyFill="1" applyBorder="1" applyAlignment="1">
      <alignment horizontal="center" vertical="center"/>
    </xf>
    <xf numFmtId="171" fontId="25" fillId="8" borderId="8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/>
    </xf>
    <xf numFmtId="0" fontId="44" fillId="8" borderId="0" xfId="0" applyFont="1" applyFill="1" applyAlignment="1">
      <alignment horizontal="center" vertical="center"/>
    </xf>
    <xf numFmtId="0" fontId="28" fillId="0" borderId="44" xfId="0" applyFont="1" applyBorder="1" applyAlignment="1">
      <alignment horizontal="center" vertical="center" wrapText="1"/>
    </xf>
    <xf numFmtId="0" fontId="28" fillId="0" borderId="29" xfId="0" applyFont="1" applyBorder="1" applyAlignment="1">
      <alignment horizontal="center" vertical="center" wrapText="1"/>
    </xf>
    <xf numFmtId="171" fontId="25" fillId="8" borderId="4" xfId="6" applyNumberFormat="1" applyFont="1" applyFill="1" applyBorder="1" applyAlignment="1">
      <alignment horizontal="center" vertical="center" wrapText="1"/>
    </xf>
    <xf numFmtId="171" fontId="25" fillId="2" borderId="4" xfId="6" applyNumberFormat="1" applyFont="1" applyFill="1" applyBorder="1" applyAlignment="1">
      <alignment horizontal="center" vertical="center" wrapText="1"/>
    </xf>
    <xf numFmtId="171" fontId="25" fillId="2" borderId="3" xfId="6" applyNumberFormat="1" applyFont="1" applyFill="1" applyBorder="1" applyAlignment="1">
      <alignment horizontal="center" vertical="center" wrapText="1"/>
    </xf>
    <xf numFmtId="171" fontId="25" fillId="2" borderId="2" xfId="6" applyNumberFormat="1" applyFont="1" applyFill="1" applyBorder="1" applyAlignment="1">
      <alignment horizontal="center" vertical="center" wrapText="1"/>
    </xf>
    <xf numFmtId="171" fontId="26" fillId="8" borderId="11" xfId="6" applyNumberFormat="1" applyFont="1" applyFill="1" applyBorder="1" applyAlignment="1">
      <alignment horizontal="center" vertical="center" wrapText="1"/>
    </xf>
    <xf numFmtId="171" fontId="26" fillId="8" borderId="43" xfId="6" applyNumberFormat="1" applyFont="1" applyFill="1" applyBorder="1" applyAlignment="1">
      <alignment horizontal="center" vertical="center" wrapText="1"/>
    </xf>
    <xf numFmtId="171" fontId="26" fillId="8" borderId="1" xfId="6" applyNumberFormat="1" applyFont="1" applyFill="1" applyBorder="1" applyAlignment="1">
      <alignment horizontal="center" vertical="center" wrapText="1"/>
    </xf>
    <xf numFmtId="171" fontId="24" fillId="20" borderId="64" xfId="0" applyNumberFormat="1" applyFont="1" applyFill="1" applyBorder="1" applyAlignment="1">
      <alignment wrapText="1"/>
    </xf>
    <xf numFmtId="171" fontId="24" fillId="20" borderId="42" xfId="0" applyNumberFormat="1" applyFont="1" applyFill="1" applyBorder="1" applyAlignment="1">
      <alignment wrapText="1"/>
    </xf>
    <xf numFmtId="171" fontId="24" fillId="20" borderId="43" xfId="0" applyNumberFormat="1" applyFont="1" applyFill="1" applyBorder="1" applyAlignment="1">
      <alignment wrapText="1"/>
    </xf>
    <xf numFmtId="171" fontId="24" fillId="20" borderId="61" xfId="0" applyNumberFormat="1" applyFont="1" applyFill="1" applyBorder="1" applyAlignment="1">
      <alignment horizontal="center" vertical="center"/>
    </xf>
    <xf numFmtId="171" fontId="24" fillId="20" borderId="63" xfId="0" applyNumberFormat="1" applyFont="1" applyFill="1" applyBorder="1" applyAlignment="1">
      <alignment horizontal="center" vertical="center" wrapText="1"/>
    </xf>
    <xf numFmtId="1" fontId="13" fillId="2" borderId="38" xfId="0" applyNumberFormat="1" applyFont="1" applyFill="1" applyBorder="1" applyAlignment="1">
      <alignment horizontal="center" vertical="center" wrapText="1"/>
    </xf>
    <xf numFmtId="0" fontId="17" fillId="0" borderId="22" xfId="0" applyFont="1" applyBorder="1" applyAlignment="1">
      <alignment horizontal="left" vertical="center" wrapText="1"/>
    </xf>
    <xf numFmtId="171" fontId="13" fillId="12" borderId="18" xfId="0" applyNumberFormat="1" applyFont="1" applyFill="1" applyBorder="1" applyAlignment="1">
      <alignment horizontal="center" vertical="center" wrapText="1"/>
    </xf>
    <xf numFmtId="2" fontId="13" fillId="2" borderId="7" xfId="0" applyNumberFormat="1" applyFont="1" applyFill="1" applyBorder="1" applyAlignment="1">
      <alignment horizontal="center" vertical="center" wrapText="1"/>
    </xf>
    <xf numFmtId="1" fontId="13" fillId="2" borderId="7" xfId="0" applyNumberFormat="1" applyFont="1" applyFill="1" applyBorder="1" applyAlignment="1">
      <alignment horizontal="center" vertical="center" wrapText="1"/>
    </xf>
    <xf numFmtId="2" fontId="13" fillId="2" borderId="18" xfId="0" applyNumberFormat="1" applyFont="1" applyFill="1" applyBorder="1" applyAlignment="1">
      <alignment horizontal="center" vertical="center" wrapText="1"/>
    </xf>
    <xf numFmtId="165" fontId="0" fillId="15" borderId="24" xfId="0" applyNumberFormat="1" applyFill="1" applyBorder="1" applyAlignment="1" applyProtection="1">
      <alignment horizontal="center" vertical="center" wrapText="1"/>
      <protection locked="0"/>
    </xf>
    <xf numFmtId="173" fontId="0" fillId="0" borderId="12" xfId="0" applyNumberFormat="1" applyBorder="1" applyAlignment="1">
      <alignment horizontal="center" vertical="center" wrapText="1"/>
    </xf>
    <xf numFmtId="0" fontId="46" fillId="0" borderId="0" xfId="0" applyFont="1" applyAlignment="1">
      <alignment horizontal="left" vertical="center" wrapText="1"/>
    </xf>
    <xf numFmtId="0" fontId="46" fillId="0" borderId="0" xfId="0" applyFont="1" applyAlignment="1">
      <alignment horizontal="center" vertical="center" wrapText="1"/>
    </xf>
    <xf numFmtId="0" fontId="47" fillId="0" borderId="24" xfId="0" applyFont="1" applyBorder="1" applyAlignment="1">
      <alignment horizontal="center" vertical="center"/>
    </xf>
    <xf numFmtId="0" fontId="47" fillId="0" borderId="81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 wrapText="1"/>
    </xf>
    <xf numFmtId="165" fontId="46" fillId="0" borderId="12" xfId="0" applyNumberFormat="1" applyFont="1" applyBorder="1" applyAlignment="1">
      <alignment horizontal="center" vertical="center" wrapText="1"/>
    </xf>
    <xf numFmtId="0" fontId="47" fillId="0" borderId="12" xfId="0" applyFont="1" applyBorder="1" applyAlignment="1">
      <alignment horizontal="center" vertical="center" wrapText="1"/>
    </xf>
    <xf numFmtId="165" fontId="47" fillId="0" borderId="1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9" fillId="0" borderId="12" xfId="0" applyFont="1" applyBorder="1" applyAlignment="1">
      <alignment horizontal="center" vertical="center" wrapText="1"/>
    </xf>
    <xf numFmtId="165" fontId="46" fillId="15" borderId="12" xfId="0" applyNumberFormat="1" applyFont="1" applyFill="1" applyBorder="1" applyAlignment="1">
      <alignment horizontal="center" vertical="center" wrapText="1"/>
    </xf>
    <xf numFmtId="165" fontId="10" fillId="4" borderId="3" xfId="0" applyNumberFormat="1" applyFont="1" applyFill="1" applyBorder="1"/>
    <xf numFmtId="0" fontId="30" fillId="2" borderId="39" xfId="0" applyFont="1" applyFill="1" applyBorder="1" applyAlignment="1">
      <alignment horizontal="center" vertical="center" wrapText="1"/>
    </xf>
    <xf numFmtId="0" fontId="23" fillId="21" borderId="40" xfId="0" applyFont="1" applyFill="1" applyBorder="1" applyAlignment="1">
      <alignment horizontal="center" vertical="center"/>
    </xf>
    <xf numFmtId="0" fontId="23" fillId="21" borderId="59" xfId="0" applyFont="1" applyFill="1" applyBorder="1" applyAlignment="1">
      <alignment horizontal="center" vertical="center"/>
    </xf>
    <xf numFmtId="0" fontId="23" fillId="21" borderId="41" xfId="0" applyFont="1" applyFill="1" applyBorder="1" applyAlignment="1">
      <alignment horizontal="center" vertical="center"/>
    </xf>
    <xf numFmtId="0" fontId="23" fillId="21" borderId="9" xfId="0" applyFont="1" applyFill="1" applyBorder="1" applyAlignment="1">
      <alignment horizontal="center" vertical="center"/>
    </xf>
    <xf numFmtId="0" fontId="32" fillId="0" borderId="39" xfId="0" applyFont="1" applyBorder="1" applyAlignment="1">
      <alignment horizontal="center" vertical="center" wrapText="1"/>
    </xf>
    <xf numFmtId="0" fontId="32" fillId="0" borderId="64" xfId="0" applyFont="1" applyBorder="1" applyAlignment="1">
      <alignment horizontal="center" vertical="center" wrapText="1"/>
    </xf>
    <xf numFmtId="171" fontId="30" fillId="0" borderId="72" xfId="0" applyNumberFormat="1" applyFont="1" applyBorder="1" applyAlignment="1">
      <alignment horizontal="center" vertical="center" wrapText="1"/>
    </xf>
    <xf numFmtId="171" fontId="24" fillId="20" borderId="73" xfId="0" applyNumberFormat="1" applyFont="1" applyFill="1" applyBorder="1" applyAlignment="1">
      <alignment horizontal="center" vertical="center"/>
    </xf>
    <xf numFmtId="171" fontId="30" fillId="0" borderId="63" xfId="0" applyNumberFormat="1" applyFont="1" applyBorder="1" applyAlignment="1">
      <alignment horizontal="center" vertical="center" wrapText="1"/>
    </xf>
    <xf numFmtId="0" fontId="11" fillId="4" borderId="27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/>
    </xf>
    <xf numFmtId="0" fontId="12" fillId="6" borderId="21" xfId="0" applyFont="1" applyFill="1" applyBorder="1" applyAlignment="1">
      <alignment horizontal="center" vertical="center"/>
    </xf>
    <xf numFmtId="0" fontId="12" fillId="6" borderId="22" xfId="0" applyFont="1" applyFill="1" applyBorder="1" applyAlignment="1">
      <alignment horizontal="center" vertical="center"/>
    </xf>
    <xf numFmtId="0" fontId="12" fillId="6" borderId="23" xfId="0" applyFont="1" applyFill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/>
    </xf>
    <xf numFmtId="0" fontId="16" fillId="9" borderId="18" xfId="0" applyFont="1" applyFill="1" applyBorder="1" applyAlignment="1">
      <alignment horizontal="center" vertical="center" wrapText="1"/>
    </xf>
    <xf numFmtId="0" fontId="16" fillId="9" borderId="19" xfId="0" applyFont="1" applyFill="1" applyBorder="1" applyAlignment="1">
      <alignment horizontal="center" vertical="center" wrapText="1"/>
    </xf>
    <xf numFmtId="0" fontId="16" fillId="9" borderId="20" xfId="0" applyFont="1" applyFill="1" applyBorder="1" applyAlignment="1">
      <alignment horizontal="center" vertical="center" wrapText="1"/>
    </xf>
    <xf numFmtId="1" fontId="13" fillId="2" borderId="44" xfId="0" applyNumberFormat="1" applyFont="1" applyFill="1" applyBorder="1" applyAlignment="1">
      <alignment horizontal="center" vertical="center" wrapText="1"/>
    </xf>
    <xf numFmtId="1" fontId="13" fillId="2" borderId="45" xfId="0" applyNumberFormat="1" applyFont="1" applyFill="1" applyBorder="1" applyAlignment="1">
      <alignment horizontal="center" vertical="center" wrapText="1"/>
    </xf>
    <xf numFmtId="1" fontId="13" fillId="2" borderId="38" xfId="0" applyNumberFormat="1" applyFont="1" applyFill="1" applyBorder="1" applyAlignment="1">
      <alignment horizontal="center" vertical="center" wrapText="1"/>
    </xf>
    <xf numFmtId="0" fontId="17" fillId="0" borderId="44" xfId="0" applyFont="1" applyBorder="1" applyAlignment="1">
      <alignment horizontal="left" vertical="center" wrapText="1"/>
    </xf>
    <xf numFmtId="0" fontId="17" fillId="0" borderId="45" xfId="0" applyFont="1" applyBorder="1" applyAlignment="1">
      <alignment horizontal="left" vertical="center" wrapText="1"/>
    </xf>
    <xf numFmtId="0" fontId="17" fillId="0" borderId="38" xfId="0" applyFont="1" applyBorder="1" applyAlignment="1">
      <alignment horizontal="left" vertical="center" wrapText="1"/>
    </xf>
    <xf numFmtId="0" fontId="11" fillId="10" borderId="27" xfId="0" applyFont="1" applyFill="1" applyBorder="1" applyAlignment="1">
      <alignment horizontal="center" vertical="center"/>
    </xf>
    <xf numFmtId="0" fontId="11" fillId="10" borderId="28" xfId="0" applyFont="1" applyFill="1" applyBorder="1" applyAlignment="1">
      <alignment horizontal="center" vertical="center"/>
    </xf>
    <xf numFmtId="0" fontId="11" fillId="10" borderId="29" xfId="0" applyFont="1" applyFill="1" applyBorder="1" applyAlignment="1">
      <alignment horizontal="center" vertical="center"/>
    </xf>
    <xf numFmtId="0" fontId="12" fillId="6" borderId="18" xfId="0" applyFont="1" applyFill="1" applyBorder="1" applyAlignment="1">
      <alignment horizontal="center" vertical="center"/>
    </xf>
    <xf numFmtId="0" fontId="12" fillId="6" borderId="19" xfId="0" applyFont="1" applyFill="1" applyBorder="1" applyAlignment="1">
      <alignment horizontal="center" vertical="center"/>
    </xf>
    <xf numFmtId="0" fontId="12" fillId="6" borderId="20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24" fillId="8" borderId="67" xfId="0" applyFont="1" applyFill="1" applyBorder="1" applyAlignment="1">
      <alignment horizontal="center" vertical="center" wrapText="1"/>
    </xf>
    <xf numFmtId="0" fontId="26" fillId="8" borderId="67" xfId="0" applyFont="1" applyFill="1" applyBorder="1" applyAlignment="1">
      <alignment horizontal="left" vertical="center" wrapText="1"/>
    </xf>
    <xf numFmtId="0" fontId="26" fillId="8" borderId="62" xfId="0" applyFont="1" applyFill="1" applyBorder="1" applyAlignment="1">
      <alignment horizontal="center" vertical="center" wrapText="1"/>
    </xf>
    <xf numFmtId="0" fontId="26" fillId="8" borderId="70" xfId="0" applyFont="1" applyFill="1" applyBorder="1" applyAlignment="1">
      <alignment horizontal="center" vertical="center" wrapText="1"/>
    </xf>
    <xf numFmtId="171" fontId="25" fillId="19" borderId="70" xfId="2" applyNumberFormat="1" applyFont="1" applyFill="1" applyBorder="1" applyAlignment="1" applyProtection="1">
      <alignment horizontal="center" vertical="center" wrapText="1"/>
      <protection locked="0"/>
    </xf>
    <xf numFmtId="0" fontId="25" fillId="8" borderId="67" xfId="0" applyFont="1" applyFill="1" applyBorder="1" applyAlignment="1">
      <alignment horizontal="left" vertical="center" wrapText="1"/>
    </xf>
    <xf numFmtId="0" fontId="24" fillId="8" borderId="67" xfId="0" applyFont="1" applyFill="1" applyBorder="1" applyAlignment="1">
      <alignment horizontal="left" vertical="center" wrapText="1"/>
    </xf>
    <xf numFmtId="0" fontId="25" fillId="8" borderId="62" xfId="0" applyFont="1" applyFill="1" applyBorder="1" applyAlignment="1">
      <alignment horizontal="center" vertical="center" wrapText="1"/>
    </xf>
    <xf numFmtId="0" fontId="25" fillId="8" borderId="70" xfId="0" applyFont="1" applyFill="1" applyBorder="1" applyAlignment="1">
      <alignment horizontal="center" vertical="center" wrapText="1"/>
    </xf>
    <xf numFmtId="0" fontId="24" fillId="0" borderId="70" xfId="0" applyFont="1" applyBorder="1" applyAlignment="1">
      <alignment horizontal="center" vertical="center" wrapText="1"/>
    </xf>
    <xf numFmtId="0" fontId="24" fillId="2" borderId="67" xfId="0" applyFont="1" applyFill="1" applyBorder="1" applyAlignment="1">
      <alignment horizontal="center" vertical="center" wrapText="1"/>
    </xf>
    <xf numFmtId="0" fontId="26" fillId="2" borderId="67" xfId="0" applyFont="1" applyFill="1" applyBorder="1" applyAlignment="1">
      <alignment horizontal="left" vertical="center" wrapText="1"/>
    </xf>
    <xf numFmtId="0" fontId="25" fillId="2" borderId="67" xfId="0" applyFont="1" applyFill="1" applyBorder="1" applyAlignment="1">
      <alignment horizontal="left" vertical="center" wrapText="1"/>
    </xf>
    <xf numFmtId="0" fontId="24" fillId="2" borderId="67" xfId="0" applyFont="1" applyFill="1" applyBorder="1" applyAlignment="1">
      <alignment horizontal="left" vertical="center" wrapText="1"/>
    </xf>
    <xf numFmtId="0" fontId="25" fillId="2" borderId="62" xfId="0" applyFont="1" applyFill="1" applyBorder="1" applyAlignment="1">
      <alignment horizontal="center" vertical="center" wrapText="1"/>
    </xf>
    <xf numFmtId="0" fontId="25" fillId="2" borderId="70" xfId="0" applyFont="1" applyFill="1" applyBorder="1" applyAlignment="1">
      <alignment horizontal="center" vertical="center" wrapText="1"/>
    </xf>
    <xf numFmtId="0" fontId="24" fillId="2" borderId="70" xfId="0" applyFont="1" applyFill="1" applyBorder="1" applyAlignment="1">
      <alignment horizontal="center" vertical="center" wrapText="1"/>
    </xf>
    <xf numFmtId="0" fontId="26" fillId="0" borderId="62" xfId="0" applyFont="1" applyBorder="1" applyAlignment="1">
      <alignment horizontal="center" vertical="center" wrapText="1"/>
    </xf>
    <xf numFmtId="0" fontId="26" fillId="2" borderId="70" xfId="0" applyFont="1" applyFill="1" applyBorder="1" applyAlignment="1">
      <alignment horizontal="center" vertical="center" wrapText="1"/>
    </xf>
    <xf numFmtId="0" fontId="26" fillId="2" borderId="62" xfId="0" applyFont="1" applyFill="1" applyBorder="1" applyAlignment="1">
      <alignment horizontal="center" vertical="center" wrapText="1"/>
    </xf>
    <xf numFmtId="0" fontId="25" fillId="0" borderId="62" xfId="0" applyFont="1" applyBorder="1" applyAlignment="1">
      <alignment horizontal="center" vertical="center" wrapText="1"/>
    </xf>
    <xf numFmtId="0" fontId="25" fillId="0" borderId="70" xfId="0" applyFont="1" applyBorder="1" applyAlignment="1">
      <alignment horizontal="center" vertical="center" wrapText="1"/>
    </xf>
    <xf numFmtId="0" fontId="24" fillId="8" borderId="68" xfId="0" applyFont="1" applyFill="1" applyBorder="1" applyAlignment="1">
      <alignment horizontal="center" vertical="center" wrapText="1"/>
    </xf>
    <xf numFmtId="0" fontId="26" fillId="8" borderId="68" xfId="0" applyFont="1" applyFill="1" applyBorder="1" applyAlignment="1">
      <alignment horizontal="left" vertical="center" wrapText="1"/>
    </xf>
    <xf numFmtId="0" fontId="26" fillId="8" borderId="63" xfId="0" applyFont="1" applyFill="1" applyBorder="1" applyAlignment="1">
      <alignment horizontal="center" vertical="center" wrapText="1"/>
    </xf>
    <xf numFmtId="0" fontId="26" fillId="0" borderId="71" xfId="0" applyFont="1" applyBorder="1" applyAlignment="1">
      <alignment horizontal="center" vertical="center" wrapText="1"/>
    </xf>
    <xf numFmtId="171" fontId="25" fillId="19" borderId="71" xfId="2" applyNumberFormat="1" applyFont="1" applyFill="1" applyBorder="1" applyAlignment="1" applyProtection="1">
      <alignment horizontal="center" vertical="center" wrapText="1"/>
      <protection locked="0"/>
    </xf>
    <xf numFmtId="0" fontId="26" fillId="0" borderId="70" xfId="0" applyFont="1" applyBorder="1" applyAlignment="1">
      <alignment horizontal="center" vertical="center" wrapText="1"/>
    </xf>
    <xf numFmtId="0" fontId="24" fillId="20" borderId="18" xfId="0" applyFont="1" applyFill="1" applyBorder="1" applyAlignment="1">
      <alignment horizontal="center" wrapText="1"/>
    </xf>
    <xf numFmtId="0" fontId="24" fillId="20" borderId="19" xfId="0" applyFont="1" applyFill="1" applyBorder="1" applyAlignment="1">
      <alignment horizontal="center" wrapText="1"/>
    </xf>
    <xf numFmtId="0" fontId="26" fillId="8" borderId="67" xfId="2" applyNumberFormat="1" applyFont="1" applyFill="1" applyBorder="1" applyAlignment="1">
      <alignment horizontal="left" vertical="center" wrapText="1"/>
    </xf>
    <xf numFmtId="0" fontId="24" fillId="8" borderId="70" xfId="0" applyFont="1" applyFill="1" applyBorder="1" applyAlignment="1">
      <alignment horizontal="center" vertical="center" wrapText="1"/>
    </xf>
    <xf numFmtId="0" fontId="24" fillId="20" borderId="21" xfId="0" applyFont="1" applyFill="1" applyBorder="1" applyAlignment="1">
      <alignment horizontal="center" wrapText="1"/>
    </xf>
    <xf numFmtId="0" fontId="24" fillId="20" borderId="22" xfId="0" applyFont="1" applyFill="1" applyBorder="1" applyAlignment="1">
      <alignment horizontal="center" wrapText="1"/>
    </xf>
    <xf numFmtId="0" fontId="21" fillId="20" borderId="18" xfId="0" applyFont="1" applyFill="1" applyBorder="1" applyAlignment="1">
      <alignment horizontal="center" wrapText="1"/>
    </xf>
    <xf numFmtId="0" fontId="21" fillId="20" borderId="19" xfId="0" applyFont="1" applyFill="1" applyBorder="1" applyAlignment="1">
      <alignment horizontal="center" wrapText="1"/>
    </xf>
    <xf numFmtId="0" fontId="26" fillId="2" borderId="67" xfId="0" applyFont="1" applyFill="1" applyBorder="1" applyAlignment="1">
      <alignment horizontal="center" vertical="center" wrapText="1"/>
    </xf>
    <xf numFmtId="0" fontId="26" fillId="2" borderId="72" xfId="0" applyFont="1" applyFill="1" applyBorder="1" applyAlignment="1">
      <alignment horizontal="left" vertical="center" wrapText="1"/>
    </xf>
    <xf numFmtId="0" fontId="26" fillId="2" borderId="73" xfId="0" applyFont="1" applyFill="1" applyBorder="1" applyAlignment="1">
      <alignment horizontal="left" vertical="center" wrapText="1"/>
    </xf>
    <xf numFmtId="166" fontId="4" fillId="18" borderId="3" xfId="0" applyNumberFormat="1" applyFont="1" applyFill="1" applyBorder="1" applyAlignment="1">
      <alignment horizontal="center" vertical="center" wrapText="1"/>
    </xf>
    <xf numFmtId="0" fontId="26" fillId="8" borderId="67" xfId="0" applyFont="1" applyFill="1" applyBorder="1" applyAlignment="1">
      <alignment horizontal="center" vertical="center" wrapText="1"/>
    </xf>
    <xf numFmtId="0" fontId="24" fillId="2" borderId="27" xfId="0" applyFont="1" applyFill="1" applyBorder="1" applyAlignment="1">
      <alignment horizontal="center" vertical="center" wrapText="1"/>
    </xf>
    <xf numFmtId="0" fontId="24" fillId="2" borderId="26" xfId="0" applyFont="1" applyFill="1" applyBorder="1" applyAlignment="1">
      <alignment horizontal="center" vertical="center" wrapText="1"/>
    </xf>
    <xf numFmtId="0" fontId="25" fillId="2" borderId="44" xfId="0" applyFont="1" applyFill="1" applyBorder="1" applyAlignment="1">
      <alignment horizontal="center" vertical="center" wrapText="1"/>
    </xf>
    <xf numFmtId="0" fontId="25" fillId="2" borderId="45" xfId="0" applyFont="1" applyFill="1" applyBorder="1" applyAlignment="1">
      <alignment horizontal="center" vertical="center" wrapText="1"/>
    </xf>
    <xf numFmtId="168" fontId="25" fillId="2" borderId="29" xfId="6" applyFont="1" applyFill="1" applyBorder="1" applyAlignment="1">
      <alignment horizontal="center" vertical="center" wrapText="1"/>
    </xf>
    <xf numFmtId="168" fontId="25" fillId="2" borderId="30" xfId="6" applyFont="1" applyFill="1" applyBorder="1" applyAlignment="1">
      <alignment horizontal="center" vertical="center" wrapText="1"/>
    </xf>
    <xf numFmtId="0" fontId="25" fillId="2" borderId="18" xfId="0" applyFont="1" applyFill="1" applyBorder="1" applyAlignment="1">
      <alignment horizontal="center" vertical="center" wrapText="1"/>
    </xf>
    <xf numFmtId="0" fontId="25" fillId="2" borderId="19" xfId="0" applyFont="1" applyFill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24" fillId="8" borderId="49" xfId="0" applyFont="1" applyFill="1" applyBorder="1" applyAlignment="1">
      <alignment horizontal="center" vertical="center" wrapText="1"/>
    </xf>
    <xf numFmtId="0" fontId="25" fillId="8" borderId="49" xfId="0" applyFont="1" applyFill="1" applyBorder="1" applyAlignment="1">
      <alignment horizontal="left" vertical="center" wrapText="1"/>
    </xf>
    <xf numFmtId="0" fontId="42" fillId="8" borderId="61" xfId="0" applyFont="1" applyFill="1" applyBorder="1" applyAlignment="1">
      <alignment horizontal="center" vertical="center" wrapText="1"/>
    </xf>
    <xf numFmtId="0" fontId="42" fillId="8" borderId="62" xfId="0" applyFont="1" applyFill="1" applyBorder="1" applyAlignment="1">
      <alignment horizontal="center" vertical="center" wrapText="1"/>
    </xf>
    <xf numFmtId="0" fontId="25" fillId="8" borderId="69" xfId="0" applyFont="1" applyFill="1" applyBorder="1" applyAlignment="1">
      <alignment horizontal="center" vertical="center" wrapText="1"/>
    </xf>
    <xf numFmtId="171" fontId="25" fillId="19" borderId="69" xfId="2" applyNumberFormat="1" applyFont="1" applyFill="1" applyBorder="1" applyAlignment="1" applyProtection="1">
      <alignment horizontal="center" vertical="center" wrapText="1"/>
      <protection locked="0"/>
    </xf>
    <xf numFmtId="0" fontId="24" fillId="20" borderId="23" xfId="0" applyFont="1" applyFill="1" applyBorder="1" applyAlignment="1">
      <alignment horizontal="center" wrapText="1"/>
    </xf>
    <xf numFmtId="0" fontId="21" fillId="20" borderId="20" xfId="0" applyFont="1" applyFill="1" applyBorder="1" applyAlignment="1">
      <alignment horizontal="center" wrapText="1"/>
    </xf>
    <xf numFmtId="0" fontId="24" fillId="20" borderId="20" xfId="0" applyFont="1" applyFill="1" applyBorder="1" applyAlignment="1">
      <alignment horizontal="center" wrapText="1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50" fillId="0" borderId="59" xfId="0" applyFont="1" applyBorder="1" applyAlignment="1">
      <alignment horizontal="center" vertical="center" wrapText="1"/>
    </xf>
    <xf numFmtId="0" fontId="50" fillId="0" borderId="6" xfId="0" applyFont="1" applyBorder="1" applyAlignment="1">
      <alignment horizontal="center" vertical="center" wrapText="1"/>
    </xf>
    <xf numFmtId="0" fontId="39" fillId="22" borderId="59" xfId="0" applyFont="1" applyFill="1" applyBorder="1" applyAlignment="1">
      <alignment horizontal="center" vertical="center" wrapText="1"/>
    </xf>
    <xf numFmtId="0" fontId="39" fillId="22" borderId="6" xfId="0" applyFont="1" applyFill="1" applyBorder="1" applyAlignment="1">
      <alignment horizontal="center" vertical="center" wrapText="1"/>
    </xf>
    <xf numFmtId="171" fontId="25" fillId="19" borderId="16" xfId="2" applyNumberFormat="1" applyFont="1" applyFill="1" applyBorder="1" applyAlignment="1" applyProtection="1">
      <alignment horizontal="center" vertical="center" wrapText="1"/>
      <protection locked="0"/>
    </xf>
    <xf numFmtId="171" fontId="25" fillId="19" borderId="13" xfId="2" applyNumberFormat="1" applyFont="1" applyFill="1" applyBorder="1" applyAlignment="1" applyProtection="1">
      <alignment horizontal="center" vertical="center" wrapText="1"/>
      <protection locked="0"/>
    </xf>
    <xf numFmtId="0" fontId="29" fillId="0" borderId="39" xfId="0" applyFont="1" applyBorder="1" applyAlignment="1">
      <alignment horizontal="center" vertical="center" wrapText="1"/>
    </xf>
    <xf numFmtId="0" fontId="29" fillId="0" borderId="60" xfId="0" applyFont="1" applyBorder="1" applyAlignment="1">
      <alignment horizontal="center" vertical="center" wrapText="1"/>
    </xf>
    <xf numFmtId="0" fontId="36" fillId="0" borderId="59" xfId="0" applyFont="1" applyBorder="1" applyAlignment="1">
      <alignment vertical="center" wrapText="1"/>
    </xf>
    <xf numFmtId="0" fontId="36" fillId="0" borderId="6" xfId="0" applyFont="1" applyBorder="1" applyAlignment="1">
      <alignment vertical="center" wrapText="1"/>
    </xf>
    <xf numFmtId="0" fontId="41" fillId="0" borderId="59" xfId="0" applyFont="1" applyBorder="1" applyAlignment="1">
      <alignment horizontal="center" vertical="center" wrapText="1"/>
    </xf>
    <xf numFmtId="0" fontId="41" fillId="0" borderId="6" xfId="0" applyFont="1" applyBorder="1" applyAlignment="1">
      <alignment horizontal="center" vertical="center" wrapText="1"/>
    </xf>
    <xf numFmtId="0" fontId="39" fillId="0" borderId="59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171" fontId="25" fillId="2" borderId="16" xfId="2" applyNumberFormat="1" applyFont="1" applyFill="1" applyBorder="1" applyAlignment="1" applyProtection="1">
      <alignment horizontal="center" vertical="center" wrapText="1"/>
      <protection locked="0"/>
    </xf>
    <xf numFmtId="171" fontId="25" fillId="2" borderId="13" xfId="2" applyNumberFormat="1" applyFont="1" applyFill="1" applyBorder="1" applyAlignment="1" applyProtection="1">
      <alignment horizontal="center" vertical="center" wrapText="1"/>
      <protection locked="0"/>
    </xf>
    <xf numFmtId="0" fontId="0" fillId="11" borderId="18" xfId="0" applyFill="1" applyBorder="1" applyAlignment="1">
      <alignment horizontal="center"/>
    </xf>
    <xf numFmtId="0" fontId="0" fillId="11" borderId="19" xfId="0" applyFill="1" applyBorder="1" applyAlignment="1">
      <alignment horizontal="center"/>
    </xf>
    <xf numFmtId="0" fontId="0" fillId="11" borderId="20" xfId="0" applyFill="1" applyBorder="1" applyAlignment="1">
      <alignment horizontal="center"/>
    </xf>
    <xf numFmtId="0" fontId="29" fillId="0" borderId="40" xfId="0" applyFont="1" applyBorder="1" applyAlignment="1">
      <alignment horizontal="left" vertical="center" wrapText="1"/>
    </xf>
    <xf numFmtId="0" fontId="29" fillId="0" borderId="3" xfId="0" applyFont="1" applyBorder="1" applyAlignment="1">
      <alignment horizontal="left" vertical="center" wrapText="1"/>
    </xf>
    <xf numFmtId="0" fontId="29" fillId="0" borderId="40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41" fillId="0" borderId="40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0" fontId="39" fillId="0" borderId="40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171" fontId="25" fillId="2" borderId="41" xfId="2" applyNumberFormat="1" applyFont="1" applyFill="1" applyBorder="1" applyAlignment="1" applyProtection="1">
      <alignment horizontal="center" vertical="center" wrapText="1"/>
      <protection locked="0"/>
    </xf>
    <xf numFmtId="171" fontId="25" fillId="2" borderId="2" xfId="2" applyNumberFormat="1" applyFont="1" applyFill="1" applyBorder="1" applyAlignment="1" applyProtection="1">
      <alignment horizontal="center" vertical="center" wrapText="1"/>
      <protection locked="0"/>
    </xf>
    <xf numFmtId="0" fontId="31" fillId="0" borderId="40" xfId="0" applyFont="1" applyBorder="1" applyAlignment="1">
      <alignment horizontal="left" vertical="center" wrapText="1"/>
    </xf>
    <xf numFmtId="0" fontId="31" fillId="0" borderId="43" xfId="0" applyFont="1" applyBorder="1" applyAlignment="1">
      <alignment horizontal="left" vertical="center" wrapText="1"/>
    </xf>
    <xf numFmtId="0" fontId="29" fillId="0" borderId="43" xfId="0" applyFont="1" applyBorder="1" applyAlignment="1">
      <alignment horizontal="center" vertical="center" wrapText="1"/>
    </xf>
    <xf numFmtId="0" fontId="41" fillId="0" borderId="43" xfId="0" applyFont="1" applyBorder="1" applyAlignment="1">
      <alignment horizontal="center" vertical="center" wrapText="1"/>
    </xf>
    <xf numFmtId="0" fontId="39" fillId="0" borderId="43" xfId="0" applyFont="1" applyBorder="1" applyAlignment="1">
      <alignment horizontal="center" vertical="center" wrapText="1"/>
    </xf>
    <xf numFmtId="171" fontId="25" fillId="2" borderId="78" xfId="2" applyNumberFormat="1" applyFont="1" applyFill="1" applyBorder="1" applyAlignment="1" applyProtection="1">
      <alignment horizontal="center" vertical="center" wrapText="1"/>
      <protection locked="0"/>
    </xf>
    <xf numFmtId="171" fontId="25" fillId="2" borderId="79" xfId="2" applyNumberFormat="1" applyFont="1" applyFill="1" applyBorder="1" applyAlignment="1" applyProtection="1">
      <alignment horizontal="center" vertical="center" wrapText="1"/>
      <protection locked="0"/>
    </xf>
    <xf numFmtId="0" fontId="29" fillId="2" borderId="40" xfId="0" applyFont="1" applyFill="1" applyBorder="1" applyAlignment="1">
      <alignment vertical="center" wrapText="1"/>
    </xf>
    <xf numFmtId="0" fontId="29" fillId="2" borderId="43" xfId="0" applyFont="1" applyFill="1" applyBorder="1" applyAlignment="1">
      <alignment vertical="center" wrapText="1"/>
    </xf>
    <xf numFmtId="0" fontId="29" fillId="2" borderId="40" xfId="0" applyFont="1" applyFill="1" applyBorder="1" applyAlignment="1">
      <alignment horizontal="center" vertical="center" wrapText="1"/>
    </xf>
    <xf numFmtId="0" fontId="29" fillId="2" borderId="43" xfId="0" applyFont="1" applyFill="1" applyBorder="1" applyAlignment="1">
      <alignment horizontal="center" vertical="center" wrapText="1"/>
    </xf>
    <xf numFmtId="0" fontId="39" fillId="2" borderId="40" xfId="0" applyFont="1" applyFill="1" applyBorder="1" applyAlignment="1">
      <alignment horizontal="center" vertical="center" wrapText="1"/>
    </xf>
    <xf numFmtId="0" fontId="39" fillId="2" borderId="4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67" xfId="0" applyFont="1" applyBorder="1" applyAlignment="1">
      <alignment horizontal="center" vertical="center" wrapText="1"/>
    </xf>
    <xf numFmtId="0" fontId="31" fillId="21" borderId="39" xfId="0" applyFont="1" applyFill="1" applyBorder="1" applyAlignment="1">
      <alignment vertical="center" wrapText="1"/>
    </xf>
    <xf numFmtId="0" fontId="31" fillId="21" borderId="42" xfId="0" applyFont="1" applyFill="1" applyBorder="1" applyAlignment="1">
      <alignment vertical="center" wrapText="1"/>
    </xf>
    <xf numFmtId="0" fontId="50" fillId="0" borderId="40" xfId="0" applyFont="1" applyBorder="1" applyAlignment="1">
      <alignment horizontal="center" vertical="center" wrapText="1"/>
    </xf>
    <xf numFmtId="0" fontId="50" fillId="0" borderId="43" xfId="0" applyFont="1" applyBorder="1" applyAlignment="1">
      <alignment horizontal="center" vertical="center" wrapText="1"/>
    </xf>
    <xf numFmtId="0" fontId="39" fillId="22" borderId="40" xfId="0" applyFont="1" applyFill="1" applyBorder="1" applyAlignment="1">
      <alignment horizontal="center" vertical="center" wrapText="1"/>
    </xf>
    <xf numFmtId="0" fontId="39" fillId="22" borderId="43" xfId="0" applyFont="1" applyFill="1" applyBorder="1" applyAlignment="1">
      <alignment horizontal="center" vertical="center" wrapText="1"/>
    </xf>
    <xf numFmtId="0" fontId="31" fillId="0" borderId="3" xfId="0" applyFont="1" applyBorder="1" applyAlignment="1">
      <alignment vertical="center" wrapText="1"/>
    </xf>
    <xf numFmtId="0" fontId="31" fillId="21" borderId="40" xfId="0" applyFont="1" applyFill="1" applyBorder="1" applyAlignment="1">
      <alignment vertical="center" wrapText="1"/>
    </xf>
    <xf numFmtId="0" fontId="31" fillId="21" borderId="43" xfId="0" applyFont="1" applyFill="1" applyBorder="1" applyAlignment="1">
      <alignment vertical="center" wrapText="1"/>
    </xf>
    <xf numFmtId="0" fontId="29" fillId="2" borderId="64" xfId="0" applyFont="1" applyFill="1" applyBorder="1" applyAlignment="1">
      <alignment horizontal="center" vertical="center" wrapText="1"/>
    </xf>
    <xf numFmtId="0" fontId="29" fillId="2" borderId="65" xfId="0" applyFont="1" applyFill="1" applyBorder="1" applyAlignment="1">
      <alignment horizontal="center" vertical="center" wrapText="1"/>
    </xf>
    <xf numFmtId="0" fontId="29" fillId="2" borderId="59" xfId="0" applyFont="1" applyFill="1" applyBorder="1" applyAlignment="1">
      <alignment vertical="center" wrapText="1"/>
    </xf>
    <xf numFmtId="0" fontId="29" fillId="2" borderId="6" xfId="0" applyFont="1" applyFill="1" applyBorder="1" applyAlignment="1">
      <alignment vertical="center" wrapText="1"/>
    </xf>
    <xf numFmtId="0" fontId="31" fillId="0" borderId="59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31" fillId="0" borderId="40" xfId="0" applyFont="1" applyBorder="1" applyAlignment="1">
      <alignment horizontal="center" vertical="center" wrapText="1"/>
    </xf>
    <xf numFmtId="0" fontId="31" fillId="0" borderId="43" xfId="0" applyFont="1" applyBorder="1" applyAlignment="1">
      <alignment horizontal="center" vertical="center" wrapText="1"/>
    </xf>
    <xf numFmtId="0" fontId="29" fillId="2" borderId="39" xfId="0" applyFont="1" applyFill="1" applyBorder="1" applyAlignment="1">
      <alignment horizontal="center" vertical="center" wrapText="1"/>
    </xf>
    <xf numFmtId="0" fontId="29" fillId="2" borderId="42" xfId="0" applyFont="1" applyFill="1" applyBorder="1" applyAlignment="1">
      <alignment horizontal="center" vertical="center" wrapText="1"/>
    </xf>
    <xf numFmtId="0" fontId="29" fillId="0" borderId="64" xfId="0" applyFont="1" applyBorder="1" applyAlignment="1">
      <alignment horizontal="center" vertical="center" wrapText="1"/>
    </xf>
    <xf numFmtId="0" fontId="29" fillId="0" borderId="65" xfId="0" applyFont="1" applyBorder="1" applyAlignment="1">
      <alignment horizontal="center" vertical="center" wrapText="1"/>
    </xf>
    <xf numFmtId="0" fontId="29" fillId="0" borderId="59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39" fillId="0" borderId="40" xfId="0" applyFont="1" applyBorder="1" applyAlignment="1">
      <alignment vertical="center" wrapText="1"/>
    </xf>
    <xf numFmtId="0" fontId="39" fillId="0" borderId="43" xfId="0" applyFont="1" applyBorder="1" applyAlignment="1">
      <alignment vertical="center" wrapText="1"/>
    </xf>
    <xf numFmtId="0" fontId="29" fillId="0" borderId="42" xfId="0" applyFont="1" applyBorder="1" applyAlignment="1">
      <alignment horizontal="center" vertical="center" wrapText="1"/>
    </xf>
    <xf numFmtId="0" fontId="38" fillId="0" borderId="59" xfId="0" applyFont="1" applyBorder="1" applyAlignment="1">
      <alignment vertical="center" wrapText="1"/>
    </xf>
    <xf numFmtId="0" fontId="38" fillId="0" borderId="6" xfId="0" applyFont="1" applyBorder="1" applyAlignment="1">
      <alignment vertical="center" wrapText="1"/>
    </xf>
    <xf numFmtId="0" fontId="31" fillId="0" borderId="40" xfId="0" applyFont="1" applyBorder="1" applyAlignment="1">
      <alignment vertical="center" wrapText="1"/>
    </xf>
    <xf numFmtId="0" fontId="31" fillId="0" borderId="43" xfId="0" applyFont="1" applyBorder="1" applyAlignment="1">
      <alignment vertical="center" wrapText="1"/>
    </xf>
    <xf numFmtId="0" fontId="29" fillId="21" borderId="39" xfId="0" applyFont="1" applyFill="1" applyBorder="1" applyAlignment="1">
      <alignment horizontal="center" vertical="center" wrapText="1"/>
    </xf>
    <xf numFmtId="0" fontId="29" fillId="21" borderId="42" xfId="0" applyFont="1" applyFill="1" applyBorder="1" applyAlignment="1">
      <alignment horizontal="center" vertical="center" wrapText="1"/>
    </xf>
    <xf numFmtId="0" fontId="29" fillId="21" borderId="64" xfId="0" applyFont="1" applyFill="1" applyBorder="1" applyAlignment="1">
      <alignment horizontal="center" vertical="center" wrapText="1"/>
    </xf>
    <xf numFmtId="0" fontId="29" fillId="21" borderId="65" xfId="0" applyFont="1" applyFill="1" applyBorder="1" applyAlignment="1">
      <alignment horizontal="center" vertical="center" wrapText="1"/>
    </xf>
    <xf numFmtId="0" fontId="31" fillId="0" borderId="64" xfId="0" applyFont="1" applyBorder="1" applyAlignment="1">
      <alignment horizontal="center" vertical="center" wrapText="1"/>
    </xf>
    <xf numFmtId="0" fontId="31" fillId="0" borderId="65" xfId="0" applyFont="1" applyBorder="1" applyAlignment="1">
      <alignment horizontal="center" vertical="center" wrapText="1"/>
    </xf>
    <xf numFmtId="0" fontId="29" fillId="0" borderId="40" xfId="0" applyFont="1" applyBorder="1" applyAlignment="1">
      <alignment vertical="center" wrapText="1"/>
    </xf>
    <xf numFmtId="0" fontId="29" fillId="0" borderId="43" xfId="0" applyFont="1" applyBorder="1" applyAlignment="1">
      <alignment vertical="center" wrapText="1"/>
    </xf>
    <xf numFmtId="0" fontId="31" fillId="0" borderId="59" xfId="0" applyFont="1" applyBorder="1" applyAlignment="1">
      <alignment vertical="center" wrapText="1"/>
    </xf>
    <xf numFmtId="0" fontId="31" fillId="0" borderId="6" xfId="0" applyFont="1" applyBorder="1" applyAlignment="1">
      <alignment vertical="center" wrapText="1"/>
    </xf>
    <xf numFmtId="0" fontId="29" fillId="0" borderId="43" xfId="0" applyFont="1" applyBorder="1" applyAlignment="1">
      <alignment horizontal="left" vertical="center" wrapText="1"/>
    </xf>
    <xf numFmtId="0" fontId="29" fillId="0" borderId="59" xfId="0" applyFont="1" applyBorder="1" applyAlignment="1">
      <alignment horizontal="left" vertical="center" wrapText="1"/>
    </xf>
    <xf numFmtId="0" fontId="29" fillId="0" borderId="6" xfId="0" applyFont="1" applyBorder="1" applyAlignment="1">
      <alignment horizontal="left" vertical="center" wrapText="1"/>
    </xf>
    <xf numFmtId="0" fontId="36" fillId="0" borderId="64" xfId="0" applyFont="1" applyBorder="1" applyAlignment="1">
      <alignment horizontal="center" vertical="center" wrapText="1"/>
    </xf>
    <xf numFmtId="0" fontId="36" fillId="0" borderId="65" xfId="0" applyFont="1" applyBorder="1" applyAlignment="1">
      <alignment horizontal="center" vertical="center" wrapText="1"/>
    </xf>
    <xf numFmtId="0" fontId="31" fillId="0" borderId="39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43" xfId="0" applyBorder="1" applyAlignment="1">
      <alignment vertical="center" wrapText="1"/>
    </xf>
    <xf numFmtId="0" fontId="31" fillId="0" borderId="59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34" fillId="0" borderId="39" xfId="0" applyFont="1" applyBorder="1" applyAlignment="1">
      <alignment horizontal="center" vertical="center" wrapText="1"/>
    </xf>
    <xf numFmtId="0" fontId="34" fillId="0" borderId="42" xfId="0" applyFont="1" applyBorder="1" applyAlignment="1">
      <alignment horizontal="center" vertical="center" wrapText="1"/>
    </xf>
    <xf numFmtId="0" fontId="34" fillId="0" borderId="40" xfId="0" applyFont="1" applyBorder="1" applyAlignment="1">
      <alignment vertical="center" wrapText="1"/>
    </xf>
    <xf numFmtId="0" fontId="34" fillId="0" borderId="43" xfId="0" applyFont="1" applyBorder="1" applyAlignment="1">
      <alignment vertical="center" wrapText="1"/>
    </xf>
    <xf numFmtId="0" fontId="34" fillId="0" borderId="59" xfId="0" applyFont="1" applyBorder="1" applyAlignment="1">
      <alignment vertical="center" wrapText="1"/>
    </xf>
    <xf numFmtId="0" fontId="34" fillId="0" borderId="6" xfId="0" applyFont="1" applyBorder="1" applyAlignment="1">
      <alignment vertical="center" wrapText="1"/>
    </xf>
    <xf numFmtId="0" fontId="34" fillId="0" borderId="64" xfId="0" applyFont="1" applyBorder="1" applyAlignment="1">
      <alignment horizontal="center" vertical="center" wrapText="1"/>
    </xf>
    <xf numFmtId="0" fontId="34" fillId="0" borderId="65" xfId="0" applyFont="1" applyBorder="1" applyAlignment="1">
      <alignment horizontal="center" vertical="center" wrapText="1"/>
    </xf>
    <xf numFmtId="0" fontId="29" fillId="0" borderId="59" xfId="0" applyFont="1" applyBorder="1" applyAlignment="1">
      <alignment horizontal="center" vertical="center" wrapText="1"/>
    </xf>
    <xf numFmtId="0" fontId="0" fillId="0" borderId="43" xfId="0" applyBorder="1" applyAlignment="1">
      <alignment horizontal="left" vertical="center" wrapText="1"/>
    </xf>
    <xf numFmtId="0" fontId="29" fillId="2" borderId="59" xfId="0" applyFont="1" applyFill="1" applyBorder="1" applyAlignment="1">
      <alignment horizontal="center" vertical="center" wrapText="1"/>
    </xf>
    <xf numFmtId="0" fontId="29" fillId="2" borderId="6" xfId="0" applyFont="1" applyFill="1" applyBorder="1" applyAlignment="1">
      <alignment horizontal="center" vertical="center" wrapText="1"/>
    </xf>
    <xf numFmtId="0" fontId="39" fillId="2" borderId="59" xfId="0" applyFont="1" applyFill="1" applyBorder="1" applyAlignment="1">
      <alignment horizontal="center" vertical="center" wrapText="1"/>
    </xf>
    <xf numFmtId="0" fontId="39" fillId="2" borderId="6" xfId="0" applyFont="1" applyFill="1" applyBorder="1" applyAlignment="1">
      <alignment horizontal="center" vertical="center" wrapText="1"/>
    </xf>
    <xf numFmtId="0" fontId="40" fillId="0" borderId="59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171" fontId="25" fillId="19" borderId="78" xfId="2" applyNumberFormat="1" applyFont="1" applyFill="1" applyBorder="1" applyAlignment="1" applyProtection="1">
      <alignment horizontal="center" vertical="center" wrapText="1"/>
      <protection locked="0"/>
    </xf>
    <xf numFmtId="171" fontId="25" fillId="19" borderId="79" xfId="2" applyNumberFormat="1" applyFont="1" applyFill="1" applyBorder="1" applyAlignment="1" applyProtection="1">
      <alignment horizontal="center" vertical="center" wrapText="1"/>
      <protection locked="0"/>
    </xf>
    <xf numFmtId="171" fontId="26" fillId="19" borderId="80" xfId="2" applyNumberFormat="1" applyFont="1" applyFill="1" applyBorder="1" applyAlignment="1" applyProtection="1">
      <alignment horizontal="center" vertical="center" wrapText="1"/>
      <protection locked="0"/>
    </xf>
    <xf numFmtId="0" fontId="28" fillId="0" borderId="44" xfId="0" applyFont="1" applyBorder="1" applyAlignment="1">
      <alignment horizontal="center" vertical="center" wrapText="1"/>
    </xf>
    <xf numFmtId="0" fontId="28" fillId="0" borderId="45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8" fillId="0" borderId="29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wrapText="1"/>
    </xf>
    <xf numFmtId="0" fontId="29" fillId="0" borderId="66" xfId="0" applyFont="1" applyBorder="1" applyAlignment="1">
      <alignment horizontal="center" vertical="center" wrapText="1"/>
    </xf>
    <xf numFmtId="0" fontId="29" fillId="0" borderId="77" xfId="0" applyFont="1" applyBorder="1" applyAlignment="1">
      <alignment horizontal="left" vertical="center" wrapText="1"/>
    </xf>
    <xf numFmtId="0" fontId="39" fillId="0" borderId="59" xfId="0" applyFont="1" applyBorder="1" applyAlignment="1">
      <alignment horizontal="left" vertical="center" wrapText="1"/>
    </xf>
    <xf numFmtId="0" fontId="39" fillId="0" borderId="6" xfId="0" applyFont="1" applyBorder="1" applyAlignment="1">
      <alignment horizontal="left" vertical="center" wrapText="1"/>
    </xf>
    <xf numFmtId="0" fontId="10" fillId="4" borderId="83" xfId="0" applyFont="1" applyFill="1" applyBorder="1" applyAlignment="1">
      <alignment horizontal="center"/>
    </xf>
    <xf numFmtId="0" fontId="10" fillId="4" borderId="84" xfId="0" applyFont="1" applyFill="1" applyBorder="1" applyAlignment="1">
      <alignment horizontal="center"/>
    </xf>
    <xf numFmtId="0" fontId="47" fillId="0" borderId="0" xfId="0" applyFont="1" applyAlignment="1">
      <alignment horizontal="center" vertical="center" wrapText="1"/>
    </xf>
    <xf numFmtId="0" fontId="47" fillId="0" borderId="82" xfId="0" applyFont="1" applyBorder="1" applyAlignment="1">
      <alignment horizontal="center" vertical="center" wrapText="1"/>
    </xf>
    <xf numFmtId="0" fontId="47" fillId="0" borderId="24" xfId="0" applyFont="1" applyBorder="1" applyAlignment="1">
      <alignment horizontal="center" vertical="center"/>
    </xf>
    <xf numFmtId="0" fontId="47" fillId="0" borderId="81" xfId="0" applyFont="1" applyBorder="1" applyAlignment="1">
      <alignment horizontal="center" vertical="center"/>
    </xf>
    <xf numFmtId="0" fontId="48" fillId="0" borderId="24" xfId="0" applyFont="1" applyBorder="1" applyAlignment="1">
      <alignment horizontal="center" vertical="center" wrapText="1"/>
    </xf>
    <xf numFmtId="0" fontId="48" fillId="0" borderId="81" xfId="0" applyFont="1" applyBorder="1" applyAlignment="1">
      <alignment horizontal="center" vertical="center" wrapText="1"/>
    </xf>
    <xf numFmtId="0" fontId="3" fillId="17" borderId="51" xfId="0" applyFont="1" applyFill="1" applyBorder="1" applyAlignment="1">
      <alignment horizontal="center" vertical="center" wrapText="1"/>
    </xf>
    <xf numFmtId="0" fontId="3" fillId="17" borderId="52" xfId="0" applyFont="1" applyFill="1" applyBorder="1" applyAlignment="1">
      <alignment horizontal="center" vertical="center" wrapText="1"/>
    </xf>
    <xf numFmtId="0" fontId="3" fillId="17" borderId="5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12" borderId="5" xfId="0" applyFont="1" applyFill="1" applyBorder="1" applyAlignment="1" applyProtection="1">
      <alignment horizontal="left" vertical="justify"/>
      <protection locked="0"/>
    </xf>
    <xf numFmtId="0" fontId="4" fillId="12" borderId="4" xfId="0" applyFont="1" applyFill="1" applyBorder="1" applyAlignment="1" applyProtection="1">
      <alignment horizontal="left" vertical="justify"/>
      <protection locked="0"/>
    </xf>
    <xf numFmtId="0" fontId="5" fillId="0" borderId="3" xfId="0" applyFont="1" applyBorder="1" applyAlignment="1">
      <alignment horizontal="center" vertical="center"/>
    </xf>
    <xf numFmtId="14" fontId="8" fillId="12" borderId="5" xfId="0" applyNumberFormat="1" applyFont="1" applyFill="1" applyBorder="1" applyAlignment="1" applyProtection="1">
      <alignment horizontal="center" vertical="center"/>
      <protection locked="0"/>
    </xf>
    <xf numFmtId="0" fontId="8" fillId="12" borderId="4" xfId="0" applyFont="1" applyFill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vertical="center"/>
    </xf>
    <xf numFmtId="0" fontId="5" fillId="12" borderId="13" xfId="0" applyFont="1" applyFill="1" applyBorder="1" applyAlignment="1" applyProtection="1">
      <alignment horizontal="center" vertical="center" wrapText="1"/>
      <protection locked="0"/>
    </xf>
    <xf numFmtId="0" fontId="5" fillId="12" borderId="14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65" fontId="3" fillId="4" borderId="5" xfId="0" applyNumberFormat="1" applyFont="1" applyFill="1" applyBorder="1" applyAlignment="1">
      <alignment horizontal="left" vertical="center"/>
    </xf>
    <xf numFmtId="165" fontId="3" fillId="4" borderId="4" xfId="0" applyNumberFormat="1" applyFont="1" applyFill="1" applyBorder="1" applyAlignment="1">
      <alignment horizontal="left" vertical="center"/>
    </xf>
    <xf numFmtId="165" fontId="3" fillId="0" borderId="5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3" fillId="6" borderId="5" xfId="0" applyNumberFormat="1" applyFont="1" applyFill="1" applyBorder="1" applyAlignment="1">
      <alignment horizontal="left" vertical="center"/>
    </xf>
    <xf numFmtId="165" fontId="3" fillId="6" borderId="8" xfId="0" applyNumberFormat="1" applyFont="1" applyFill="1" applyBorder="1" applyAlignment="1">
      <alignment horizontal="left" vertical="center"/>
    </xf>
    <xf numFmtId="165" fontId="3" fillId="6" borderId="4" xfId="0" applyNumberFormat="1" applyFont="1" applyFill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3" fillId="6" borderId="3" xfId="0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165" fontId="3" fillId="0" borderId="3" xfId="0" applyNumberFormat="1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12" borderId="5" xfId="0" applyFont="1" applyFill="1" applyBorder="1" applyAlignment="1" applyProtection="1">
      <alignment horizontal="center" vertical="center"/>
      <protection locked="0"/>
    </xf>
    <xf numFmtId="0" fontId="4" fillId="12" borderId="4" xfId="0" applyFont="1" applyFill="1" applyBorder="1" applyAlignment="1" applyProtection="1">
      <alignment horizontal="center" vertical="center"/>
      <protection locked="0"/>
    </xf>
    <xf numFmtId="2" fontId="4" fillId="0" borderId="5" xfId="1" applyNumberFormat="1" applyFont="1" applyBorder="1" applyAlignment="1" applyProtection="1">
      <alignment horizontal="center" vertical="center"/>
    </xf>
    <xf numFmtId="2" fontId="4" fillId="0" borderId="4" xfId="1" applyNumberFormat="1" applyFont="1" applyBorder="1" applyAlignment="1" applyProtection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165" fontId="15" fillId="6" borderId="5" xfId="0" applyNumberFormat="1" applyFont="1" applyFill="1" applyBorder="1" applyAlignment="1">
      <alignment horizontal="left" vertical="center"/>
    </xf>
    <xf numFmtId="165" fontId="15" fillId="6" borderId="8" xfId="0" applyNumberFormat="1" applyFont="1" applyFill="1" applyBorder="1" applyAlignment="1">
      <alignment horizontal="left" vertical="center"/>
    </xf>
    <xf numFmtId="165" fontId="15" fillId="6" borderId="4" xfId="0" applyNumberFormat="1" applyFont="1" applyFill="1" applyBorder="1" applyAlignment="1">
      <alignment horizontal="left" vertical="center"/>
    </xf>
    <xf numFmtId="165" fontId="3" fillId="0" borderId="5" xfId="0" applyNumberFormat="1" applyFont="1" applyBorder="1" applyAlignment="1">
      <alignment horizontal="left" vertical="center"/>
    </xf>
    <xf numFmtId="165" fontId="3" fillId="0" borderId="8" xfId="0" applyNumberFormat="1" applyFont="1" applyBorder="1" applyAlignment="1">
      <alignment horizontal="left" vertical="center"/>
    </xf>
    <xf numFmtId="165" fontId="3" fillId="0" borderId="4" xfId="0" applyNumberFormat="1" applyFont="1" applyBorder="1" applyAlignment="1">
      <alignment horizontal="left" vertical="center"/>
    </xf>
    <xf numFmtId="165" fontId="3" fillId="4" borderId="8" xfId="0" applyNumberFormat="1" applyFont="1" applyFill="1" applyBorder="1" applyAlignment="1">
      <alignment horizontal="left" vertical="center"/>
    </xf>
    <xf numFmtId="165" fontId="3" fillId="4" borderId="5" xfId="0" applyNumberFormat="1" applyFont="1" applyFill="1" applyBorder="1" applyAlignment="1">
      <alignment horizontal="center" vertical="center"/>
    </xf>
    <xf numFmtId="165" fontId="3" fillId="4" borderId="14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4" fillId="13" borderId="3" xfId="0" applyFont="1" applyFill="1" applyBorder="1" applyAlignment="1">
      <alignment horizontal="center" vertical="center"/>
    </xf>
    <xf numFmtId="165" fontId="3" fillId="4" borderId="4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5" fontId="5" fillId="2" borderId="13" xfId="0" applyNumberFormat="1" applyFont="1" applyFill="1" applyBorder="1" applyAlignment="1">
      <alignment horizontal="center" vertical="center" wrapText="1"/>
    </xf>
    <xf numFmtId="165" fontId="5" fillId="2" borderId="46" xfId="0" applyNumberFormat="1" applyFont="1" applyFill="1" applyBorder="1" applyAlignment="1">
      <alignment horizontal="center" vertical="center" wrapText="1"/>
    </xf>
    <xf numFmtId="165" fontId="5" fillId="2" borderId="16" xfId="0" applyNumberFormat="1" applyFont="1" applyFill="1" applyBorder="1" applyAlignment="1">
      <alignment horizontal="center" vertical="center" wrapText="1"/>
    </xf>
    <xf numFmtId="165" fontId="3" fillId="8" borderId="5" xfId="0" applyNumberFormat="1" applyFont="1" applyFill="1" applyBorder="1" applyAlignment="1">
      <alignment horizontal="center" vertical="center"/>
    </xf>
    <xf numFmtId="165" fontId="3" fillId="8" borderId="4" xfId="0" applyNumberFormat="1" applyFont="1" applyFill="1" applyBorder="1" applyAlignment="1">
      <alignment horizontal="center" vertical="center"/>
    </xf>
    <xf numFmtId="165" fontId="3" fillId="2" borderId="8" xfId="0" applyNumberFormat="1" applyFont="1" applyFill="1" applyBorder="1" applyAlignment="1">
      <alignment horizontal="center" vertical="center"/>
    </xf>
    <xf numFmtId="165" fontId="3" fillId="2" borderId="4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65" fontId="5" fillId="0" borderId="5" xfId="0" applyNumberFormat="1" applyFont="1" applyBorder="1" applyAlignment="1">
      <alignment horizontal="center" vertical="center"/>
    </xf>
    <xf numFmtId="165" fontId="5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165" fontId="5" fillId="0" borderId="4" xfId="0" applyNumberFormat="1" applyFont="1" applyBorder="1" applyAlignment="1">
      <alignment horizontal="center" vertical="center"/>
    </xf>
    <xf numFmtId="165" fontId="3" fillId="3" borderId="3" xfId="0" applyNumberFormat="1" applyFont="1" applyFill="1" applyBorder="1" applyAlignment="1">
      <alignment horizontal="left" vertical="center"/>
    </xf>
    <xf numFmtId="165" fontId="3" fillId="6" borderId="3" xfId="0" applyNumberFormat="1" applyFont="1" applyFill="1" applyBorder="1" applyAlignment="1">
      <alignment horizontal="left" vertical="center"/>
    </xf>
    <xf numFmtId="165" fontId="3" fillId="0" borderId="16" xfId="0" applyNumberFormat="1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left" vertical="center"/>
    </xf>
    <xf numFmtId="165" fontId="3" fillId="0" borderId="15" xfId="0" applyNumberFormat="1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0" fontId="4" fillId="2" borderId="5" xfId="0" applyFont="1" applyFill="1" applyBorder="1" applyAlignment="1" applyProtection="1">
      <alignment horizontal="left" vertical="justify"/>
      <protection locked="0"/>
    </xf>
    <xf numFmtId="0" fontId="4" fillId="2" borderId="4" xfId="0" applyFont="1" applyFill="1" applyBorder="1" applyAlignment="1" applyProtection="1">
      <alignment horizontal="left" vertical="justify"/>
      <protection locked="0"/>
    </xf>
    <xf numFmtId="1" fontId="4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0" fontId="5" fillId="12" borderId="5" xfId="0" applyFont="1" applyFill="1" applyBorder="1" applyAlignment="1" applyProtection="1">
      <alignment horizontal="center" vertical="center" wrapText="1"/>
      <protection locked="0"/>
    </xf>
    <xf numFmtId="0" fontId="5" fillId="12" borderId="4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/>
    <xf numFmtId="0" fontId="6" fillId="0" borderId="8" xfId="0" applyFont="1" applyBorder="1" applyAlignment="1"/>
    <xf numFmtId="0" fontId="6" fillId="0" borderId="4" xfId="0" applyFont="1" applyBorder="1" applyAlignment="1"/>
  </cellXfs>
  <cellStyles count="9">
    <cellStyle name="Moeda" xfId="2" builtinId="4"/>
    <cellStyle name="Moeda 2" xfId="6" xr:uid="{00000000-0005-0000-0000-000001000000}"/>
    <cellStyle name="Moeda 3" xfId="8" xr:uid="{00000000-0005-0000-0000-000032000000}"/>
    <cellStyle name="Normal" xfId="0" builtinId="0"/>
    <cellStyle name="Normal 2" xfId="4" xr:uid="{00000000-0005-0000-0000-000003000000}"/>
    <cellStyle name="Normal 2 2" xfId="5" xr:uid="{00000000-0005-0000-0000-000004000000}"/>
    <cellStyle name="Porcentagem" xfId="3" builtinId="5"/>
    <cellStyle name="Vírgula" xfId="1" builtinId="3"/>
    <cellStyle name="Vírgula 2" xfId="7" xr:uid="{00000000-0005-0000-0000-00003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6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/>
  <dimension ref="B2:F18"/>
  <sheetViews>
    <sheetView workbookViewId="0">
      <selection activeCell="H8" sqref="H8"/>
    </sheetView>
  </sheetViews>
  <sheetFormatPr defaultRowHeight="15"/>
  <cols>
    <col min="2" max="2" width="34.5703125" bestFit="1" customWidth="1"/>
    <col min="3" max="3" width="11.7109375" style="14" bestFit="1" customWidth="1"/>
    <col min="4" max="4" width="11.7109375" style="14" customWidth="1"/>
    <col min="5" max="5" width="14" bestFit="1" customWidth="1"/>
    <col min="6" max="6" width="15" bestFit="1" customWidth="1"/>
  </cols>
  <sheetData>
    <row r="2" spans="2:6">
      <c r="B2" s="12" t="s">
        <v>0</v>
      </c>
      <c r="C2" s="15" t="s">
        <v>1</v>
      </c>
      <c r="D2" s="15" t="s">
        <v>2</v>
      </c>
      <c r="E2" s="12" t="s">
        <v>3</v>
      </c>
      <c r="F2" s="12" t="s">
        <v>4</v>
      </c>
    </row>
    <row r="3" spans="2:6">
      <c r="B3" s="9" t="s">
        <v>5</v>
      </c>
      <c r="C3" s="16" t="e">
        <f>#REF!</f>
        <v>#REF!</v>
      </c>
      <c r="D3" s="16" t="e">
        <f>C3/220</f>
        <v>#REF!</v>
      </c>
      <c r="E3" s="13" t="e">
        <f>D3*1.5</f>
        <v>#REF!</v>
      </c>
      <c r="F3" s="16" t="e">
        <f>D3*2</f>
        <v>#REF!</v>
      </c>
    </row>
    <row r="4" spans="2:6">
      <c r="B4" s="9" t="s">
        <v>6</v>
      </c>
      <c r="C4" s="16" t="e">
        <f>#REF!</f>
        <v>#REF!</v>
      </c>
      <c r="D4" s="16" t="e">
        <f t="shared" ref="D4:D18" si="0">C4/220</f>
        <v>#REF!</v>
      </c>
      <c r="E4" s="13" t="e">
        <f t="shared" ref="E4:E18" si="1">D4*1.5</f>
        <v>#REF!</v>
      </c>
      <c r="F4" s="16" t="e">
        <f t="shared" ref="F4:F18" si="2">D4*2</f>
        <v>#REF!</v>
      </c>
    </row>
    <row r="5" spans="2:6">
      <c r="B5" s="9" t="s">
        <v>7</v>
      </c>
      <c r="C5" s="16" t="e">
        <f>#REF!</f>
        <v>#REF!</v>
      </c>
      <c r="D5" s="16" t="e">
        <f t="shared" si="0"/>
        <v>#REF!</v>
      </c>
      <c r="E5" s="13" t="e">
        <f t="shared" si="1"/>
        <v>#REF!</v>
      </c>
      <c r="F5" s="16" t="e">
        <f t="shared" si="2"/>
        <v>#REF!</v>
      </c>
    </row>
    <row r="6" spans="2:6">
      <c r="B6" s="9" t="s">
        <v>8</v>
      </c>
      <c r="C6" s="16" t="e">
        <f>#REF!</f>
        <v>#REF!</v>
      </c>
      <c r="D6" s="16" t="e">
        <f t="shared" si="0"/>
        <v>#REF!</v>
      </c>
      <c r="E6" s="13" t="e">
        <f t="shared" si="1"/>
        <v>#REF!</v>
      </c>
      <c r="F6" s="16" t="e">
        <f t="shared" si="2"/>
        <v>#REF!</v>
      </c>
    </row>
    <row r="7" spans="2:6">
      <c r="B7" s="9" t="s">
        <v>9</v>
      </c>
      <c r="C7" s="16" t="e">
        <f>#REF!</f>
        <v>#REF!</v>
      </c>
      <c r="D7" s="16" t="e">
        <f t="shared" si="0"/>
        <v>#REF!</v>
      </c>
      <c r="E7" s="13" t="e">
        <f t="shared" si="1"/>
        <v>#REF!</v>
      </c>
      <c r="F7" s="16" t="e">
        <f t="shared" si="2"/>
        <v>#REF!</v>
      </c>
    </row>
    <row r="8" spans="2:6">
      <c r="B8" s="9" t="s">
        <v>10</v>
      </c>
      <c r="C8" s="16" t="e">
        <f>#REF!</f>
        <v>#REF!</v>
      </c>
      <c r="D8" s="16" t="e">
        <f t="shared" si="0"/>
        <v>#REF!</v>
      </c>
      <c r="E8" s="13" t="e">
        <f t="shared" si="1"/>
        <v>#REF!</v>
      </c>
      <c r="F8" s="16" t="e">
        <f t="shared" si="2"/>
        <v>#REF!</v>
      </c>
    </row>
    <row r="9" spans="2:6">
      <c r="B9" s="9" t="s">
        <v>11</v>
      </c>
      <c r="C9" s="16" t="e">
        <f>#REF!</f>
        <v>#REF!</v>
      </c>
      <c r="D9" s="16" t="e">
        <f t="shared" si="0"/>
        <v>#REF!</v>
      </c>
      <c r="E9" s="13" t="e">
        <f t="shared" si="1"/>
        <v>#REF!</v>
      </c>
      <c r="F9" s="16" t="e">
        <f t="shared" si="2"/>
        <v>#REF!</v>
      </c>
    </row>
    <row r="10" spans="2:6">
      <c r="B10" s="9" t="s">
        <v>12</v>
      </c>
      <c r="C10" s="16" t="e">
        <f>#REF!</f>
        <v>#REF!</v>
      </c>
      <c r="D10" s="16" t="e">
        <f t="shared" si="0"/>
        <v>#REF!</v>
      </c>
      <c r="E10" s="13" t="e">
        <f t="shared" si="1"/>
        <v>#REF!</v>
      </c>
      <c r="F10" s="16" t="e">
        <f t="shared" si="2"/>
        <v>#REF!</v>
      </c>
    </row>
    <row r="11" spans="2:6">
      <c r="B11" s="9" t="s">
        <v>13</v>
      </c>
      <c r="C11" s="16" t="e">
        <f>#REF!</f>
        <v>#REF!</v>
      </c>
      <c r="D11" s="16" t="e">
        <f t="shared" si="0"/>
        <v>#REF!</v>
      </c>
      <c r="E11" s="13" t="e">
        <f t="shared" si="1"/>
        <v>#REF!</v>
      </c>
      <c r="F11" s="16" t="e">
        <f t="shared" si="2"/>
        <v>#REF!</v>
      </c>
    </row>
    <row r="12" spans="2:6">
      <c r="B12" s="9" t="s">
        <v>14</v>
      </c>
      <c r="C12" s="16" t="e">
        <f>#REF!</f>
        <v>#REF!</v>
      </c>
      <c r="D12" s="16" t="e">
        <f t="shared" si="0"/>
        <v>#REF!</v>
      </c>
      <c r="E12" s="13" t="e">
        <f t="shared" si="1"/>
        <v>#REF!</v>
      </c>
      <c r="F12" s="16" t="e">
        <f t="shared" si="2"/>
        <v>#REF!</v>
      </c>
    </row>
    <row r="13" spans="2:6">
      <c r="B13" s="9" t="s">
        <v>15</v>
      </c>
      <c r="C13" s="16" t="e">
        <f>#REF!</f>
        <v>#REF!</v>
      </c>
      <c r="D13" s="16" t="e">
        <f t="shared" si="0"/>
        <v>#REF!</v>
      </c>
      <c r="E13" s="13" t="e">
        <f t="shared" si="1"/>
        <v>#REF!</v>
      </c>
      <c r="F13" s="16" t="e">
        <f t="shared" si="2"/>
        <v>#REF!</v>
      </c>
    </row>
    <row r="14" spans="2:6">
      <c r="B14" s="9" t="s">
        <v>16</v>
      </c>
      <c r="C14" s="16" t="e">
        <f>#REF!</f>
        <v>#REF!</v>
      </c>
      <c r="D14" s="16" t="e">
        <f t="shared" si="0"/>
        <v>#REF!</v>
      </c>
      <c r="E14" s="13" t="e">
        <f t="shared" si="1"/>
        <v>#REF!</v>
      </c>
      <c r="F14" s="16" t="e">
        <f t="shared" si="2"/>
        <v>#REF!</v>
      </c>
    </row>
    <row r="15" spans="2:6">
      <c r="B15" s="9" t="s">
        <v>17</v>
      </c>
      <c r="C15" s="16" t="e">
        <f>#REF!</f>
        <v>#REF!</v>
      </c>
      <c r="D15" s="16" t="e">
        <f t="shared" si="0"/>
        <v>#REF!</v>
      </c>
      <c r="E15" s="13" t="e">
        <f t="shared" si="1"/>
        <v>#REF!</v>
      </c>
      <c r="F15" s="16" t="e">
        <f t="shared" si="2"/>
        <v>#REF!</v>
      </c>
    </row>
    <row r="16" spans="2:6">
      <c r="B16" s="9" t="s">
        <v>18</v>
      </c>
      <c r="C16" s="16" t="e">
        <f>#REF!</f>
        <v>#REF!</v>
      </c>
      <c r="D16" s="16" t="e">
        <f t="shared" si="0"/>
        <v>#REF!</v>
      </c>
      <c r="E16" s="13" t="e">
        <f t="shared" si="1"/>
        <v>#REF!</v>
      </c>
      <c r="F16" s="16" t="e">
        <f t="shared" si="2"/>
        <v>#REF!</v>
      </c>
    </row>
    <row r="17" spans="2:6">
      <c r="B17" s="9" t="s">
        <v>19</v>
      </c>
      <c r="C17" s="16" t="e">
        <f>#REF!</f>
        <v>#REF!</v>
      </c>
      <c r="D17" s="16" t="e">
        <f t="shared" si="0"/>
        <v>#REF!</v>
      </c>
      <c r="E17" s="13" t="e">
        <f t="shared" si="1"/>
        <v>#REF!</v>
      </c>
      <c r="F17" s="16" t="e">
        <f t="shared" si="2"/>
        <v>#REF!</v>
      </c>
    </row>
    <row r="18" spans="2:6">
      <c r="B18" s="9" t="s">
        <v>20</v>
      </c>
      <c r="C18" s="16" t="e">
        <f>#REF!</f>
        <v>#REF!</v>
      </c>
      <c r="D18" s="16" t="e">
        <f t="shared" si="0"/>
        <v>#REF!</v>
      </c>
      <c r="E18" s="13" t="e">
        <f t="shared" si="1"/>
        <v>#REF!</v>
      </c>
      <c r="F18" s="16" t="e">
        <f t="shared" si="2"/>
        <v>#REF!</v>
      </c>
    </row>
  </sheetData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3FAC1-8BCD-4ECE-B2FB-C5506479A339}">
  <sheetPr codeName="Planilha8">
    <pageSetUpPr fitToPage="1"/>
  </sheetPr>
  <dimension ref="A1:D214"/>
  <sheetViews>
    <sheetView view="pageBreakPreview" topLeftCell="A5" zoomScale="85" zoomScaleNormal="85" zoomScaleSheetLayoutView="85" workbookViewId="0">
      <selection activeCell="B31" sqref="B31"/>
    </sheetView>
  </sheetViews>
  <sheetFormatPr defaultColWidth="9.140625" defaultRowHeight="15.75" customHeight="1" outlineLevelRow="3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 customHeight="1">
      <c r="A1" s="680" t="s">
        <v>313</v>
      </c>
      <c r="B1" s="680"/>
      <c r="C1" s="680"/>
      <c r="D1" s="680"/>
    </row>
    <row r="2" spans="1:4" ht="15.75" customHeight="1">
      <c r="A2" s="681" t="s">
        <v>314</v>
      </c>
      <c r="B2" s="681"/>
      <c r="C2" s="682" t="s">
        <v>315</v>
      </c>
      <c r="D2" s="683"/>
    </row>
    <row r="3" spans="1:4" ht="15.75" customHeight="1">
      <c r="A3" s="681" t="s">
        <v>316</v>
      </c>
      <c r="B3" s="681"/>
      <c r="C3" s="682" t="s">
        <v>317</v>
      </c>
      <c r="D3" s="683"/>
    </row>
    <row r="4" spans="1:4" ht="15.75" customHeight="1">
      <c r="A4" s="653"/>
      <c r="B4" s="653"/>
      <c r="C4" s="653"/>
      <c r="D4" s="653"/>
    </row>
    <row r="5" spans="1:4" ht="15.75" customHeight="1">
      <c r="A5" s="653" t="s">
        <v>318</v>
      </c>
      <c r="B5" s="653"/>
      <c r="C5" s="653"/>
      <c r="D5" s="653"/>
    </row>
    <row r="6" spans="1:4" ht="15.75" customHeight="1">
      <c r="A6" s="67" t="s">
        <v>319</v>
      </c>
      <c r="B6" s="65" t="s">
        <v>320</v>
      </c>
      <c r="C6" s="654" t="s">
        <v>321</v>
      </c>
      <c r="D6" s="655"/>
    </row>
    <row r="7" spans="1:4" ht="15.75" customHeight="1">
      <c r="A7" s="67" t="s">
        <v>322</v>
      </c>
      <c r="B7" s="65" t="s">
        <v>323</v>
      </c>
      <c r="C7" s="656" t="s">
        <v>324</v>
      </c>
      <c r="D7" s="656"/>
    </row>
    <row r="8" spans="1:4" ht="15.75" customHeight="1">
      <c r="A8" s="28" t="s">
        <v>325</v>
      </c>
      <c r="B8" s="29" t="s">
        <v>326</v>
      </c>
      <c r="C8" s="657" t="s">
        <v>327</v>
      </c>
      <c r="D8" s="658"/>
    </row>
    <row r="9" spans="1:4" ht="15.75" customHeight="1">
      <c r="A9" s="67" t="s">
        <v>328</v>
      </c>
      <c r="B9" s="65" t="s">
        <v>329</v>
      </c>
      <c r="C9" s="659" t="s">
        <v>330</v>
      </c>
      <c r="D9" s="660"/>
    </row>
    <row r="10" spans="1:4" ht="15.75" customHeight="1">
      <c r="A10" s="67" t="s">
        <v>331</v>
      </c>
      <c r="B10" s="65" t="s">
        <v>332</v>
      </c>
      <c r="C10" s="659" t="s">
        <v>333</v>
      </c>
      <c r="D10" s="660"/>
    </row>
    <row r="11" spans="1:4" ht="15.75" customHeight="1">
      <c r="A11" s="67" t="s">
        <v>334</v>
      </c>
      <c r="B11" s="65" t="s">
        <v>335</v>
      </c>
      <c r="C11" s="729">
        <f>Resumo!F5</f>
        <v>13925.09</v>
      </c>
      <c r="D11" s="730"/>
    </row>
    <row r="12" spans="1:4" ht="15.75" customHeight="1">
      <c r="A12" s="67" t="s">
        <v>394</v>
      </c>
      <c r="B12" s="65" t="s">
        <v>337</v>
      </c>
      <c r="C12" s="688">
        <f>Resumo!I5</f>
        <v>20</v>
      </c>
      <c r="D12" s="675"/>
    </row>
    <row r="13" spans="1:4" ht="15.75" customHeight="1">
      <c r="A13" s="689"/>
      <c r="B13" s="690"/>
      <c r="C13" s="690"/>
      <c r="D13" s="690"/>
    </row>
    <row r="14" spans="1:4" ht="15.75" customHeight="1">
      <c r="A14" s="691" t="s">
        <v>338</v>
      </c>
      <c r="B14" s="692"/>
      <c r="C14" s="692"/>
      <c r="D14" s="693"/>
    </row>
    <row r="15" spans="1:4" ht="15.75" customHeight="1">
      <c r="A15" s="656" t="s">
        <v>339</v>
      </c>
      <c r="B15" s="656"/>
      <c r="C15" s="656"/>
      <c r="D15" s="656"/>
    </row>
    <row r="16" spans="1:4" ht="15.75" customHeight="1">
      <c r="A16" s="67">
        <v>1</v>
      </c>
      <c r="B16" s="65" t="s">
        <v>340</v>
      </c>
      <c r="C16" s="659" t="s">
        <v>537</v>
      </c>
      <c r="D16" s="660" t="s">
        <v>62</v>
      </c>
    </row>
    <row r="17" spans="1:4" ht="15.75" customHeight="1">
      <c r="A17" s="67">
        <v>2</v>
      </c>
      <c r="B17" s="30" t="s">
        <v>342</v>
      </c>
      <c r="C17" s="684" t="s">
        <v>538</v>
      </c>
      <c r="D17" s="685"/>
    </row>
    <row r="18" spans="1:4" ht="15.75" customHeight="1">
      <c r="A18" s="656" t="s">
        <v>344</v>
      </c>
      <c r="B18" s="656"/>
      <c r="C18" s="656"/>
      <c r="D18" s="656"/>
    </row>
    <row r="19" spans="1:4" ht="15.75" customHeight="1">
      <c r="A19" s="67">
        <v>3</v>
      </c>
      <c r="B19" s="661" t="s">
        <v>345</v>
      </c>
      <c r="C19" s="662"/>
      <c r="D19" s="106">
        <v>1717.39</v>
      </c>
    </row>
    <row r="20" spans="1:4" ht="15.75" customHeight="1">
      <c r="A20" s="67">
        <v>4</v>
      </c>
      <c r="B20" s="661" t="s">
        <v>346</v>
      </c>
      <c r="C20" s="662"/>
      <c r="D20" s="158">
        <v>220</v>
      </c>
    </row>
    <row r="21" spans="1:4" ht="15.75" customHeight="1">
      <c r="A21" s="67">
        <v>5</v>
      </c>
      <c r="B21" s="661" t="s">
        <v>347</v>
      </c>
      <c r="C21" s="662"/>
      <c r="D21" s="168" t="s">
        <v>539</v>
      </c>
    </row>
    <row r="22" spans="1:4" ht="15.75" customHeight="1">
      <c r="A22" s="67">
        <v>6</v>
      </c>
      <c r="B22" s="661" t="s">
        <v>349</v>
      </c>
      <c r="C22" s="662"/>
      <c r="D22" s="76">
        <v>44562</v>
      </c>
    </row>
    <row r="23" spans="1:4" ht="15.75" customHeight="1">
      <c r="A23" s="659"/>
      <c r="B23" s="671"/>
      <c r="C23" s="671"/>
      <c r="D23" s="660"/>
    </row>
    <row r="24" spans="1:4" ht="15.75" customHeight="1">
      <c r="A24" s="672" t="s">
        <v>350</v>
      </c>
      <c r="B24" s="672"/>
      <c r="C24" s="672"/>
      <c r="D24" s="672"/>
    </row>
    <row r="25" spans="1:4" ht="15.75" customHeight="1">
      <c r="A25" s="673"/>
      <c r="B25" s="674"/>
      <c r="C25" s="674"/>
      <c r="D25" s="675"/>
    </row>
    <row r="26" spans="1:4" ht="15.75" customHeight="1">
      <c r="A26" s="66">
        <v>1</v>
      </c>
      <c r="B26" s="676" t="s">
        <v>351</v>
      </c>
      <c r="C26" s="677"/>
      <c r="D26" s="66" t="s">
        <v>352</v>
      </c>
    </row>
    <row r="27" spans="1:4" ht="15.75" hidden="1" customHeight="1" outlineLevel="1">
      <c r="A27" s="67" t="s">
        <v>353</v>
      </c>
      <c r="B27" s="65" t="s">
        <v>354</v>
      </c>
      <c r="C27" s="73">
        <f>'SR - ASG'!C27</f>
        <v>220</v>
      </c>
      <c r="D27" s="107">
        <f>D19/220*C27</f>
        <v>1717.39</v>
      </c>
    </row>
    <row r="28" spans="1:4" ht="15.75" hidden="1" customHeight="1" outlineLevel="1">
      <c r="A28" s="67" t="s">
        <v>322</v>
      </c>
      <c r="B28" s="65" t="s">
        <v>355</v>
      </c>
      <c r="C28" s="31">
        <v>0</v>
      </c>
      <c r="D28" s="107">
        <f>C28*D27</f>
        <v>0</v>
      </c>
    </row>
    <row r="29" spans="1:4" ht="15.75" hidden="1" customHeight="1" outlineLevel="1">
      <c r="A29" s="67" t="s">
        <v>325</v>
      </c>
      <c r="B29" s="65" t="s">
        <v>540</v>
      </c>
      <c r="C29" s="31">
        <v>0.2</v>
      </c>
      <c r="D29" s="107">
        <f>C29*D27</f>
        <v>343.48</v>
      </c>
    </row>
    <row r="30" spans="1:4" ht="15.75" hidden="1" customHeight="1" outlineLevel="1">
      <c r="A30" s="67" t="s">
        <v>328</v>
      </c>
      <c r="B30" s="65" t="s">
        <v>357</v>
      </c>
      <c r="C30" s="159">
        <v>0</v>
      </c>
      <c r="D30" s="108">
        <f>SUM(D31:D32)</f>
        <v>0</v>
      </c>
    </row>
    <row r="31" spans="1:4" ht="15.75" hidden="1" customHeight="1" outlineLevel="2">
      <c r="A31" s="80" t="s">
        <v>358</v>
      </c>
      <c r="B31" s="65" t="s">
        <v>359</v>
      </c>
      <c r="C31" s="81">
        <v>0.2</v>
      </c>
      <c r="D31" s="108">
        <f>(SUM(D27:D29)/C27)*C31*15*C30</f>
        <v>0</v>
      </c>
    </row>
    <row r="32" spans="1:4" ht="15.75" hidden="1" customHeight="1" outlineLevel="2">
      <c r="A32" s="80" t="s">
        <v>360</v>
      </c>
      <c r="B32" s="65" t="s">
        <v>361</v>
      </c>
      <c r="C32" s="82">
        <f>C30*(60/52.5)/8</f>
        <v>0</v>
      </c>
      <c r="D32" s="108">
        <f>(SUM(D27:D29)/C27)*(C31)*15*C32</f>
        <v>0</v>
      </c>
    </row>
    <row r="33" spans="1:4" ht="15.75" hidden="1" customHeight="1" outlineLevel="1">
      <c r="A33" s="67" t="s">
        <v>331</v>
      </c>
      <c r="B33" s="65" t="s">
        <v>362</v>
      </c>
      <c r="C33" s="31" t="s">
        <v>363</v>
      </c>
      <c r="D33" s="1">
        <f>SUM(D34:D37)</f>
        <v>0</v>
      </c>
    </row>
    <row r="34" spans="1:4" ht="15.75" hidden="1" customHeight="1" outlineLevel="2">
      <c r="A34" s="83" t="s">
        <v>364</v>
      </c>
      <c r="B34" s="84" t="s">
        <v>365</v>
      </c>
      <c r="C34" s="85">
        <v>0</v>
      </c>
      <c r="D34" s="109">
        <f>(SUM($D$27:$D$29)/$C$27)*C34*1.5</f>
        <v>0</v>
      </c>
    </row>
    <row r="35" spans="1:4" ht="15.75" hidden="1" customHeight="1" outlineLevel="2">
      <c r="A35" s="83" t="s">
        <v>366</v>
      </c>
      <c r="B35" s="86" t="s">
        <v>367</v>
      </c>
      <c r="C35" s="87">
        <v>0</v>
      </c>
      <c r="D35" s="109">
        <f>(SUM($D$27:$D$29)/$C$27)*C35*((60/52.5)*1.2*1.5)</f>
        <v>0</v>
      </c>
    </row>
    <row r="36" spans="1:4" ht="15.75" hidden="1" customHeight="1" outlineLevel="2">
      <c r="A36" s="83" t="s">
        <v>368</v>
      </c>
      <c r="B36" s="84" t="s">
        <v>369</v>
      </c>
      <c r="C36" s="88">
        <f>C34*0.1429</f>
        <v>0</v>
      </c>
      <c r="D36" s="109">
        <f>(SUM($D$27:$D$29)/$C$27)*C36*2</f>
        <v>0</v>
      </c>
    </row>
    <row r="37" spans="1:4" ht="15.75" hidden="1" customHeight="1" outlineLevel="2">
      <c r="A37" s="83" t="s">
        <v>370</v>
      </c>
      <c r="B37" s="84" t="s">
        <v>371</v>
      </c>
      <c r="C37" s="88">
        <f>C34*0.1429</f>
        <v>0</v>
      </c>
      <c r="D37" s="109">
        <f>(SUM($D$27:$D$29)/$C$27)*C37*((60/52.5)*1.2*2)</f>
        <v>0</v>
      </c>
    </row>
    <row r="38" spans="1:4" ht="15.75" hidden="1" customHeight="1" outlineLevel="1" collapsed="1">
      <c r="A38" s="67" t="s">
        <v>334</v>
      </c>
      <c r="B38" s="58" t="s">
        <v>372</v>
      </c>
      <c r="C38" s="59">
        <v>0</v>
      </c>
      <c r="D38" s="110">
        <v>0</v>
      </c>
    </row>
    <row r="39" spans="1:4" ht="15.75" customHeight="1" collapsed="1">
      <c r="A39" s="676" t="s">
        <v>373</v>
      </c>
      <c r="B39" s="678"/>
      <c r="C39" s="677"/>
      <c r="D39" s="111">
        <f>SUM(D27:D30,D33,D38)</f>
        <v>2060.87</v>
      </c>
    </row>
    <row r="40" spans="1:4" ht="15.75" customHeight="1">
      <c r="A40" s="679"/>
      <c r="B40" s="679"/>
      <c r="C40" s="679"/>
      <c r="D40" s="679"/>
    </row>
    <row r="41" spans="1:4" ht="15.75" hidden="1" customHeight="1" outlineLevel="1">
      <c r="A41" s="89" t="s">
        <v>374</v>
      </c>
      <c r="B41" s="112" t="s">
        <v>375</v>
      </c>
      <c r="C41" s="113" t="s">
        <v>376</v>
      </c>
      <c r="D41" s="113" t="s">
        <v>352</v>
      </c>
    </row>
    <row r="42" spans="1:4" ht="15.75" hidden="1" customHeight="1" outlineLevel="1">
      <c r="A42" s="114" t="s">
        <v>353</v>
      </c>
      <c r="B42" s="30" t="s">
        <v>377</v>
      </c>
      <c r="C42" s="90">
        <v>0</v>
      </c>
      <c r="D42" s="115">
        <f>(SUM(D27)/$C$27)*C42*1.5</f>
        <v>0</v>
      </c>
    </row>
    <row r="43" spans="1:4" ht="15.75" hidden="1" customHeight="1" outlineLevel="1">
      <c r="A43" s="116" t="s">
        <v>325</v>
      </c>
      <c r="B43" s="117" t="s">
        <v>378</v>
      </c>
      <c r="C43" s="118">
        <v>0</v>
      </c>
      <c r="D43" s="107">
        <f>C43*177</f>
        <v>0</v>
      </c>
    </row>
    <row r="44" spans="1:4" ht="15.75" hidden="1" customHeight="1" outlineLevel="1">
      <c r="A44" s="67" t="s">
        <v>328</v>
      </c>
      <c r="B44" s="58" t="s">
        <v>372</v>
      </c>
      <c r="C44" s="59">
        <v>0</v>
      </c>
      <c r="D44" s="110">
        <v>0</v>
      </c>
    </row>
    <row r="45" spans="1:4" ht="15.75" customHeight="1" collapsed="1">
      <c r="A45" s="663" t="s">
        <v>379</v>
      </c>
      <c r="B45" s="664"/>
      <c r="C45" s="33">
        <f>D45/D39</f>
        <v>0</v>
      </c>
      <c r="D45" s="119">
        <f>SUM(D42:D43)</f>
        <v>0</v>
      </c>
    </row>
    <row r="46" spans="1:4" ht="15.75" customHeight="1">
      <c r="A46" s="665"/>
      <c r="B46" s="666"/>
      <c r="C46" s="666"/>
      <c r="D46" s="667"/>
    </row>
    <row r="47" spans="1:4" ht="15.75" customHeight="1">
      <c r="A47" s="668" t="s">
        <v>380</v>
      </c>
      <c r="B47" s="669"/>
      <c r="C47" s="669"/>
      <c r="D47" s="670"/>
    </row>
    <row r="48" spans="1:4" ht="15.75" hidden="1" customHeight="1" outlineLevel="1">
      <c r="A48" s="665"/>
      <c r="B48" s="666"/>
      <c r="C48" s="666"/>
      <c r="D48" s="667"/>
    </row>
    <row r="49" spans="1:4" ht="15.75" hidden="1" customHeight="1" outlineLevel="1">
      <c r="A49" s="113" t="s">
        <v>381</v>
      </c>
      <c r="B49" s="112" t="s">
        <v>382</v>
      </c>
      <c r="C49" s="113" t="s">
        <v>383</v>
      </c>
      <c r="D49" s="113" t="s">
        <v>352</v>
      </c>
    </row>
    <row r="50" spans="1:4" ht="15.75" hidden="1" customHeight="1" outlineLevel="2">
      <c r="A50" s="116" t="s">
        <v>353</v>
      </c>
      <c r="B50" s="117" t="s">
        <v>384</v>
      </c>
      <c r="C50" s="32">
        <f>1/12</f>
        <v>8.3299999999999999E-2</v>
      </c>
      <c r="D50" s="107">
        <f>C50*D39</f>
        <v>171.67</v>
      </c>
    </row>
    <row r="51" spans="1:4" ht="15.75" hidden="1" customHeight="1" outlineLevel="2">
      <c r="A51" s="116" t="s">
        <v>322</v>
      </c>
      <c r="B51" s="117" t="s">
        <v>385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34.42</v>
      </c>
    </row>
    <row r="52" spans="1:4" ht="15.75" hidden="1" customHeight="1" outlineLevel="1">
      <c r="A52" s="663" t="s">
        <v>176</v>
      </c>
      <c r="B52" s="664"/>
      <c r="C52" s="33">
        <f>SUM(C50:C51)</f>
        <v>0.1</v>
      </c>
      <c r="D52" s="119">
        <f>SUM(D50:D51)</f>
        <v>206.09</v>
      </c>
    </row>
    <row r="53" spans="1:4" ht="15.75" hidden="1" customHeight="1" outlineLevel="1">
      <c r="A53" s="665"/>
      <c r="B53" s="666"/>
      <c r="C53" s="666"/>
      <c r="D53" s="667"/>
    </row>
    <row r="54" spans="1:4" ht="15.75" hidden="1" customHeight="1" outlineLevel="1">
      <c r="A54" s="113" t="s">
        <v>386</v>
      </c>
      <c r="B54" s="120" t="s">
        <v>387</v>
      </c>
      <c r="C54" s="113" t="s">
        <v>383</v>
      </c>
      <c r="D54" s="121" t="s">
        <v>352</v>
      </c>
    </row>
    <row r="55" spans="1:4" ht="15.75" hidden="1" customHeight="1" outlineLevel="2">
      <c r="A55" s="114" t="s">
        <v>353</v>
      </c>
      <c r="B55" s="34" t="s">
        <v>388</v>
      </c>
      <c r="C55" s="35">
        <v>0.2</v>
      </c>
      <c r="D55" s="107">
        <f t="shared" ref="D55:D62" si="0">C55*($D$39+$D$52)</f>
        <v>453.39</v>
      </c>
    </row>
    <row r="56" spans="1:4" ht="15.75" hidden="1" customHeight="1" outlineLevel="2">
      <c r="A56" s="114" t="s">
        <v>322</v>
      </c>
      <c r="B56" s="34" t="s">
        <v>389</v>
      </c>
      <c r="C56" s="35">
        <v>2.5000000000000001E-2</v>
      </c>
      <c r="D56" s="107">
        <f t="shared" si="0"/>
        <v>56.67</v>
      </c>
    </row>
    <row r="57" spans="1:4" ht="15.75" hidden="1" customHeight="1" outlineLevel="2">
      <c r="A57" s="114" t="s">
        <v>325</v>
      </c>
      <c r="B57" s="34" t="s">
        <v>390</v>
      </c>
      <c r="C57" s="68">
        <v>0.03</v>
      </c>
      <c r="D57" s="107">
        <f t="shared" si="0"/>
        <v>68.010000000000005</v>
      </c>
    </row>
    <row r="58" spans="1:4" ht="15.75" hidden="1" customHeight="1" outlineLevel="2">
      <c r="A58" s="114" t="s">
        <v>328</v>
      </c>
      <c r="B58" s="34" t="s">
        <v>391</v>
      </c>
      <c r="C58" s="35">
        <v>1.4999999999999999E-2</v>
      </c>
      <c r="D58" s="107">
        <f t="shared" si="0"/>
        <v>34</v>
      </c>
    </row>
    <row r="59" spans="1:4" ht="15.75" hidden="1" customHeight="1" outlineLevel="2">
      <c r="A59" s="114" t="s">
        <v>331</v>
      </c>
      <c r="B59" s="34" t="s">
        <v>392</v>
      </c>
      <c r="C59" s="35">
        <v>0.01</v>
      </c>
      <c r="D59" s="107">
        <f t="shared" si="0"/>
        <v>22.67</v>
      </c>
    </row>
    <row r="60" spans="1:4" ht="15.75" hidden="1" customHeight="1" outlineLevel="2">
      <c r="A60" s="114" t="s">
        <v>334</v>
      </c>
      <c r="B60" s="34" t="s">
        <v>393</v>
      </c>
      <c r="C60" s="35">
        <v>6.0000000000000001E-3</v>
      </c>
      <c r="D60" s="107">
        <f t="shared" si="0"/>
        <v>13.6</v>
      </c>
    </row>
    <row r="61" spans="1:4" ht="15.75" hidden="1" customHeight="1" outlineLevel="2">
      <c r="A61" s="114" t="s">
        <v>394</v>
      </c>
      <c r="B61" s="34" t="s">
        <v>395</v>
      </c>
      <c r="C61" s="35">
        <v>2E-3</v>
      </c>
      <c r="D61" s="107">
        <f t="shared" si="0"/>
        <v>4.53</v>
      </c>
    </row>
    <row r="62" spans="1:4" ht="15.75" hidden="1" customHeight="1" outlineLevel="2">
      <c r="A62" s="114" t="s">
        <v>336</v>
      </c>
      <c r="B62" s="34" t="s">
        <v>396</v>
      </c>
      <c r="C62" s="35">
        <v>0.08</v>
      </c>
      <c r="D62" s="107">
        <f t="shared" si="0"/>
        <v>181.36</v>
      </c>
    </row>
    <row r="63" spans="1:4" ht="15.75" hidden="1" customHeight="1" outlineLevel="1">
      <c r="A63" s="663" t="s">
        <v>176</v>
      </c>
      <c r="B63" s="664"/>
      <c r="C63" s="36">
        <f>SUM(C55:C62)</f>
        <v>0.36799999999999999</v>
      </c>
      <c r="D63" s="122">
        <f>SUM(D55:D62)</f>
        <v>834.23</v>
      </c>
    </row>
    <row r="64" spans="1:4" ht="15.75" hidden="1" customHeight="1" outlineLevel="1">
      <c r="A64" s="665"/>
      <c r="B64" s="666"/>
      <c r="C64" s="666"/>
      <c r="D64" s="667"/>
    </row>
    <row r="65" spans="1:4" ht="15.75" hidden="1" customHeight="1" outlineLevel="1">
      <c r="A65" s="113" t="s">
        <v>397</v>
      </c>
      <c r="B65" s="120" t="s">
        <v>398</v>
      </c>
      <c r="C65" s="113" t="s">
        <v>399</v>
      </c>
      <c r="D65" s="113" t="s">
        <v>352</v>
      </c>
    </row>
    <row r="66" spans="1:4" ht="15.75" hidden="1" customHeight="1" outlineLevel="2">
      <c r="A66" s="114" t="s">
        <v>353</v>
      </c>
      <c r="B66" s="34" t="s">
        <v>400</v>
      </c>
      <c r="C66" s="123">
        <f>'SR - ASG'!C66</f>
        <v>4.8</v>
      </c>
      <c r="D66" s="124">
        <f>IF(D67+D68&gt;0,(D67+D68),0)</f>
        <v>98.56</v>
      </c>
    </row>
    <row r="67" spans="1:4" ht="15.75" hidden="1" customHeight="1" outlineLevel="3">
      <c r="A67" s="125" t="s">
        <v>401</v>
      </c>
      <c r="B67" s="34" t="s">
        <v>402</v>
      </c>
      <c r="C67" s="126">
        <v>21</v>
      </c>
      <c r="D67" s="127">
        <f>C66*C67*2</f>
        <v>201.6</v>
      </c>
    </row>
    <row r="68" spans="1:4" ht="15.75" hidden="1" customHeight="1" outlineLevel="3">
      <c r="A68" s="125" t="s">
        <v>403</v>
      </c>
      <c r="B68" s="34" t="s">
        <v>404</v>
      </c>
      <c r="C68" s="128">
        <v>0.06</v>
      </c>
      <c r="D68" s="127">
        <f>-D27*C68</f>
        <v>-103.04</v>
      </c>
    </row>
    <row r="69" spans="1:4" ht="15.75" hidden="1" customHeight="1" outlineLevel="2">
      <c r="A69" s="114" t="s">
        <v>322</v>
      </c>
      <c r="B69" s="34" t="s">
        <v>405</v>
      </c>
      <c r="C69" s="129">
        <f>'SR - ASG'!C69</f>
        <v>20.18</v>
      </c>
      <c r="D69" s="124">
        <f>D70+D71</f>
        <v>343.26</v>
      </c>
    </row>
    <row r="70" spans="1:4" ht="15.75" hidden="1" customHeight="1" outlineLevel="3">
      <c r="A70" s="125" t="s">
        <v>406</v>
      </c>
      <c r="B70" s="34" t="s">
        <v>407</v>
      </c>
      <c r="C70" s="126">
        <v>21</v>
      </c>
      <c r="D70" s="127">
        <f>C69*C70</f>
        <v>423.78</v>
      </c>
    </row>
    <row r="71" spans="1:4" ht="15.75" hidden="1" customHeight="1" outlineLevel="3">
      <c r="A71" s="125" t="s">
        <v>408</v>
      </c>
      <c r="B71" s="34" t="s">
        <v>409</v>
      </c>
      <c r="C71" s="130">
        <v>-0.19</v>
      </c>
      <c r="D71" s="127">
        <f>D70*C71</f>
        <v>-80.52</v>
      </c>
    </row>
    <row r="72" spans="1:4" ht="15.75" hidden="1" customHeight="1" outlineLevel="2">
      <c r="A72" s="114" t="s">
        <v>325</v>
      </c>
      <c r="B72" s="77" t="s">
        <v>410</v>
      </c>
      <c r="C72" s="129">
        <v>17.32</v>
      </c>
      <c r="D72" s="132">
        <f>C72</f>
        <v>17.32</v>
      </c>
    </row>
    <row r="73" spans="1:4" ht="15.75" hidden="1" customHeight="1" outlineLevel="2">
      <c r="A73" s="114" t="s">
        <v>328</v>
      </c>
      <c r="B73" s="78" t="s">
        <v>411</v>
      </c>
      <c r="C73" s="129">
        <f>140*3</f>
        <v>420</v>
      </c>
      <c r="D73" s="132">
        <f>C73*C152</f>
        <v>0.84</v>
      </c>
    </row>
    <row r="74" spans="1:4" ht="15.75" hidden="1" customHeight="1" outlineLevel="2">
      <c r="A74" s="114" t="s">
        <v>331</v>
      </c>
      <c r="B74" s="77" t="s">
        <v>412</v>
      </c>
      <c r="C74" s="129">
        <v>21</v>
      </c>
      <c r="D74" s="132">
        <f>C74</f>
        <v>21</v>
      </c>
    </row>
    <row r="75" spans="1:4" ht="15.75" hidden="1" customHeight="1" outlineLevel="2">
      <c r="A75" s="114" t="s">
        <v>334</v>
      </c>
      <c r="B75" s="77" t="s">
        <v>372</v>
      </c>
      <c r="C75" s="131">
        <v>0</v>
      </c>
      <c r="D75" s="132">
        <f>C75*D39</f>
        <v>0</v>
      </c>
    </row>
    <row r="76" spans="1:4" ht="15.75" hidden="1" customHeight="1" outlineLevel="2">
      <c r="A76" s="114" t="s">
        <v>394</v>
      </c>
      <c r="B76" s="77" t="s">
        <v>372</v>
      </c>
      <c r="C76" s="129">
        <v>0</v>
      </c>
      <c r="D76" s="133">
        <f>C76</f>
        <v>0</v>
      </c>
    </row>
    <row r="77" spans="1:4" ht="15.75" hidden="1" customHeight="1" outlineLevel="1">
      <c r="A77" s="663" t="s">
        <v>413</v>
      </c>
      <c r="B77" s="700"/>
      <c r="C77" s="664"/>
      <c r="D77" s="119">
        <f>SUM(D66,D69,D72:D76)</f>
        <v>480.98</v>
      </c>
    </row>
    <row r="78" spans="1:4" ht="15.75" hidden="1" customHeight="1" outlineLevel="1">
      <c r="A78" s="665"/>
      <c r="B78" s="666"/>
      <c r="C78" s="666"/>
      <c r="D78" s="667"/>
    </row>
    <row r="79" spans="1:4" ht="15.75" hidden="1" customHeight="1" outlineLevel="1">
      <c r="A79" s="701" t="s">
        <v>414</v>
      </c>
      <c r="B79" s="702"/>
      <c r="C79" s="113" t="s">
        <v>383</v>
      </c>
      <c r="D79" s="113" t="s">
        <v>352</v>
      </c>
    </row>
    <row r="80" spans="1:4" ht="15.75" hidden="1" customHeight="1" outlineLevel="1">
      <c r="A80" s="114" t="s">
        <v>415</v>
      </c>
      <c r="B80" s="34" t="s">
        <v>382</v>
      </c>
      <c r="C80" s="37">
        <f>C52</f>
        <v>0.1</v>
      </c>
      <c r="D80" s="107">
        <f>D52</f>
        <v>206.09</v>
      </c>
    </row>
    <row r="81" spans="1:4" ht="15.75" hidden="1" customHeight="1" outlineLevel="1">
      <c r="A81" s="114" t="s">
        <v>386</v>
      </c>
      <c r="B81" s="34" t="s">
        <v>387</v>
      </c>
      <c r="C81" s="37">
        <f>C63</f>
        <v>0.36799999999999999</v>
      </c>
      <c r="D81" s="107">
        <f>D63</f>
        <v>834.23</v>
      </c>
    </row>
    <row r="82" spans="1:4" ht="15.75" hidden="1" customHeight="1" outlineLevel="1">
      <c r="A82" s="114" t="s">
        <v>416</v>
      </c>
      <c r="B82" s="34" t="s">
        <v>398</v>
      </c>
      <c r="C82" s="37">
        <f>D77/D39</f>
        <v>0.2334</v>
      </c>
      <c r="D82" s="107">
        <f>D77</f>
        <v>480.98</v>
      </c>
    </row>
    <row r="83" spans="1:4" ht="15.75" customHeight="1" collapsed="1">
      <c r="A83" s="663" t="s">
        <v>176</v>
      </c>
      <c r="B83" s="700"/>
      <c r="C83" s="664"/>
      <c r="D83" s="119">
        <f>SUM(D80:D82)</f>
        <v>1521.3</v>
      </c>
    </row>
    <row r="84" spans="1:4" ht="15.75" customHeight="1">
      <c r="A84" s="665"/>
      <c r="B84" s="666"/>
      <c r="C84" s="666"/>
      <c r="D84" s="667"/>
    </row>
    <row r="85" spans="1:4" ht="15.75" customHeight="1">
      <c r="A85" s="694" t="s">
        <v>417</v>
      </c>
      <c r="B85" s="695"/>
      <c r="C85" s="695"/>
      <c r="D85" s="696"/>
    </row>
    <row r="86" spans="1:4" ht="15.75" hidden="1" customHeight="1" outlineLevel="1">
      <c r="A86" s="665"/>
      <c r="B86" s="666"/>
      <c r="C86" s="666"/>
      <c r="D86" s="667"/>
    </row>
    <row r="87" spans="1:4" ht="15.75" hidden="1" customHeight="1" outlineLevel="1">
      <c r="A87" s="66" t="s">
        <v>418</v>
      </c>
      <c r="B87" s="112" t="s">
        <v>419</v>
      </c>
      <c r="C87" s="113" t="s">
        <v>383</v>
      </c>
      <c r="D87" s="113" t="s">
        <v>352</v>
      </c>
    </row>
    <row r="88" spans="1:4" ht="15.75" hidden="1" customHeight="1" outlineLevel="2">
      <c r="A88" s="38" t="s">
        <v>353</v>
      </c>
      <c r="B88" s="39" t="s">
        <v>420</v>
      </c>
      <c r="C88" s="38" t="s">
        <v>363</v>
      </c>
      <c r="D88" s="134">
        <f>IF(C99&gt;1,SUM(D89:D92)*2,SUM(D89:D92))</f>
        <v>2904.12</v>
      </c>
    </row>
    <row r="89" spans="1:4" ht="15.75" hidden="1" customHeight="1" outlineLevel="3">
      <c r="A89" s="40" t="s">
        <v>421</v>
      </c>
      <c r="B89" s="41" t="s">
        <v>422</v>
      </c>
      <c r="C89" s="38">
        <f>(IF(C12&gt;60,45,IF(C12&gt;48,42,IF(C12&gt;36,39,IF(C12&gt;24,36,IF(C12&gt;12,33,30)))))/30)</f>
        <v>1.1000000000000001</v>
      </c>
      <c r="D89" s="134">
        <f>D39*C89</f>
        <v>2266.96</v>
      </c>
    </row>
    <row r="90" spans="1:4" ht="15.75" hidden="1" customHeight="1" outlineLevel="3">
      <c r="A90" s="40" t="s">
        <v>423</v>
      </c>
      <c r="B90" s="41" t="s">
        <v>424</v>
      </c>
      <c r="C90" s="32">
        <f>1/12</f>
        <v>8.3299999999999999E-2</v>
      </c>
      <c r="D90" s="134">
        <f>C90*D89</f>
        <v>188.84</v>
      </c>
    </row>
    <row r="91" spans="1:4" ht="15.75" hidden="1" customHeight="1" outlineLevel="3">
      <c r="A91" s="40" t="s">
        <v>425</v>
      </c>
      <c r="B91" s="41" t="s">
        <v>426</v>
      </c>
      <c r="C91" s="32">
        <f>(1/12)+(1/12/3)</f>
        <v>0.1111</v>
      </c>
      <c r="D91" s="135">
        <f>C91*D89</f>
        <v>251.86</v>
      </c>
    </row>
    <row r="92" spans="1:4" ht="15.75" hidden="1" customHeight="1" outlineLevel="3">
      <c r="A92" s="40" t="s">
        <v>427</v>
      </c>
      <c r="B92" s="41" t="s">
        <v>428</v>
      </c>
      <c r="C92" s="42">
        <v>0.08</v>
      </c>
      <c r="D92" s="134">
        <f>SUM(D89:D90)*C92</f>
        <v>196.46</v>
      </c>
    </row>
    <row r="93" spans="1:4" ht="15.75" hidden="1" customHeight="1" outlineLevel="2">
      <c r="A93" s="38" t="s">
        <v>322</v>
      </c>
      <c r="B93" s="39" t="s">
        <v>429</v>
      </c>
      <c r="C93" s="43">
        <v>0.4</v>
      </c>
      <c r="D93" s="134">
        <f>C93*D94</f>
        <v>1453.05</v>
      </c>
    </row>
    <row r="94" spans="1:4" ht="15.75" hidden="1" customHeight="1" outlineLevel="3">
      <c r="A94" s="38" t="s">
        <v>430</v>
      </c>
      <c r="B94" s="39" t="s">
        <v>431</v>
      </c>
      <c r="C94" s="43">
        <f>C62</f>
        <v>0.08</v>
      </c>
      <c r="D94" s="134">
        <f>C94*D95</f>
        <v>3632.63</v>
      </c>
    </row>
    <row r="95" spans="1:4" ht="15.75" hidden="1" customHeight="1" outlineLevel="3">
      <c r="A95" s="38" t="s">
        <v>432</v>
      </c>
      <c r="B95" s="44" t="s">
        <v>433</v>
      </c>
      <c r="C95" s="45" t="s">
        <v>363</v>
      </c>
      <c r="D95" s="135">
        <f>SUM(D96:D98)</f>
        <v>45407.839999999997</v>
      </c>
    </row>
    <row r="96" spans="1:4" ht="15.75" hidden="1" customHeight="1" outlineLevel="3">
      <c r="A96" s="40" t="s">
        <v>434</v>
      </c>
      <c r="B96" s="41" t="s">
        <v>435</v>
      </c>
      <c r="C96" s="46">
        <f>C12-C98</f>
        <v>19</v>
      </c>
      <c r="D96" s="134">
        <f>D39*C96</f>
        <v>39156.53</v>
      </c>
    </row>
    <row r="97" spans="1:4" ht="15.75" hidden="1" customHeight="1" outlineLevel="3">
      <c r="A97" s="40" t="s">
        <v>436</v>
      </c>
      <c r="B97" s="41" t="s">
        <v>437</v>
      </c>
      <c r="C97" s="47">
        <f>C12/12</f>
        <v>1.7</v>
      </c>
      <c r="D97" s="134">
        <f>D39*C97</f>
        <v>3503.48</v>
      </c>
    </row>
    <row r="98" spans="1:4" ht="15.75" hidden="1" customHeight="1" outlineLevel="3">
      <c r="A98" s="40" t="s">
        <v>438</v>
      </c>
      <c r="B98" s="41" t="s">
        <v>439</v>
      </c>
      <c r="C98" s="45">
        <f>IF(C12&gt;60,5,IF(C12&gt;48,4,IF(C12&gt;36,3,IF(C12&gt;24,2,IF(C12&gt;12,1,0)))))</f>
        <v>1</v>
      </c>
      <c r="D98" s="135">
        <f>D39*C98*1.33333333333333</f>
        <v>2747.83</v>
      </c>
    </row>
    <row r="99" spans="1:4" ht="15.75" hidden="1" customHeight="1" outlineLevel="1">
      <c r="A99" s="663" t="s">
        <v>176</v>
      </c>
      <c r="B99" s="664"/>
      <c r="C99" s="69">
        <f>'SR - ASG'!C99</f>
        <v>5.5500000000000001E-2</v>
      </c>
      <c r="D99" s="119">
        <f>IF(C99&gt;1,D88+D93,(D88+D93)*C99)</f>
        <v>241.82</v>
      </c>
    </row>
    <row r="100" spans="1:4" ht="15.75" hidden="1" customHeight="1" outlineLevel="1">
      <c r="A100" s="697"/>
      <c r="B100" s="698"/>
      <c r="C100" s="698"/>
      <c r="D100" s="699"/>
    </row>
    <row r="101" spans="1:4" ht="15.75" hidden="1" customHeight="1" outlineLevel="1">
      <c r="A101" s="66" t="s">
        <v>440</v>
      </c>
      <c r="B101" s="112" t="s">
        <v>441</v>
      </c>
      <c r="C101" s="113" t="s">
        <v>383</v>
      </c>
      <c r="D101" s="113" t="s">
        <v>352</v>
      </c>
    </row>
    <row r="102" spans="1:4" ht="15.75" hidden="1" customHeight="1" outlineLevel="2">
      <c r="A102" s="38" t="s">
        <v>353</v>
      </c>
      <c r="B102" s="44" t="s">
        <v>442</v>
      </c>
      <c r="C102" s="48">
        <f>IF(C111&gt;1,(1/30*7)*2,(1/30*7))</f>
        <v>0.23330000000000001</v>
      </c>
      <c r="D102" s="135">
        <f>C102*SUM(D103:D107)</f>
        <v>878.15</v>
      </c>
    </row>
    <row r="103" spans="1:4" ht="15.75" hidden="1" customHeight="1" outlineLevel="3">
      <c r="A103" s="40" t="s">
        <v>421</v>
      </c>
      <c r="B103" s="41" t="s">
        <v>443</v>
      </c>
      <c r="C103" s="38">
        <v>1</v>
      </c>
      <c r="D103" s="134">
        <f>D39</f>
        <v>2060.87</v>
      </c>
    </row>
    <row r="104" spans="1:4" ht="15.75" hidden="1" customHeight="1" outlineLevel="3">
      <c r="A104" s="40" t="s">
        <v>423</v>
      </c>
      <c r="B104" s="41" t="s">
        <v>444</v>
      </c>
      <c r="C104" s="32">
        <f>1/12</f>
        <v>8.3299999999999999E-2</v>
      </c>
      <c r="D104" s="134">
        <f>C104*D103</f>
        <v>171.67</v>
      </c>
    </row>
    <row r="105" spans="1:4" ht="15.75" hidden="1" customHeight="1" outlineLevel="3">
      <c r="A105" s="40" t="s">
        <v>425</v>
      </c>
      <c r="B105" s="41" t="s">
        <v>445</v>
      </c>
      <c r="C105" s="32">
        <f>(1/12)+(1/12/3)</f>
        <v>0.1111</v>
      </c>
      <c r="D105" s="134">
        <f>C105*D103</f>
        <v>228.96</v>
      </c>
    </row>
    <row r="106" spans="1:4" ht="15.75" hidden="1" customHeight="1" outlineLevel="3">
      <c r="A106" s="40" t="s">
        <v>427</v>
      </c>
      <c r="B106" s="49" t="s">
        <v>446</v>
      </c>
      <c r="C106" s="50">
        <f>C63</f>
        <v>0.36799999999999999</v>
      </c>
      <c r="D106" s="135">
        <f>C106*(D103+D104)</f>
        <v>821.57</v>
      </c>
    </row>
    <row r="107" spans="1:4" ht="15.75" hidden="1" customHeight="1" outlineLevel="3">
      <c r="A107" s="40" t="s">
        <v>447</v>
      </c>
      <c r="B107" s="49" t="s">
        <v>448</v>
      </c>
      <c r="C107" s="45">
        <v>1</v>
      </c>
      <c r="D107" s="135">
        <f>D77</f>
        <v>480.98</v>
      </c>
    </row>
    <row r="108" spans="1:4" ht="15.75" hidden="1" customHeight="1" outlineLevel="2">
      <c r="A108" s="38" t="s">
        <v>322</v>
      </c>
      <c r="B108" s="39" t="s">
        <v>449</v>
      </c>
      <c r="C108" s="43">
        <v>0.4</v>
      </c>
      <c r="D108" s="134">
        <f>C108*D109</f>
        <v>1453.05</v>
      </c>
    </row>
    <row r="109" spans="1:4" ht="15.75" hidden="1" customHeight="1" outlineLevel="2">
      <c r="A109" s="38" t="s">
        <v>430</v>
      </c>
      <c r="B109" s="39" t="s">
        <v>431</v>
      </c>
      <c r="C109" s="43">
        <f>C62</f>
        <v>0.08</v>
      </c>
      <c r="D109" s="134">
        <f>C109*D110</f>
        <v>3632.63</v>
      </c>
    </row>
    <row r="110" spans="1:4" ht="15.75" hidden="1" customHeight="1" outlineLevel="2">
      <c r="A110" s="38" t="s">
        <v>432</v>
      </c>
      <c r="B110" s="44" t="s">
        <v>433</v>
      </c>
      <c r="C110" s="45" t="s">
        <v>363</v>
      </c>
      <c r="D110" s="135">
        <f>D95</f>
        <v>45407.839999999997</v>
      </c>
    </row>
    <row r="111" spans="1:4" ht="15.75" hidden="1" customHeight="1" outlineLevel="1">
      <c r="A111" s="663" t="s">
        <v>176</v>
      </c>
      <c r="B111" s="664"/>
      <c r="C111" s="69">
        <f>'SR - ASG'!C111</f>
        <v>0.94450000000000001</v>
      </c>
      <c r="D111" s="119">
        <f>IF(C111&gt;1,D102+D108,(D102+D108)*C111)</f>
        <v>2201.8200000000002</v>
      </c>
    </row>
    <row r="112" spans="1:4" ht="15.75" hidden="1" customHeight="1" outlineLevel="1">
      <c r="A112" s="697"/>
      <c r="B112" s="698"/>
      <c r="C112" s="698"/>
      <c r="D112" s="699"/>
    </row>
    <row r="113" spans="1:4" ht="15.75" hidden="1" customHeight="1" outlineLevel="1">
      <c r="A113" s="66" t="s">
        <v>450</v>
      </c>
      <c r="B113" s="112" t="s">
        <v>451</v>
      </c>
      <c r="C113" s="113" t="s">
        <v>383</v>
      </c>
      <c r="D113" s="113" t="s">
        <v>352</v>
      </c>
    </row>
    <row r="114" spans="1:4" ht="15.75" hidden="1" customHeight="1" outlineLevel="2">
      <c r="A114" s="114" t="s">
        <v>353</v>
      </c>
      <c r="B114" s="34" t="s">
        <v>452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68.63</v>
      </c>
    </row>
    <row r="115" spans="1:4" ht="15.75" hidden="1" customHeight="1" outlineLevel="2">
      <c r="A115" s="114" t="s">
        <v>322</v>
      </c>
      <c r="B115" s="51" t="s">
        <v>453</v>
      </c>
      <c r="C115" s="37">
        <f>C114/3</f>
        <v>1.11E-2</v>
      </c>
      <c r="D115" s="137">
        <f>C115*D39</f>
        <v>22.88</v>
      </c>
    </row>
    <row r="116" spans="1:4" ht="15.75" hidden="1" customHeight="1" outlineLevel="1">
      <c r="A116" s="663" t="s">
        <v>176</v>
      </c>
      <c r="B116" s="664"/>
      <c r="C116" s="33">
        <f>C114+C115</f>
        <v>4.4400000000000002E-2</v>
      </c>
      <c r="D116" s="119">
        <f>SUM(D114:D115)</f>
        <v>91.51</v>
      </c>
    </row>
    <row r="117" spans="1:4" ht="15.75" hidden="1" customHeight="1" outlineLevel="1">
      <c r="A117" s="697"/>
      <c r="B117" s="698"/>
      <c r="C117" s="698"/>
      <c r="D117" s="699"/>
    </row>
    <row r="118" spans="1:4" ht="15.75" hidden="1" customHeight="1" outlineLevel="1">
      <c r="A118" s="701" t="s">
        <v>454</v>
      </c>
      <c r="B118" s="702"/>
      <c r="C118" s="113" t="s">
        <v>383</v>
      </c>
      <c r="D118" s="113" t="s">
        <v>352</v>
      </c>
    </row>
    <row r="119" spans="1:4" ht="15.75" hidden="1" customHeight="1" outlineLevel="1">
      <c r="A119" s="114" t="s">
        <v>418</v>
      </c>
      <c r="B119" s="34" t="s">
        <v>419</v>
      </c>
      <c r="C119" s="37">
        <f>C99</f>
        <v>5.5500000000000001E-2</v>
      </c>
      <c r="D119" s="107">
        <f>D99</f>
        <v>241.82</v>
      </c>
    </row>
    <row r="120" spans="1:4" ht="15.75" hidden="1" customHeight="1" outlineLevel="1">
      <c r="A120" s="116" t="s">
        <v>440</v>
      </c>
      <c r="B120" s="34" t="s">
        <v>441</v>
      </c>
      <c r="C120" s="52">
        <f>C111</f>
        <v>0.94450000000000001</v>
      </c>
      <c r="D120" s="107">
        <f>D111</f>
        <v>2201.8200000000002</v>
      </c>
    </row>
    <row r="121" spans="1:4" ht="15.75" hidden="1" customHeight="1" outlineLevel="1">
      <c r="A121" s="707" t="s">
        <v>455</v>
      </c>
      <c r="B121" s="707"/>
      <c r="C121" s="707"/>
      <c r="D121" s="138">
        <f>D119+D120</f>
        <v>2443.64</v>
      </c>
    </row>
    <row r="122" spans="1:4" ht="15.75" hidden="1" customHeight="1" outlineLevel="1">
      <c r="A122" s="703" t="s">
        <v>456</v>
      </c>
      <c r="B122" s="704"/>
      <c r="C122" s="70">
        <f>'SR - ASG'!C122</f>
        <v>0.63570000000000004</v>
      </c>
      <c r="D122" s="61">
        <f>C122*D121</f>
        <v>1553.42</v>
      </c>
    </row>
    <row r="123" spans="1:4" ht="15.75" hidden="1" customHeight="1" outlineLevel="1">
      <c r="A123" s="703" t="s">
        <v>457</v>
      </c>
      <c r="B123" s="704"/>
      <c r="C123" s="70">
        <f>'SR - ASG'!C123</f>
        <v>1.0999999999999999E-2</v>
      </c>
      <c r="D123" s="61">
        <f>(D50+(D116/2))*-C123</f>
        <v>-2.39</v>
      </c>
    </row>
    <row r="124" spans="1:4" ht="15.75" hidden="1" customHeight="1" outlineLevel="1">
      <c r="A124" s="705" t="s">
        <v>458</v>
      </c>
      <c r="B124" s="706"/>
      <c r="C124" s="74">
        <f>1/C12</f>
        <v>0.05</v>
      </c>
      <c r="D124" s="62">
        <f>(D122+D123)*C124</f>
        <v>77.55</v>
      </c>
    </row>
    <row r="125" spans="1:4" ht="15.75" hidden="1" customHeight="1" outlineLevel="1">
      <c r="A125" s="116" t="s">
        <v>450</v>
      </c>
      <c r="B125" s="34" t="s">
        <v>459</v>
      </c>
      <c r="C125" s="52"/>
      <c r="D125" s="127">
        <f>D116</f>
        <v>91.51</v>
      </c>
    </row>
    <row r="126" spans="1:4" ht="15.75" customHeight="1" collapsed="1">
      <c r="A126" s="663" t="s">
        <v>176</v>
      </c>
      <c r="B126" s="664"/>
      <c r="C126" s="33"/>
      <c r="D126" s="139">
        <f>D124+D125</f>
        <v>169.06</v>
      </c>
    </row>
    <row r="127" spans="1:4" ht="15.75" customHeight="1">
      <c r="A127" s="665"/>
      <c r="B127" s="666"/>
      <c r="C127" s="666"/>
      <c r="D127" s="667"/>
    </row>
    <row r="128" spans="1:4" ht="15.75" customHeight="1">
      <c r="A128" s="668" t="s">
        <v>460</v>
      </c>
      <c r="B128" s="669"/>
      <c r="C128" s="669"/>
      <c r="D128" s="670"/>
    </row>
    <row r="129" spans="1:4" ht="15.75" hidden="1" customHeight="1" outlineLevel="1">
      <c r="A129" s="697"/>
      <c r="B129" s="698"/>
      <c r="C129" s="698"/>
      <c r="D129" s="699"/>
    </row>
    <row r="130" spans="1:4" ht="15.75" hidden="1" customHeight="1" outlineLevel="1">
      <c r="A130" s="113" t="s">
        <v>461</v>
      </c>
      <c r="B130" s="120" t="s">
        <v>462</v>
      </c>
      <c r="C130" s="33" t="s">
        <v>383</v>
      </c>
      <c r="D130" s="113" t="s">
        <v>352</v>
      </c>
    </row>
    <row r="131" spans="1:4" ht="15.75" hidden="1" customHeight="1" outlineLevel="2">
      <c r="A131" s="140" t="s">
        <v>353</v>
      </c>
      <c r="B131" s="91" t="s">
        <v>463</v>
      </c>
      <c r="C131" s="53">
        <v>0</v>
      </c>
      <c r="D131" s="136">
        <f>SUM(D132:D136)</f>
        <v>0</v>
      </c>
    </row>
    <row r="132" spans="1:4" ht="15.75" hidden="1" customHeight="1" outlineLevel="3">
      <c r="A132" s="141" t="s">
        <v>464</v>
      </c>
      <c r="B132" s="92" t="s">
        <v>465</v>
      </c>
      <c r="C132" s="142">
        <f>D39</f>
        <v>2060.87</v>
      </c>
      <c r="D132" s="143">
        <f>$C$131*(D39)-($C$131*(D39)*C137/3)</f>
        <v>0</v>
      </c>
    </row>
    <row r="133" spans="1:4" ht="15.75" hidden="1" customHeight="1" outlineLevel="3">
      <c r="A133" s="141" t="s">
        <v>466</v>
      </c>
      <c r="B133" s="92" t="s">
        <v>467</v>
      </c>
      <c r="C133" s="142">
        <f>(D50)</f>
        <v>171.67</v>
      </c>
      <c r="D133" s="143">
        <f>$C$131*C133-($C$131*C133*C137/3)</f>
        <v>0</v>
      </c>
    </row>
    <row r="134" spans="1:4" ht="15.75" hidden="1" customHeight="1" outlineLevel="3">
      <c r="A134" s="141" t="s">
        <v>468</v>
      </c>
      <c r="B134" s="92" t="s">
        <v>469</v>
      </c>
      <c r="C134" s="144">
        <f>(D39/12)+(D51*IF(C12&gt;60,((C12-60)*(1/60))+1,IF(C12&gt;48,((C12-48)*(1/48))+1,IF(C12&gt;36,((C12-36)*(1/36))+1,IF(C12&gt;24,((C12-24)*(1/24))+1,IF(C12&gt;12,((C12-12)*(1/12))+1,1))))))</f>
        <v>229.11</v>
      </c>
      <c r="D134" s="143">
        <f>$C$131*C134-($C$131*C134*C137/3)</f>
        <v>0</v>
      </c>
    </row>
    <row r="135" spans="1:4" ht="15.75" hidden="1" customHeight="1" outlineLevel="3">
      <c r="A135" s="141" t="s">
        <v>470</v>
      </c>
      <c r="B135" s="92" t="s">
        <v>471</v>
      </c>
      <c r="C135" s="93">
        <f>C63</f>
        <v>0.36799999999999999</v>
      </c>
      <c r="D135" s="143">
        <f>SUM(D132:D134)*C131</f>
        <v>0</v>
      </c>
    </row>
    <row r="136" spans="1:4" ht="15.75" hidden="1" customHeight="1" outlineLevel="3">
      <c r="A136" s="141" t="s">
        <v>472</v>
      </c>
      <c r="B136" s="92" t="s">
        <v>473</v>
      </c>
      <c r="C136" s="144">
        <f>D124</f>
        <v>77.55</v>
      </c>
      <c r="D136" s="143">
        <f>C136*C131</f>
        <v>0</v>
      </c>
    </row>
    <row r="137" spans="1:4" ht="15.75" hidden="1" customHeight="1" outlineLevel="2" collapsed="1">
      <c r="A137" s="114" t="s">
        <v>322</v>
      </c>
      <c r="B137" s="34" t="s">
        <v>474</v>
      </c>
      <c r="C137" s="94">
        <v>0</v>
      </c>
      <c r="D137" s="127">
        <f>$C$131*(D39)*(C137/3)</f>
        <v>0</v>
      </c>
    </row>
    <row r="138" spans="1:4" ht="15.75" hidden="1" customHeight="1" outlineLevel="1" collapsed="1">
      <c r="A138" s="663" t="s">
        <v>475</v>
      </c>
      <c r="B138" s="664"/>
      <c r="C138" s="33">
        <f>C131+(D137/D39)</f>
        <v>0</v>
      </c>
      <c r="D138" s="119">
        <f>SUM(D131:D137)</f>
        <v>0</v>
      </c>
    </row>
    <row r="139" spans="1:4" ht="15.75" hidden="1" customHeight="1" outlineLevel="1">
      <c r="A139" s="697"/>
      <c r="B139" s="698"/>
      <c r="C139" s="698"/>
      <c r="D139" s="699"/>
    </row>
    <row r="140" spans="1:4" ht="15.75" hidden="1" customHeight="1" outlineLevel="2">
      <c r="A140" s="710" t="s">
        <v>476</v>
      </c>
      <c r="B140" s="145" t="s">
        <v>435</v>
      </c>
      <c r="C140" s="95">
        <v>220</v>
      </c>
      <c r="D140" s="146">
        <f>D39</f>
        <v>2060.87</v>
      </c>
    </row>
    <row r="141" spans="1:4" ht="15.75" hidden="1" customHeight="1" outlineLevel="2">
      <c r="A141" s="711"/>
      <c r="B141" s="145" t="s">
        <v>477</v>
      </c>
      <c r="C141" s="53">
        <f>(1+(1/3)+1)/12</f>
        <v>0.19439999999999999</v>
      </c>
      <c r="D141" s="147">
        <f>D140*C141</f>
        <v>400.63</v>
      </c>
    </row>
    <row r="142" spans="1:4" ht="15.75" hidden="1" customHeight="1" outlineLevel="2">
      <c r="A142" s="711"/>
      <c r="B142" s="145" t="s">
        <v>478</v>
      </c>
      <c r="C142" s="53">
        <f>C63</f>
        <v>0.36799999999999999</v>
      </c>
      <c r="D142" s="147">
        <f>(D140+D141)*C142</f>
        <v>905.83</v>
      </c>
    </row>
    <row r="143" spans="1:4" ht="15.75" hidden="1" customHeight="1" outlineLevel="2">
      <c r="A143" s="711"/>
      <c r="B143" s="145" t="s">
        <v>479</v>
      </c>
      <c r="C143" s="53">
        <f>D143/D140</f>
        <v>0.2334</v>
      </c>
      <c r="D143" s="147">
        <f>D77</f>
        <v>480.98</v>
      </c>
    </row>
    <row r="144" spans="1:4" ht="15.75" hidden="1" customHeight="1" outlineLevel="2">
      <c r="A144" s="712"/>
      <c r="B144" s="148" t="s">
        <v>480</v>
      </c>
      <c r="C144" s="53">
        <f>D144/D140</f>
        <v>3.7600000000000001E-2</v>
      </c>
      <c r="D144" s="147">
        <f>D124</f>
        <v>77.55</v>
      </c>
    </row>
    <row r="145" spans="1:4" ht="15.75" hidden="1" customHeight="1" outlineLevel="2">
      <c r="A145" s="713" t="s">
        <v>481</v>
      </c>
      <c r="B145" s="714"/>
      <c r="C145" s="96">
        <f>D145/D140</f>
        <v>1.905</v>
      </c>
      <c r="D145" s="149">
        <f>SUM(D140:D144)</f>
        <v>3925.86</v>
      </c>
    </row>
    <row r="146" spans="1:4" ht="15.75" hidden="1" customHeight="1" outlineLevel="2">
      <c r="A146" s="715"/>
      <c r="B146" s="715"/>
      <c r="C146" s="715"/>
      <c r="D146" s="716"/>
    </row>
    <row r="147" spans="1:4" ht="15.75" hidden="1" customHeight="1" outlineLevel="1" collapsed="1">
      <c r="A147" s="113" t="s">
        <v>482</v>
      </c>
      <c r="B147" s="120" t="s">
        <v>483</v>
      </c>
      <c r="C147" s="33" t="s">
        <v>383</v>
      </c>
      <c r="D147" s="113" t="s">
        <v>352</v>
      </c>
    </row>
    <row r="148" spans="1:4" ht="15.75" hidden="1" customHeight="1" outlineLevel="2">
      <c r="A148" s="114" t="s">
        <v>322</v>
      </c>
      <c r="B148" s="34" t="s">
        <v>484</v>
      </c>
      <c r="C148" s="79">
        <f>5/252</f>
        <v>1.9800000000000002E-2</v>
      </c>
      <c r="D148" s="136">
        <f>C148*$D$145</f>
        <v>77.73</v>
      </c>
    </row>
    <row r="149" spans="1:4" ht="15.75" hidden="1" customHeight="1" outlineLevel="2">
      <c r="A149" s="114" t="s">
        <v>325</v>
      </c>
      <c r="B149" s="34" t="s">
        <v>485</v>
      </c>
      <c r="C149" s="79">
        <f>1.383/252</f>
        <v>5.4999999999999997E-3</v>
      </c>
      <c r="D149" s="136">
        <f>C149*$D$145</f>
        <v>21.59</v>
      </c>
    </row>
    <row r="150" spans="1:4" ht="15.75" hidden="1" customHeight="1" outlineLevel="2">
      <c r="A150" s="114" t="s">
        <v>328</v>
      </c>
      <c r="B150" s="34" t="s">
        <v>486</v>
      </c>
      <c r="C150" s="79">
        <f>1.3892/252</f>
        <v>5.4999999999999997E-3</v>
      </c>
      <c r="D150" s="136">
        <f t="shared" ref="D150:D153" si="1">C150*$D$145</f>
        <v>21.59</v>
      </c>
    </row>
    <row r="151" spans="1:4" ht="15.75" hidden="1" customHeight="1" outlineLevel="2">
      <c r="A151" s="114" t="s">
        <v>331</v>
      </c>
      <c r="B151" s="34" t="s">
        <v>487</v>
      </c>
      <c r="C151" s="79">
        <f>0.65/252</f>
        <v>2.5999999999999999E-3</v>
      </c>
      <c r="D151" s="136">
        <f t="shared" si="1"/>
        <v>10.210000000000001</v>
      </c>
    </row>
    <row r="152" spans="1:4" ht="15.75" hidden="1" customHeight="1" outlineLevel="2">
      <c r="A152" s="114" t="s">
        <v>334</v>
      </c>
      <c r="B152" s="34" t="s">
        <v>488</v>
      </c>
      <c r="C152" s="79">
        <f>0.5052/252</f>
        <v>2E-3</v>
      </c>
      <c r="D152" s="136">
        <f t="shared" si="1"/>
        <v>7.85</v>
      </c>
    </row>
    <row r="153" spans="1:4" ht="15.75" hidden="1" customHeight="1" outlineLevel="2">
      <c r="A153" s="114" t="s">
        <v>353</v>
      </c>
      <c r="B153" s="63" t="s">
        <v>489</v>
      </c>
      <c r="C153" s="71">
        <f>0.2/252</f>
        <v>8.0000000000000004E-4</v>
      </c>
      <c r="D153" s="136">
        <f t="shared" si="1"/>
        <v>3.14</v>
      </c>
    </row>
    <row r="154" spans="1:4" ht="15.75" hidden="1" customHeight="1" outlineLevel="1" collapsed="1">
      <c r="A154" s="663" t="s">
        <v>475</v>
      </c>
      <c r="B154" s="664"/>
      <c r="C154" s="33">
        <f>SUM(C148:C153)</f>
        <v>3.6200000000000003E-2</v>
      </c>
      <c r="D154" s="119">
        <f>SUM(D148:D153)</f>
        <v>142.11000000000001</v>
      </c>
    </row>
    <row r="155" spans="1:4" ht="15.75" hidden="1" customHeight="1" outlineLevel="1">
      <c r="A155" s="697"/>
      <c r="B155" s="698"/>
      <c r="C155" s="698"/>
      <c r="D155" s="699"/>
    </row>
    <row r="156" spans="1:4" ht="15.75" hidden="1" customHeight="1" outlineLevel="1">
      <c r="A156" s="701" t="s">
        <v>490</v>
      </c>
      <c r="B156" s="708"/>
      <c r="C156" s="33" t="s">
        <v>491</v>
      </c>
      <c r="D156" s="113" t="s">
        <v>352</v>
      </c>
    </row>
    <row r="157" spans="1:4" ht="15.75" hidden="1" customHeight="1" outlineLevel="2">
      <c r="A157" s="709" t="s">
        <v>492</v>
      </c>
      <c r="B157" s="145" t="s">
        <v>493</v>
      </c>
      <c r="C157" s="97">
        <f>C153</f>
        <v>8.0000000000000004E-4</v>
      </c>
      <c r="D157" s="150">
        <f>C157*-D140</f>
        <v>-1.65</v>
      </c>
    </row>
    <row r="158" spans="1:4" ht="15.75" hidden="1" customHeight="1" outlineLevel="2">
      <c r="A158" s="709"/>
      <c r="B158" s="151" t="s">
        <v>494</v>
      </c>
      <c r="C158" s="98">
        <v>0</v>
      </c>
      <c r="D158" s="152">
        <f>C158*-(D140/220/24*5)</f>
        <v>0</v>
      </c>
    </row>
    <row r="159" spans="1:4" ht="15.75" hidden="1" customHeight="1" outlineLevel="2">
      <c r="A159" s="709"/>
      <c r="B159" s="151" t="s">
        <v>495</v>
      </c>
      <c r="C159" s="98">
        <v>0</v>
      </c>
      <c r="D159" s="152">
        <f>C159*-D141</f>
        <v>0</v>
      </c>
    </row>
    <row r="160" spans="1:4" ht="15.75" hidden="1" customHeight="1" outlineLevel="2">
      <c r="A160" s="709"/>
      <c r="B160" s="145" t="s">
        <v>496</v>
      </c>
      <c r="C160" s="97">
        <f>C154</f>
        <v>3.6200000000000003E-2</v>
      </c>
      <c r="D160" s="150">
        <f>C160*-D66</f>
        <v>-3.57</v>
      </c>
    </row>
    <row r="161" spans="1:4" ht="15.75" hidden="1" customHeight="1" outlineLevel="2">
      <c r="A161" s="709"/>
      <c r="B161" s="145" t="s">
        <v>497</v>
      </c>
      <c r="C161" s="97">
        <f>C154</f>
        <v>3.6200000000000003E-2</v>
      </c>
      <c r="D161" s="150">
        <f>C161*-D69</f>
        <v>-12.43</v>
      </c>
    </row>
    <row r="162" spans="1:4" ht="15.75" hidden="1" customHeight="1" outlineLevel="2">
      <c r="A162" s="709"/>
      <c r="B162" s="148" t="s">
        <v>498</v>
      </c>
      <c r="C162" s="97">
        <f>C153</f>
        <v>8.0000000000000004E-4</v>
      </c>
      <c r="D162" s="150">
        <f>C162*-D74</f>
        <v>-0.02</v>
      </c>
    </row>
    <row r="163" spans="1:4" ht="15.75" hidden="1" customHeight="1" outlineLevel="2">
      <c r="A163" s="709"/>
      <c r="B163" s="148" t="s">
        <v>499</v>
      </c>
      <c r="C163" s="99">
        <f>C152</f>
        <v>2E-3</v>
      </c>
      <c r="D163" s="136">
        <f>C163*-SUM(D55:D61)</f>
        <v>-1.31</v>
      </c>
    </row>
    <row r="164" spans="1:4" ht="15.75" hidden="1" customHeight="1" outlineLevel="2">
      <c r="A164" s="709"/>
      <c r="B164" s="145" t="s">
        <v>500</v>
      </c>
      <c r="C164" s="97">
        <f>C153</f>
        <v>8.0000000000000004E-4</v>
      </c>
      <c r="D164" s="150">
        <f>C164*-D142</f>
        <v>-0.72</v>
      </c>
    </row>
    <row r="165" spans="1:4" ht="15.75" hidden="1" customHeight="1" outlineLevel="1" collapsed="1">
      <c r="A165" s="663" t="s">
        <v>501</v>
      </c>
      <c r="B165" s="664"/>
      <c r="C165" s="33">
        <f>D165/D140</f>
        <v>-9.5999999999999992E-3</v>
      </c>
      <c r="D165" s="119">
        <f>SUM(D157:D164)</f>
        <v>-19.7</v>
      </c>
    </row>
    <row r="166" spans="1:4" ht="15.75" hidden="1" customHeight="1" outlineLevel="1">
      <c r="A166" s="697"/>
      <c r="B166" s="698"/>
      <c r="C166" s="698"/>
      <c r="D166" s="699"/>
    </row>
    <row r="167" spans="1:4" ht="15.75" hidden="1" customHeight="1" outlineLevel="1">
      <c r="A167" s="663" t="s">
        <v>502</v>
      </c>
      <c r="B167" s="664"/>
      <c r="C167" s="33">
        <f>D167/D140</f>
        <v>5.9400000000000001E-2</v>
      </c>
      <c r="D167" s="119">
        <f>D154+D165</f>
        <v>122.41</v>
      </c>
    </row>
    <row r="168" spans="1:4" ht="15.75" hidden="1" customHeight="1" outlineLevel="1">
      <c r="A168" s="697"/>
      <c r="B168" s="698"/>
      <c r="C168" s="698"/>
      <c r="D168" s="699"/>
    </row>
    <row r="169" spans="1:4" ht="15.75" hidden="1" customHeight="1" outlineLevel="1">
      <c r="A169" s="701" t="s">
        <v>503</v>
      </c>
      <c r="B169" s="702"/>
      <c r="C169" s="113" t="s">
        <v>383</v>
      </c>
      <c r="D169" s="113" t="s">
        <v>352</v>
      </c>
    </row>
    <row r="170" spans="1:4" ht="15.75" hidden="1" customHeight="1" outlineLevel="1">
      <c r="A170" s="114" t="s">
        <v>461</v>
      </c>
      <c r="B170" s="34" t="s">
        <v>462</v>
      </c>
      <c r="C170" s="37"/>
      <c r="D170" s="153">
        <f>D138</f>
        <v>0</v>
      </c>
    </row>
    <row r="171" spans="1:4" ht="15.75" hidden="1" customHeight="1" outlineLevel="1">
      <c r="A171" s="114" t="s">
        <v>482</v>
      </c>
      <c r="B171" s="34" t="s">
        <v>483</v>
      </c>
      <c r="C171" s="37"/>
      <c r="D171" s="153">
        <f>D167</f>
        <v>122.41</v>
      </c>
    </row>
    <row r="172" spans="1:4" ht="15.75" customHeight="1" collapsed="1">
      <c r="A172" s="663" t="s">
        <v>176</v>
      </c>
      <c r="B172" s="700"/>
      <c r="C172" s="664"/>
      <c r="D172" s="122">
        <f>SUM(D170:D171)</f>
        <v>122.41</v>
      </c>
    </row>
    <row r="173" spans="1:4" ht="15.75" customHeight="1">
      <c r="A173" s="697"/>
      <c r="B173" s="698"/>
      <c r="C173" s="698"/>
      <c r="D173" s="699"/>
    </row>
    <row r="174" spans="1:4" ht="15.75" customHeight="1">
      <c r="A174" s="668" t="s">
        <v>504</v>
      </c>
      <c r="B174" s="669"/>
      <c r="C174" s="669"/>
      <c r="D174" s="670"/>
    </row>
    <row r="175" spans="1:4" ht="15.75" hidden="1" customHeight="1" outlineLevel="1">
      <c r="A175" s="697"/>
      <c r="B175" s="698"/>
      <c r="C175" s="698"/>
      <c r="D175" s="699"/>
    </row>
    <row r="176" spans="1:4" ht="15.75" hidden="1" customHeight="1" outlineLevel="1">
      <c r="A176" s="66">
        <v>5</v>
      </c>
      <c r="B176" s="663" t="s">
        <v>505</v>
      </c>
      <c r="C176" s="664"/>
      <c r="D176" s="113" t="s">
        <v>352</v>
      </c>
    </row>
    <row r="177" spans="1:4" ht="15.75" hidden="1" customHeight="1" outlineLevel="1">
      <c r="A177" s="114" t="s">
        <v>353</v>
      </c>
      <c r="B177" s="717" t="s">
        <v>506</v>
      </c>
      <c r="C177" s="718"/>
      <c r="D177" s="136">
        <f>INSUMOS!H14</f>
        <v>25.55</v>
      </c>
    </row>
    <row r="178" spans="1:4" ht="15.75" hidden="1" customHeight="1" outlineLevel="1">
      <c r="A178" s="114" t="s">
        <v>322</v>
      </c>
      <c r="B178" s="717" t="s">
        <v>541</v>
      </c>
      <c r="C178" s="718"/>
      <c r="D178" s="154">
        <f>INSUMOS!H31</f>
        <v>6.61</v>
      </c>
    </row>
    <row r="179" spans="1:4" ht="15.75" hidden="1" customHeight="1" outlineLevel="1">
      <c r="A179" s="114" t="s">
        <v>325</v>
      </c>
      <c r="B179" s="731" t="str">
        <f>INSUMOS!B26</f>
        <v>Celular (exclusivo encarregado)</v>
      </c>
      <c r="C179" s="732"/>
      <c r="D179" s="212">
        <f>INSUMOS!H26</f>
        <v>12.03</v>
      </c>
    </row>
    <row r="180" spans="1:4" ht="15.75" hidden="1" customHeight="1" outlineLevel="1">
      <c r="A180" s="114" t="s">
        <v>328</v>
      </c>
      <c r="B180" s="651" t="s">
        <v>372</v>
      </c>
      <c r="C180" s="652"/>
      <c r="D180" s="133">
        <v>0</v>
      </c>
    </row>
    <row r="181" spans="1:4" ht="15.75" hidden="1" customHeight="1" outlineLevel="1">
      <c r="A181" s="114" t="s">
        <v>331</v>
      </c>
      <c r="B181" s="651" t="s">
        <v>372</v>
      </c>
      <c r="C181" s="652"/>
      <c r="D181" s="133">
        <v>0</v>
      </c>
    </row>
    <row r="182" spans="1:4" ht="15.75" customHeight="1" collapsed="1">
      <c r="A182" s="663" t="s">
        <v>176</v>
      </c>
      <c r="B182" s="700"/>
      <c r="C182" s="664"/>
      <c r="D182" s="119">
        <f>SUM(D177:D180)</f>
        <v>44.19</v>
      </c>
    </row>
    <row r="183" spans="1:4" ht="15.75" customHeight="1">
      <c r="A183" s="665"/>
      <c r="B183" s="666"/>
      <c r="C183" s="666"/>
      <c r="D183" s="667"/>
    </row>
    <row r="184" spans="1:4" ht="15.75" customHeight="1">
      <c r="A184" s="723" t="s">
        <v>510</v>
      </c>
      <c r="B184" s="723"/>
      <c r="C184" s="723"/>
      <c r="D184" s="155">
        <f>D39+D83+D126+D172+D182</f>
        <v>3917.83</v>
      </c>
    </row>
    <row r="185" spans="1:4" ht="15.75" customHeight="1">
      <c r="A185" s="679"/>
      <c r="B185" s="679"/>
      <c r="C185" s="679"/>
      <c r="D185" s="679"/>
    </row>
    <row r="186" spans="1:4" ht="15.75" customHeight="1">
      <c r="A186" s="724" t="s">
        <v>511</v>
      </c>
      <c r="B186" s="724"/>
      <c r="C186" s="724"/>
      <c r="D186" s="724"/>
    </row>
    <row r="187" spans="1:4" ht="15.75" hidden="1" customHeight="1" outlineLevel="1">
      <c r="A187" s="725"/>
      <c r="B187" s="726"/>
      <c r="C187" s="726"/>
      <c r="D187" s="727"/>
    </row>
    <row r="188" spans="1:4" ht="15.75" hidden="1" customHeight="1" outlineLevel="1">
      <c r="A188" s="66">
        <v>6</v>
      </c>
      <c r="B188" s="120" t="s">
        <v>512</v>
      </c>
      <c r="C188" s="113" t="s">
        <v>383</v>
      </c>
      <c r="D188" s="113" t="s">
        <v>352</v>
      </c>
    </row>
    <row r="189" spans="1:4" ht="15.75" hidden="1" customHeight="1" outlineLevel="1">
      <c r="A189" s="114" t="s">
        <v>353</v>
      </c>
      <c r="B189" s="34" t="s">
        <v>513</v>
      </c>
      <c r="C189" s="72">
        <f>'SR - ASG'!C189</f>
        <v>2.6499999999999999E-2</v>
      </c>
      <c r="D189" s="108">
        <f>C189*D184</f>
        <v>103.82</v>
      </c>
    </row>
    <row r="190" spans="1:4" ht="15.75" hidden="1" customHeight="1" outlineLevel="1">
      <c r="A190" s="719" t="s">
        <v>514</v>
      </c>
      <c r="B190" s="720"/>
      <c r="C190" s="722"/>
      <c r="D190" s="108">
        <f>D184+D189</f>
        <v>4021.65</v>
      </c>
    </row>
    <row r="191" spans="1:4" ht="15.75" hidden="1" customHeight="1" outlineLevel="1">
      <c r="A191" s="114" t="s">
        <v>322</v>
      </c>
      <c r="B191" s="34" t="s">
        <v>515</v>
      </c>
      <c r="C191" s="72">
        <f>'SR - ASG'!C191</f>
        <v>0.1087</v>
      </c>
      <c r="D191" s="108">
        <f>C191*D190</f>
        <v>437.15</v>
      </c>
    </row>
    <row r="192" spans="1:4" ht="15.75" hidden="1" customHeight="1" outlineLevel="1">
      <c r="A192" s="719" t="s">
        <v>514</v>
      </c>
      <c r="B192" s="720"/>
      <c r="C192" s="720"/>
      <c r="D192" s="108">
        <f>D191+D190</f>
        <v>4458.8</v>
      </c>
    </row>
    <row r="193" spans="1:4" ht="15.75" hidden="1" customHeight="1" outlineLevel="1">
      <c r="A193" s="114" t="s">
        <v>325</v>
      </c>
      <c r="B193" s="649" t="s">
        <v>516</v>
      </c>
      <c r="C193" s="721"/>
      <c r="D193" s="650"/>
    </row>
    <row r="194" spans="1:4" ht="15.75" hidden="1" customHeight="1" outlineLevel="1">
      <c r="A194" s="156"/>
      <c r="B194" s="65" t="s">
        <v>517</v>
      </c>
      <c r="C194" s="72">
        <f>'SR - ASG'!C194</f>
        <v>6.4999999999999997E-3</v>
      </c>
      <c r="D194" s="108">
        <f>(D192/(1-C197)*C194)</f>
        <v>30.88</v>
      </c>
    </row>
    <row r="195" spans="1:4" ht="15.75" hidden="1" customHeight="1" outlineLevel="1">
      <c r="A195" s="156"/>
      <c r="B195" s="65" t="s">
        <v>518</v>
      </c>
      <c r="C195" s="72">
        <f>'SR - ASG'!C195</f>
        <v>0.03</v>
      </c>
      <c r="D195" s="108">
        <f>(D192/(1-C197)*C195)</f>
        <v>142.53</v>
      </c>
    </row>
    <row r="196" spans="1:4" ht="15.75" hidden="1" customHeight="1" outlineLevel="1">
      <c r="A196" s="156"/>
      <c r="B196" s="65" t="s">
        <v>519</v>
      </c>
      <c r="C196" s="54">
        <v>2.5000000000000001E-2</v>
      </c>
      <c r="D196" s="108">
        <f>(D192/(1-C197)*C196)</f>
        <v>118.77</v>
      </c>
    </row>
    <row r="197" spans="1:4" ht="15.75" hidden="1" customHeight="1" outlineLevel="1">
      <c r="A197" s="719" t="s">
        <v>520</v>
      </c>
      <c r="B197" s="722"/>
      <c r="C197" s="55">
        <f>SUM(C194:C196)</f>
        <v>6.1499999999999999E-2</v>
      </c>
      <c r="D197" s="108">
        <f>SUM(D194:D196)</f>
        <v>292.18</v>
      </c>
    </row>
    <row r="198" spans="1:4" ht="15.75" customHeight="1" collapsed="1">
      <c r="A198" s="663" t="s">
        <v>176</v>
      </c>
      <c r="B198" s="664"/>
      <c r="C198" s="56">
        <f>(1+C189)*(1+C191)*(1/(1-C197))-1</f>
        <v>0.2127</v>
      </c>
      <c r="D198" s="111">
        <f>SUM(D197+D189+D191)</f>
        <v>833.15</v>
      </c>
    </row>
    <row r="199" spans="1:4" ht="15.75" customHeight="1">
      <c r="A199" s="665"/>
      <c r="B199" s="666"/>
      <c r="C199" s="666"/>
      <c r="D199" s="667"/>
    </row>
    <row r="200" spans="1:4" ht="15.75" customHeight="1">
      <c r="A200" s="676" t="s">
        <v>521</v>
      </c>
      <c r="B200" s="678"/>
      <c r="C200" s="677"/>
      <c r="D200" s="57" t="s">
        <v>352</v>
      </c>
    </row>
    <row r="201" spans="1:4" ht="15.75" customHeight="1">
      <c r="A201" s="661" t="s">
        <v>522</v>
      </c>
      <c r="B201" s="728"/>
      <c r="C201" s="728"/>
      <c r="D201" s="662"/>
    </row>
    <row r="202" spans="1:4" ht="15.75" customHeight="1">
      <c r="A202" s="67" t="s">
        <v>353</v>
      </c>
      <c r="B202" s="661" t="s">
        <v>523</v>
      </c>
      <c r="C202" s="662"/>
      <c r="D202" s="107">
        <f>D39</f>
        <v>2060.87</v>
      </c>
    </row>
    <row r="203" spans="1:4" ht="15.75" customHeight="1">
      <c r="A203" s="67" t="s">
        <v>322</v>
      </c>
      <c r="B203" s="661" t="s">
        <v>524</v>
      </c>
      <c r="C203" s="662"/>
      <c r="D203" s="107">
        <f>D83</f>
        <v>1521.3</v>
      </c>
    </row>
    <row r="204" spans="1:4" ht="15.75" customHeight="1">
      <c r="A204" s="67" t="s">
        <v>325</v>
      </c>
      <c r="B204" s="661" t="s">
        <v>525</v>
      </c>
      <c r="C204" s="662"/>
      <c r="D204" s="107">
        <f>D126</f>
        <v>169.06</v>
      </c>
    </row>
    <row r="205" spans="1:4" ht="15.75" customHeight="1">
      <c r="A205" s="67" t="s">
        <v>328</v>
      </c>
      <c r="B205" s="661" t="s">
        <v>526</v>
      </c>
      <c r="C205" s="662"/>
      <c r="D205" s="107">
        <f>D172</f>
        <v>122.41</v>
      </c>
    </row>
    <row r="206" spans="1:4" ht="15.75" customHeight="1">
      <c r="A206" s="67" t="s">
        <v>331</v>
      </c>
      <c r="B206" s="661" t="s">
        <v>527</v>
      </c>
      <c r="C206" s="662"/>
      <c r="D206" s="107">
        <f>D182</f>
        <v>44.19</v>
      </c>
    </row>
    <row r="207" spans="1:4" ht="15.75" customHeight="1">
      <c r="A207" s="738" t="s">
        <v>528</v>
      </c>
      <c r="B207" s="739"/>
      <c r="C207" s="740"/>
      <c r="D207" s="107">
        <f>SUM(D202:D206)</f>
        <v>3917.83</v>
      </c>
    </row>
    <row r="208" spans="1:4" ht="15.75" customHeight="1">
      <c r="A208" s="67" t="s">
        <v>529</v>
      </c>
      <c r="B208" s="661" t="s">
        <v>530</v>
      </c>
      <c r="C208" s="662"/>
      <c r="D208" s="107">
        <f>D198</f>
        <v>833.15</v>
      </c>
    </row>
    <row r="209" spans="1:4" ht="15.75" customHeight="1">
      <c r="A209" s="676" t="s">
        <v>531</v>
      </c>
      <c r="B209" s="678"/>
      <c r="C209" s="677"/>
      <c r="D209" s="157">
        <f xml:space="preserve"> D207+D208</f>
        <v>4750.9799999999996</v>
      </c>
    </row>
    <row r="210" spans="1:4" ht="15.75" customHeight="1">
      <c r="A210" s="27"/>
      <c r="B210" s="27"/>
      <c r="C210" s="27"/>
      <c r="D210" s="27"/>
    </row>
    <row r="211" spans="1:4" ht="15.75" customHeight="1" thickBot="1">
      <c r="A211" s="20"/>
      <c r="B211" s="20"/>
      <c r="C211" s="20"/>
      <c r="D211" s="20"/>
    </row>
    <row r="212" spans="1:4" ht="15.75" customHeight="1">
      <c r="A212" s="646" t="s">
        <v>532</v>
      </c>
      <c r="B212" s="647"/>
      <c r="C212" s="647"/>
      <c r="D212" s="648"/>
    </row>
    <row r="213" spans="1:4" ht="15.75" customHeight="1">
      <c r="A213" s="175" t="s">
        <v>533</v>
      </c>
      <c r="B213" s="176" t="s">
        <v>542</v>
      </c>
      <c r="C213" s="177" t="s">
        <v>535</v>
      </c>
      <c r="D213" s="178" t="s">
        <v>536</v>
      </c>
    </row>
    <row r="214" spans="1:4" ht="15.75" customHeight="1" thickBot="1">
      <c r="A214" s="179">
        <v>1</v>
      </c>
      <c r="B214" s="181">
        <f>1/C11</f>
        <v>7.1812820999999995E-5</v>
      </c>
      <c r="C214" s="180">
        <f>D209</f>
        <v>4750.9799999999996</v>
      </c>
      <c r="D214" s="184">
        <f>C214*B214</f>
        <v>0.34118127599999998</v>
      </c>
    </row>
  </sheetData>
  <mergeCells count="107">
    <mergeCell ref="A207:C207"/>
    <mergeCell ref="B208:C208"/>
    <mergeCell ref="A209:C209"/>
    <mergeCell ref="A201:D201"/>
    <mergeCell ref="B202:C202"/>
    <mergeCell ref="B203:C203"/>
    <mergeCell ref="B204:C204"/>
    <mergeCell ref="B205:C205"/>
    <mergeCell ref="B206:C206"/>
    <mergeCell ref="A192:C192"/>
    <mergeCell ref="B193:D193"/>
    <mergeCell ref="A197:B197"/>
    <mergeCell ref="A198:B198"/>
    <mergeCell ref="A199:D199"/>
    <mergeCell ref="A200:C200"/>
    <mergeCell ref="A183:D183"/>
    <mergeCell ref="A184:C184"/>
    <mergeCell ref="A185:D185"/>
    <mergeCell ref="A186:D186"/>
    <mergeCell ref="A187:D187"/>
    <mergeCell ref="A190:C190"/>
    <mergeCell ref="B176:C176"/>
    <mergeCell ref="B177:C177"/>
    <mergeCell ref="B178:C178"/>
    <mergeCell ref="B179:C179"/>
    <mergeCell ref="B180:C180"/>
    <mergeCell ref="A182:C182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212:D212"/>
    <mergeCell ref="B181:C181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A40EB-F132-4023-BF3D-51394EB7FB03}">
  <sheetPr codeName="Planilha10">
    <pageSetUpPr fitToPage="1"/>
  </sheetPr>
  <dimension ref="A1:D210"/>
  <sheetViews>
    <sheetView view="pageBreakPreview" topLeftCell="A12" zoomScale="85" zoomScaleNormal="85" zoomScaleSheetLayoutView="85" workbookViewId="0">
      <selection activeCell="C29" sqref="C29"/>
    </sheetView>
  </sheetViews>
  <sheetFormatPr defaultColWidth="9.140625" defaultRowHeight="15" customHeight="1" outlineLevelRow="3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>
      <c r="A1" s="680" t="s">
        <v>313</v>
      </c>
      <c r="B1" s="680"/>
      <c r="C1" s="680"/>
      <c r="D1" s="680"/>
    </row>
    <row r="2" spans="1:4" ht="15.75">
      <c r="A2" s="681" t="s">
        <v>314</v>
      </c>
      <c r="B2" s="681"/>
      <c r="C2" s="682" t="s">
        <v>315</v>
      </c>
      <c r="D2" s="683"/>
    </row>
    <row r="3" spans="1:4" ht="15.75">
      <c r="A3" s="681" t="s">
        <v>316</v>
      </c>
      <c r="B3" s="681"/>
      <c r="C3" s="682" t="s">
        <v>317</v>
      </c>
      <c r="D3" s="683"/>
    </row>
    <row r="4" spans="1:4" ht="15.75">
      <c r="A4" s="653"/>
      <c r="B4" s="653"/>
      <c r="C4" s="653"/>
      <c r="D4" s="653"/>
    </row>
    <row r="5" spans="1:4" ht="15.75">
      <c r="A5" s="653" t="s">
        <v>318</v>
      </c>
      <c r="B5" s="653"/>
      <c r="C5" s="653"/>
      <c r="D5" s="653"/>
    </row>
    <row r="6" spans="1:4" ht="15.75">
      <c r="A6" s="67" t="s">
        <v>319</v>
      </c>
      <c r="B6" s="65" t="s">
        <v>320</v>
      </c>
      <c r="C6" s="654" t="s">
        <v>321</v>
      </c>
      <c r="D6" s="655"/>
    </row>
    <row r="7" spans="1:4" ht="15.75">
      <c r="A7" s="67" t="s">
        <v>322</v>
      </c>
      <c r="B7" s="65" t="s">
        <v>323</v>
      </c>
      <c r="C7" s="656" t="s">
        <v>324</v>
      </c>
      <c r="D7" s="656"/>
    </row>
    <row r="8" spans="1:4" ht="15.75">
      <c r="A8" s="28" t="s">
        <v>325</v>
      </c>
      <c r="B8" s="29" t="s">
        <v>326</v>
      </c>
      <c r="C8" s="657" t="s">
        <v>327</v>
      </c>
      <c r="D8" s="658"/>
    </row>
    <row r="9" spans="1:4" ht="15.75">
      <c r="A9" s="67" t="s">
        <v>328</v>
      </c>
      <c r="B9" s="65" t="s">
        <v>329</v>
      </c>
      <c r="C9" s="659" t="s">
        <v>330</v>
      </c>
      <c r="D9" s="660"/>
    </row>
    <row r="10" spans="1:4" ht="15.75">
      <c r="A10" s="67" t="s">
        <v>331</v>
      </c>
      <c r="B10" s="65" t="s">
        <v>332</v>
      </c>
      <c r="C10" s="659" t="s">
        <v>38</v>
      </c>
      <c r="D10" s="660"/>
    </row>
    <row r="11" spans="1:4" ht="15.75">
      <c r="A11" s="67" t="s">
        <v>334</v>
      </c>
      <c r="B11" s="65" t="s">
        <v>335</v>
      </c>
      <c r="C11" s="733">
        <f>Resumo!F6</f>
        <v>2</v>
      </c>
      <c r="D11" s="734"/>
    </row>
    <row r="12" spans="1:4" ht="15.75">
      <c r="A12" s="67" t="s">
        <v>394</v>
      </c>
      <c r="B12" s="65" t="s">
        <v>337</v>
      </c>
      <c r="C12" s="688">
        <f>Resumo!I5</f>
        <v>20</v>
      </c>
      <c r="D12" s="675"/>
    </row>
    <row r="13" spans="1:4" ht="15.75">
      <c r="A13" s="689"/>
      <c r="B13" s="690"/>
      <c r="C13" s="690"/>
      <c r="D13" s="690"/>
    </row>
    <row r="14" spans="1:4" ht="15.75">
      <c r="A14" s="691" t="s">
        <v>338</v>
      </c>
      <c r="B14" s="692"/>
      <c r="C14" s="692"/>
      <c r="D14" s="693"/>
    </row>
    <row r="15" spans="1:4" ht="15.75">
      <c r="A15" s="656" t="s">
        <v>339</v>
      </c>
      <c r="B15" s="656"/>
      <c r="C15" s="656"/>
      <c r="D15" s="656"/>
    </row>
    <row r="16" spans="1:4" ht="15.75">
      <c r="A16" s="67">
        <v>1</v>
      </c>
      <c r="B16" s="65" t="s">
        <v>340</v>
      </c>
      <c r="C16" s="659" t="s">
        <v>543</v>
      </c>
      <c r="D16" s="660" t="s">
        <v>62</v>
      </c>
    </row>
    <row r="17" spans="1:4" ht="15.75">
      <c r="A17" s="67">
        <v>2</v>
      </c>
      <c r="B17" s="30" t="s">
        <v>342</v>
      </c>
      <c r="C17" s="684" t="s">
        <v>544</v>
      </c>
      <c r="D17" s="685"/>
    </row>
    <row r="18" spans="1:4" ht="15.75">
      <c r="A18" s="656" t="s">
        <v>344</v>
      </c>
      <c r="B18" s="656"/>
      <c r="C18" s="656"/>
      <c r="D18" s="656"/>
    </row>
    <row r="19" spans="1:4" ht="15.75">
      <c r="A19" s="67">
        <v>3</v>
      </c>
      <c r="B19" s="661" t="s">
        <v>345</v>
      </c>
      <c r="C19" s="662"/>
      <c r="D19" s="106">
        <f>'SR - ASG'!D19</f>
        <v>1314.09</v>
      </c>
    </row>
    <row r="20" spans="1:4" ht="15.75">
      <c r="A20" s="67">
        <v>4</v>
      </c>
      <c r="B20" s="661" t="s">
        <v>346</v>
      </c>
      <c r="C20" s="662"/>
      <c r="D20" s="158">
        <v>220</v>
      </c>
    </row>
    <row r="21" spans="1:4" ht="15.75">
      <c r="A21" s="67">
        <v>5</v>
      </c>
      <c r="B21" s="661" t="s">
        <v>347</v>
      </c>
      <c r="C21" s="662"/>
      <c r="D21" s="75" t="s">
        <v>545</v>
      </c>
    </row>
    <row r="22" spans="1:4" ht="15.75">
      <c r="A22" s="67">
        <v>6</v>
      </c>
      <c r="B22" s="661" t="s">
        <v>349</v>
      </c>
      <c r="C22" s="662"/>
      <c r="D22" s="76">
        <v>44562</v>
      </c>
    </row>
    <row r="23" spans="1:4" ht="15.75">
      <c r="A23" s="659"/>
      <c r="B23" s="671"/>
      <c r="C23" s="671"/>
      <c r="D23" s="660"/>
    </row>
    <row r="24" spans="1:4" ht="15.75">
      <c r="A24" s="672" t="s">
        <v>350</v>
      </c>
      <c r="B24" s="672"/>
      <c r="C24" s="672"/>
      <c r="D24" s="672"/>
    </row>
    <row r="25" spans="1:4" ht="15.75">
      <c r="A25" s="673"/>
      <c r="B25" s="674"/>
      <c r="C25" s="674"/>
      <c r="D25" s="675"/>
    </row>
    <row r="26" spans="1:4" ht="15.75">
      <c r="A26" s="66">
        <v>1</v>
      </c>
      <c r="B26" s="676" t="s">
        <v>351</v>
      </c>
      <c r="C26" s="677"/>
      <c r="D26" s="66" t="s">
        <v>352</v>
      </c>
    </row>
    <row r="27" spans="1:4" ht="15.75" hidden="1" outlineLevel="1">
      <c r="A27" s="67" t="s">
        <v>353</v>
      </c>
      <c r="B27" s="65" t="s">
        <v>354</v>
      </c>
      <c r="C27" s="73">
        <f>'SR - ASG'!C27</f>
        <v>220</v>
      </c>
      <c r="D27" s="107">
        <f>D19/220*C27</f>
        <v>1314.09</v>
      </c>
    </row>
    <row r="28" spans="1:4" ht="15.75" hidden="1" outlineLevel="1">
      <c r="A28" s="67" t="s">
        <v>322</v>
      </c>
      <c r="B28" s="65" t="s">
        <v>355</v>
      </c>
      <c r="C28" s="31">
        <v>0</v>
      </c>
      <c r="D28" s="107">
        <f>C28*D27</f>
        <v>0</v>
      </c>
    </row>
    <row r="29" spans="1:4" ht="15.75" hidden="1" outlineLevel="1">
      <c r="A29" s="67" t="s">
        <v>325</v>
      </c>
      <c r="B29" s="65" t="s">
        <v>356</v>
      </c>
      <c r="C29" s="31">
        <v>0</v>
      </c>
      <c r="D29" s="107">
        <f>C29*D27</f>
        <v>0</v>
      </c>
    </row>
    <row r="30" spans="1:4" ht="15.75" hidden="1" outlineLevel="1">
      <c r="A30" s="67" t="s">
        <v>328</v>
      </c>
      <c r="B30" s="65" t="s">
        <v>357</v>
      </c>
      <c r="C30" s="159">
        <v>0</v>
      </c>
      <c r="D30" s="108">
        <f>SUM(D31:D32)</f>
        <v>0</v>
      </c>
    </row>
    <row r="31" spans="1:4" ht="15.75" hidden="1" outlineLevel="2">
      <c r="A31" s="80" t="s">
        <v>358</v>
      </c>
      <c r="B31" s="65" t="s">
        <v>359</v>
      </c>
      <c r="C31" s="81">
        <v>0.2</v>
      </c>
      <c r="D31" s="108">
        <f>(SUM(D27:D29)/C27)*C31*15*C30</f>
        <v>0</v>
      </c>
    </row>
    <row r="32" spans="1:4" ht="15.75" hidden="1" outlineLevel="2">
      <c r="A32" s="80" t="s">
        <v>360</v>
      </c>
      <c r="B32" s="65" t="s">
        <v>361</v>
      </c>
      <c r="C32" s="82">
        <f>C30*(60/52.5)/8</f>
        <v>0</v>
      </c>
      <c r="D32" s="108">
        <f>(SUM(D27:D29)/C27)*(C31)*15*C32</f>
        <v>0</v>
      </c>
    </row>
    <row r="33" spans="1:4" ht="15.75" hidden="1" outlineLevel="1">
      <c r="A33" s="67" t="s">
        <v>331</v>
      </c>
      <c r="B33" s="65" t="s">
        <v>362</v>
      </c>
      <c r="C33" s="31" t="s">
        <v>363</v>
      </c>
      <c r="D33" s="1">
        <f>SUM(D34:D37)</f>
        <v>0</v>
      </c>
    </row>
    <row r="34" spans="1:4" ht="15.75" hidden="1" outlineLevel="2">
      <c r="A34" s="83" t="s">
        <v>364</v>
      </c>
      <c r="B34" s="84" t="s">
        <v>365</v>
      </c>
      <c r="C34" s="85">
        <v>0</v>
      </c>
      <c r="D34" s="109">
        <f>(SUM($D$27:$D$29)/$C$27)*C34*1.5</f>
        <v>0</v>
      </c>
    </row>
    <row r="35" spans="1:4" ht="15.75" hidden="1" outlineLevel="2">
      <c r="A35" s="83" t="s">
        <v>366</v>
      </c>
      <c r="B35" s="86" t="s">
        <v>367</v>
      </c>
      <c r="C35" s="88">
        <v>0</v>
      </c>
      <c r="D35" s="109">
        <f>(SUM($D$27:$D$29)/$C$27)*C35*((60/52.5)*1.2*1.5)</f>
        <v>0</v>
      </c>
    </row>
    <row r="36" spans="1:4" ht="15.75" hidden="1" outlineLevel="2">
      <c r="A36" s="83" t="s">
        <v>368</v>
      </c>
      <c r="B36" s="84" t="s">
        <v>369</v>
      </c>
      <c r="C36" s="88">
        <f>C34*0.1429</f>
        <v>0</v>
      </c>
      <c r="D36" s="109">
        <f>(SUM($D$27:$D$29)/$C$27)*C36*2</f>
        <v>0</v>
      </c>
    </row>
    <row r="37" spans="1:4" ht="15.75" hidden="1" outlineLevel="2">
      <c r="A37" s="83" t="s">
        <v>370</v>
      </c>
      <c r="B37" s="84" t="s">
        <v>371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>
      <c r="A38" s="67" t="s">
        <v>334</v>
      </c>
      <c r="B38" s="58" t="s">
        <v>372</v>
      </c>
      <c r="C38" s="59">
        <v>0</v>
      </c>
      <c r="D38" s="110">
        <v>0</v>
      </c>
    </row>
    <row r="39" spans="1:4" ht="15.75" collapsed="1">
      <c r="A39" s="676" t="s">
        <v>373</v>
      </c>
      <c r="B39" s="678"/>
      <c r="C39" s="677"/>
      <c r="D39" s="111">
        <f>SUM(D27:D30,D33,D38)</f>
        <v>1314.09</v>
      </c>
    </row>
    <row r="40" spans="1:4" ht="15.75">
      <c r="A40" s="679"/>
      <c r="B40" s="679"/>
      <c r="C40" s="679"/>
      <c r="D40" s="679"/>
    </row>
    <row r="41" spans="1:4" ht="15.75" hidden="1" outlineLevel="1">
      <c r="A41" s="89" t="s">
        <v>374</v>
      </c>
      <c r="B41" s="112" t="s">
        <v>375</v>
      </c>
      <c r="C41" s="113" t="s">
        <v>376</v>
      </c>
      <c r="D41" s="113" t="s">
        <v>352</v>
      </c>
    </row>
    <row r="42" spans="1:4" ht="15.75" hidden="1" outlineLevel="1">
      <c r="A42" s="114" t="s">
        <v>353</v>
      </c>
      <c r="B42" s="30" t="s">
        <v>377</v>
      </c>
      <c r="C42" s="90">
        <v>0</v>
      </c>
      <c r="D42" s="115">
        <f>(SUM(D27)/$C$27)*C42*1.5</f>
        <v>0</v>
      </c>
    </row>
    <row r="43" spans="1:4" ht="15.75" hidden="1" outlineLevel="1">
      <c r="A43" s="116" t="s">
        <v>325</v>
      </c>
      <c r="B43" s="117" t="s">
        <v>378</v>
      </c>
      <c r="C43" s="118">
        <v>0</v>
      </c>
      <c r="D43" s="107">
        <f>C43*177</f>
        <v>0</v>
      </c>
    </row>
    <row r="44" spans="1:4" ht="15.75" hidden="1" outlineLevel="1">
      <c r="A44" s="67" t="s">
        <v>328</v>
      </c>
      <c r="B44" s="58" t="s">
        <v>372</v>
      </c>
      <c r="C44" s="59">
        <v>0</v>
      </c>
      <c r="D44" s="110">
        <v>0</v>
      </c>
    </row>
    <row r="45" spans="1:4" ht="15.75" collapsed="1">
      <c r="A45" s="663" t="s">
        <v>379</v>
      </c>
      <c r="B45" s="664"/>
      <c r="C45" s="33">
        <f>D45/D39</f>
        <v>0</v>
      </c>
      <c r="D45" s="119">
        <f>SUM(D42:D43)</f>
        <v>0</v>
      </c>
    </row>
    <row r="46" spans="1:4" ht="15.75">
      <c r="A46" s="665"/>
      <c r="B46" s="666"/>
      <c r="C46" s="666"/>
      <c r="D46" s="667"/>
    </row>
    <row r="47" spans="1:4" ht="15.75">
      <c r="A47" s="668" t="s">
        <v>380</v>
      </c>
      <c r="B47" s="669"/>
      <c r="C47" s="669"/>
      <c r="D47" s="670"/>
    </row>
    <row r="48" spans="1:4" ht="15.75" hidden="1" outlineLevel="1">
      <c r="A48" s="665"/>
      <c r="B48" s="666"/>
      <c r="C48" s="666"/>
      <c r="D48" s="667"/>
    </row>
    <row r="49" spans="1:4" ht="15.75" hidden="1" outlineLevel="1">
      <c r="A49" s="113" t="s">
        <v>381</v>
      </c>
      <c r="B49" s="112" t="s">
        <v>382</v>
      </c>
      <c r="C49" s="113" t="s">
        <v>383</v>
      </c>
      <c r="D49" s="113" t="s">
        <v>352</v>
      </c>
    </row>
    <row r="50" spans="1:4" ht="15.75" hidden="1" outlineLevel="2">
      <c r="A50" s="116" t="s">
        <v>353</v>
      </c>
      <c r="B50" s="117" t="s">
        <v>384</v>
      </c>
      <c r="C50" s="32">
        <f>1/12</f>
        <v>8.3299999999999999E-2</v>
      </c>
      <c r="D50" s="107">
        <f>C50*D39</f>
        <v>109.46</v>
      </c>
    </row>
    <row r="51" spans="1:4" ht="15.75" hidden="1" outlineLevel="2">
      <c r="A51" s="116" t="s">
        <v>322</v>
      </c>
      <c r="B51" s="117" t="s">
        <v>385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21.95</v>
      </c>
    </row>
    <row r="52" spans="1:4" ht="15.75" hidden="1" outlineLevel="1">
      <c r="A52" s="663" t="s">
        <v>176</v>
      </c>
      <c r="B52" s="664"/>
      <c r="C52" s="33">
        <f>SUM(C50:C51)</f>
        <v>0.1</v>
      </c>
      <c r="D52" s="119">
        <f>SUM(D50:D51)</f>
        <v>131.41</v>
      </c>
    </row>
    <row r="53" spans="1:4" ht="15.75" hidden="1" outlineLevel="1">
      <c r="A53" s="665"/>
      <c r="B53" s="666"/>
      <c r="C53" s="666"/>
      <c r="D53" s="667"/>
    </row>
    <row r="54" spans="1:4" ht="15.75" hidden="1" outlineLevel="1">
      <c r="A54" s="113" t="s">
        <v>386</v>
      </c>
      <c r="B54" s="120" t="s">
        <v>387</v>
      </c>
      <c r="C54" s="113" t="s">
        <v>383</v>
      </c>
      <c r="D54" s="121" t="s">
        <v>352</v>
      </c>
    </row>
    <row r="55" spans="1:4" ht="15.75" hidden="1" outlineLevel="2">
      <c r="A55" s="114" t="s">
        <v>353</v>
      </c>
      <c r="B55" s="34" t="s">
        <v>388</v>
      </c>
      <c r="C55" s="35">
        <v>0.2</v>
      </c>
      <c r="D55" s="107">
        <f t="shared" ref="D55:D62" si="0">C55*($D$39+$D$52)</f>
        <v>289.10000000000002</v>
      </c>
    </row>
    <row r="56" spans="1:4" ht="15.75" hidden="1" outlineLevel="2">
      <c r="A56" s="114" t="s">
        <v>322</v>
      </c>
      <c r="B56" s="34" t="s">
        <v>389</v>
      </c>
      <c r="C56" s="35">
        <v>2.5000000000000001E-2</v>
      </c>
      <c r="D56" s="107">
        <f t="shared" si="0"/>
        <v>36.14</v>
      </c>
    </row>
    <row r="57" spans="1:4" ht="15.75" hidden="1" outlineLevel="2">
      <c r="A57" s="114" t="s">
        <v>325</v>
      </c>
      <c r="B57" s="34" t="s">
        <v>390</v>
      </c>
      <c r="C57" s="68">
        <v>0.03</v>
      </c>
      <c r="D57" s="107">
        <f t="shared" si="0"/>
        <v>43.37</v>
      </c>
    </row>
    <row r="58" spans="1:4" ht="15.75" hidden="1" outlineLevel="2">
      <c r="A58" s="114" t="s">
        <v>328</v>
      </c>
      <c r="B58" s="34" t="s">
        <v>391</v>
      </c>
      <c r="C58" s="35">
        <v>1.4999999999999999E-2</v>
      </c>
      <c r="D58" s="107">
        <f t="shared" si="0"/>
        <v>21.68</v>
      </c>
    </row>
    <row r="59" spans="1:4" ht="15.75" hidden="1" outlineLevel="2">
      <c r="A59" s="114" t="s">
        <v>331</v>
      </c>
      <c r="B59" s="34" t="s">
        <v>392</v>
      </c>
      <c r="C59" s="35">
        <v>0.01</v>
      </c>
      <c r="D59" s="107">
        <f t="shared" si="0"/>
        <v>14.46</v>
      </c>
    </row>
    <row r="60" spans="1:4" ht="15.75" hidden="1" outlineLevel="2">
      <c r="A60" s="114" t="s">
        <v>334</v>
      </c>
      <c r="B60" s="34" t="s">
        <v>393</v>
      </c>
      <c r="C60" s="35">
        <v>6.0000000000000001E-3</v>
      </c>
      <c r="D60" s="107">
        <f t="shared" si="0"/>
        <v>8.67</v>
      </c>
    </row>
    <row r="61" spans="1:4" ht="15.75" hidden="1" outlineLevel="2">
      <c r="A61" s="114" t="s">
        <v>394</v>
      </c>
      <c r="B61" s="34" t="s">
        <v>395</v>
      </c>
      <c r="C61" s="35">
        <v>2E-3</v>
      </c>
      <c r="D61" s="107">
        <f t="shared" si="0"/>
        <v>2.89</v>
      </c>
    </row>
    <row r="62" spans="1:4" ht="15.75" hidden="1" outlineLevel="2">
      <c r="A62" s="114" t="s">
        <v>336</v>
      </c>
      <c r="B62" s="34" t="s">
        <v>396</v>
      </c>
      <c r="C62" s="35">
        <v>0.08</v>
      </c>
      <c r="D62" s="107">
        <f t="shared" si="0"/>
        <v>115.64</v>
      </c>
    </row>
    <row r="63" spans="1:4" ht="15.75" hidden="1" outlineLevel="1">
      <c r="A63" s="663" t="s">
        <v>176</v>
      </c>
      <c r="B63" s="664"/>
      <c r="C63" s="36">
        <f>SUM(C55:C62)</f>
        <v>0.36799999999999999</v>
      </c>
      <c r="D63" s="122">
        <f>SUM(D55:D62)</f>
        <v>531.95000000000005</v>
      </c>
    </row>
    <row r="64" spans="1:4" ht="15.75" hidden="1" outlineLevel="1">
      <c r="A64" s="665"/>
      <c r="B64" s="666"/>
      <c r="C64" s="666"/>
      <c r="D64" s="667"/>
    </row>
    <row r="65" spans="1:4" ht="15.75" hidden="1" outlineLevel="1">
      <c r="A65" s="113" t="s">
        <v>397</v>
      </c>
      <c r="B65" s="120" t="s">
        <v>398</v>
      </c>
      <c r="C65" s="113" t="s">
        <v>399</v>
      </c>
      <c r="D65" s="113" t="s">
        <v>352</v>
      </c>
    </row>
    <row r="66" spans="1:4" ht="15.75" hidden="1" outlineLevel="2">
      <c r="A66" s="114" t="s">
        <v>353</v>
      </c>
      <c r="B66" s="34" t="s">
        <v>400</v>
      </c>
      <c r="C66" s="123">
        <f>'SR - ASG'!C66</f>
        <v>4.8</v>
      </c>
      <c r="D66" s="124">
        <f>IF(D67+D68&gt;0,(D67+D68),0)</f>
        <v>122.75</v>
      </c>
    </row>
    <row r="67" spans="1:4" ht="15.75" hidden="1" outlineLevel="3">
      <c r="A67" s="125" t="s">
        <v>401</v>
      </c>
      <c r="B67" s="34" t="s">
        <v>402</v>
      </c>
      <c r="C67" s="126">
        <v>21</v>
      </c>
      <c r="D67" s="127">
        <f>C66*C67*2</f>
        <v>201.6</v>
      </c>
    </row>
    <row r="68" spans="1:4" ht="15.75" hidden="1" outlineLevel="3">
      <c r="A68" s="125" t="s">
        <v>403</v>
      </c>
      <c r="B68" s="34" t="s">
        <v>404</v>
      </c>
      <c r="C68" s="128">
        <v>0.06</v>
      </c>
      <c r="D68" s="127">
        <f>-D27*C68</f>
        <v>-78.849999999999994</v>
      </c>
    </row>
    <row r="69" spans="1:4" ht="15.75" hidden="1" outlineLevel="2">
      <c r="A69" s="114" t="s">
        <v>322</v>
      </c>
      <c r="B69" s="34" t="s">
        <v>405</v>
      </c>
      <c r="C69" s="129">
        <f>'SR - ASG'!C69</f>
        <v>20.18</v>
      </c>
      <c r="D69" s="124">
        <f>D70+D71</f>
        <v>343.26</v>
      </c>
    </row>
    <row r="70" spans="1:4" ht="15.75" hidden="1" outlineLevel="3">
      <c r="A70" s="125" t="s">
        <v>406</v>
      </c>
      <c r="B70" s="34" t="s">
        <v>407</v>
      </c>
      <c r="C70" s="126">
        <v>21</v>
      </c>
      <c r="D70" s="127">
        <f>C69*C70</f>
        <v>423.78</v>
      </c>
    </row>
    <row r="71" spans="1:4" ht="15.75" hidden="1" outlineLevel="3">
      <c r="A71" s="125" t="s">
        <v>408</v>
      </c>
      <c r="B71" s="34" t="s">
        <v>409</v>
      </c>
      <c r="C71" s="130">
        <v>-0.19</v>
      </c>
      <c r="D71" s="127">
        <f>D70*C71</f>
        <v>-80.52</v>
      </c>
    </row>
    <row r="72" spans="1:4" ht="15.75" hidden="1" outlineLevel="2">
      <c r="A72" s="114" t="s">
        <v>325</v>
      </c>
      <c r="B72" s="77" t="s">
        <v>410</v>
      </c>
      <c r="C72" s="129">
        <v>17.32</v>
      </c>
      <c r="D72" s="132">
        <f>C72</f>
        <v>17.32</v>
      </c>
    </row>
    <row r="73" spans="1:4" ht="15.75" hidden="1" outlineLevel="2">
      <c r="A73" s="114" t="s">
        <v>328</v>
      </c>
      <c r="B73" s="78" t="s">
        <v>411</v>
      </c>
      <c r="C73" s="129">
        <f>140*3</f>
        <v>420</v>
      </c>
      <c r="D73" s="132">
        <f>C73*C152</f>
        <v>0.84</v>
      </c>
    </row>
    <row r="74" spans="1:4" ht="15.75" hidden="1" outlineLevel="2">
      <c r="A74" s="114" t="s">
        <v>331</v>
      </c>
      <c r="B74" s="77" t="s">
        <v>412</v>
      </c>
      <c r="C74" s="129">
        <v>21</v>
      </c>
      <c r="D74" s="132">
        <f>C74</f>
        <v>21</v>
      </c>
    </row>
    <row r="75" spans="1:4" ht="15.75" hidden="1" outlineLevel="2">
      <c r="A75" s="114" t="s">
        <v>334</v>
      </c>
      <c r="B75" s="77" t="s">
        <v>372</v>
      </c>
      <c r="C75" s="131">
        <v>0</v>
      </c>
      <c r="D75" s="132">
        <f>C75*D39</f>
        <v>0</v>
      </c>
    </row>
    <row r="76" spans="1:4" ht="15.75" hidden="1" outlineLevel="2">
      <c r="A76" s="114" t="s">
        <v>394</v>
      </c>
      <c r="B76" s="77" t="s">
        <v>372</v>
      </c>
      <c r="C76" s="129">
        <v>0</v>
      </c>
      <c r="D76" s="133">
        <f>C76</f>
        <v>0</v>
      </c>
    </row>
    <row r="77" spans="1:4" ht="15.75" hidden="1" outlineLevel="1">
      <c r="A77" s="663" t="s">
        <v>413</v>
      </c>
      <c r="B77" s="700"/>
      <c r="C77" s="664"/>
      <c r="D77" s="119">
        <f>SUM(D66,D69,D72:D76)</f>
        <v>505.17</v>
      </c>
    </row>
    <row r="78" spans="1:4" ht="15.75" hidden="1" outlineLevel="1">
      <c r="A78" s="665"/>
      <c r="B78" s="666"/>
      <c r="C78" s="666"/>
      <c r="D78" s="667"/>
    </row>
    <row r="79" spans="1:4" ht="15.75" hidden="1" outlineLevel="1">
      <c r="A79" s="701" t="s">
        <v>414</v>
      </c>
      <c r="B79" s="702"/>
      <c r="C79" s="113" t="s">
        <v>383</v>
      </c>
      <c r="D79" s="113" t="s">
        <v>352</v>
      </c>
    </row>
    <row r="80" spans="1:4" ht="15.75" hidden="1" outlineLevel="1">
      <c r="A80" s="114" t="s">
        <v>415</v>
      </c>
      <c r="B80" s="34" t="s">
        <v>382</v>
      </c>
      <c r="C80" s="37">
        <f>C52</f>
        <v>0.1</v>
      </c>
      <c r="D80" s="107">
        <f>D52</f>
        <v>131.41</v>
      </c>
    </row>
    <row r="81" spans="1:4" ht="15.75" hidden="1" outlineLevel="1">
      <c r="A81" s="114" t="s">
        <v>386</v>
      </c>
      <c r="B81" s="34" t="s">
        <v>387</v>
      </c>
      <c r="C81" s="37">
        <f>C63</f>
        <v>0.36799999999999999</v>
      </c>
      <c r="D81" s="107">
        <f>D63</f>
        <v>531.95000000000005</v>
      </c>
    </row>
    <row r="82" spans="1:4" ht="15.75" hidden="1" outlineLevel="1">
      <c r="A82" s="114" t="s">
        <v>416</v>
      </c>
      <c r="B82" s="34" t="s">
        <v>398</v>
      </c>
      <c r="C82" s="37">
        <f>D77/D39</f>
        <v>0.38440000000000002</v>
      </c>
      <c r="D82" s="107">
        <f>D77</f>
        <v>505.17</v>
      </c>
    </row>
    <row r="83" spans="1:4" ht="15.75" collapsed="1">
      <c r="A83" s="663" t="s">
        <v>176</v>
      </c>
      <c r="B83" s="700"/>
      <c r="C83" s="664"/>
      <c r="D83" s="119">
        <f>SUM(D80:D82)</f>
        <v>1168.53</v>
      </c>
    </row>
    <row r="84" spans="1:4" ht="15.75">
      <c r="A84" s="665"/>
      <c r="B84" s="666"/>
      <c r="C84" s="666"/>
      <c r="D84" s="667"/>
    </row>
    <row r="85" spans="1:4" ht="15.75">
      <c r="A85" s="694" t="s">
        <v>417</v>
      </c>
      <c r="B85" s="695"/>
      <c r="C85" s="695"/>
      <c r="D85" s="696"/>
    </row>
    <row r="86" spans="1:4" ht="15.75" hidden="1" outlineLevel="1">
      <c r="A86" s="665"/>
      <c r="B86" s="666"/>
      <c r="C86" s="666"/>
      <c r="D86" s="667"/>
    </row>
    <row r="87" spans="1:4" ht="15.75" hidden="1" outlineLevel="1">
      <c r="A87" s="66" t="s">
        <v>418</v>
      </c>
      <c r="B87" s="112" t="s">
        <v>419</v>
      </c>
      <c r="C87" s="113" t="s">
        <v>383</v>
      </c>
      <c r="D87" s="113" t="s">
        <v>352</v>
      </c>
    </row>
    <row r="88" spans="1:4" ht="15.75" hidden="1" outlineLevel="2">
      <c r="A88" s="38" t="s">
        <v>353</v>
      </c>
      <c r="B88" s="39" t="s">
        <v>420</v>
      </c>
      <c r="C88" s="38" t="s">
        <v>363</v>
      </c>
      <c r="D88" s="134">
        <f>IF(C99&gt;1,SUM(D89:D92)*2,SUM(D89:D92))</f>
        <v>1851.78</v>
      </c>
    </row>
    <row r="89" spans="1:4" ht="15.75" hidden="1" outlineLevel="3">
      <c r="A89" s="40" t="s">
        <v>421</v>
      </c>
      <c r="B89" s="41" t="s">
        <v>422</v>
      </c>
      <c r="C89" s="38">
        <f>(IF(C12&gt;60,45,IF(C12&gt;48,42,IF(C12&gt;36,39,IF(C12&gt;24,36,IF(C12&gt;12,33,30)))))/30)</f>
        <v>1.1000000000000001</v>
      </c>
      <c r="D89" s="134">
        <f>D39*C89</f>
        <v>1445.5</v>
      </c>
    </row>
    <row r="90" spans="1:4" ht="15.75" hidden="1" outlineLevel="3">
      <c r="A90" s="40" t="s">
        <v>423</v>
      </c>
      <c r="B90" s="41" t="s">
        <v>424</v>
      </c>
      <c r="C90" s="32">
        <f>1/12</f>
        <v>8.3299999999999999E-2</v>
      </c>
      <c r="D90" s="134">
        <f>C90*D89</f>
        <v>120.41</v>
      </c>
    </row>
    <row r="91" spans="1:4" ht="15.75" hidden="1" outlineLevel="3">
      <c r="A91" s="40" t="s">
        <v>425</v>
      </c>
      <c r="B91" s="41" t="s">
        <v>426</v>
      </c>
      <c r="C91" s="32">
        <f>(1/12)+(1/12/3)</f>
        <v>0.1111</v>
      </c>
      <c r="D91" s="135">
        <f>C91*D89</f>
        <v>160.6</v>
      </c>
    </row>
    <row r="92" spans="1:4" ht="15.75" hidden="1" outlineLevel="3">
      <c r="A92" s="40" t="s">
        <v>427</v>
      </c>
      <c r="B92" s="41" t="s">
        <v>428</v>
      </c>
      <c r="C92" s="42">
        <v>0.08</v>
      </c>
      <c r="D92" s="134">
        <f>SUM(D89:D90)*C92</f>
        <v>125.27</v>
      </c>
    </row>
    <row r="93" spans="1:4" ht="15.75" hidden="1" outlineLevel="2">
      <c r="A93" s="38" t="s">
        <v>322</v>
      </c>
      <c r="B93" s="39" t="s">
        <v>429</v>
      </c>
      <c r="C93" s="43">
        <v>0.4</v>
      </c>
      <c r="D93" s="134">
        <f>C93*D94</f>
        <v>926.52</v>
      </c>
    </row>
    <row r="94" spans="1:4" ht="15.75" hidden="1" outlineLevel="3">
      <c r="A94" s="38" t="s">
        <v>430</v>
      </c>
      <c r="B94" s="39" t="s">
        <v>431</v>
      </c>
      <c r="C94" s="43">
        <f>C62</f>
        <v>0.08</v>
      </c>
      <c r="D94" s="134">
        <f>C94*D95</f>
        <v>2316.3000000000002</v>
      </c>
    </row>
    <row r="95" spans="1:4" ht="15.75" hidden="1" outlineLevel="3">
      <c r="A95" s="38" t="s">
        <v>432</v>
      </c>
      <c r="B95" s="44" t="s">
        <v>433</v>
      </c>
      <c r="C95" s="45" t="s">
        <v>363</v>
      </c>
      <c r="D95" s="135">
        <f>SUM(D96:D98)</f>
        <v>28953.78</v>
      </c>
    </row>
    <row r="96" spans="1:4" ht="15.75" hidden="1" outlineLevel="3">
      <c r="A96" s="40" t="s">
        <v>434</v>
      </c>
      <c r="B96" s="41" t="s">
        <v>435</v>
      </c>
      <c r="C96" s="46">
        <f>C12-C98</f>
        <v>19</v>
      </c>
      <c r="D96" s="134">
        <f>D39*C96</f>
        <v>24967.71</v>
      </c>
    </row>
    <row r="97" spans="1:4" ht="15.75" hidden="1" outlineLevel="3">
      <c r="A97" s="40" t="s">
        <v>436</v>
      </c>
      <c r="B97" s="41" t="s">
        <v>437</v>
      </c>
      <c r="C97" s="47">
        <f>C12/12</f>
        <v>1.7</v>
      </c>
      <c r="D97" s="134">
        <f>D39*C97</f>
        <v>2233.9499999999998</v>
      </c>
    </row>
    <row r="98" spans="1:4" ht="15.75" hidden="1" outlineLevel="3">
      <c r="A98" s="40" t="s">
        <v>438</v>
      </c>
      <c r="B98" s="41" t="s">
        <v>439</v>
      </c>
      <c r="C98" s="45">
        <f>IF(C12&gt;60,5,IF(C12&gt;48,4,IF(C12&gt;36,3,IF(C12&gt;24,2,IF(C12&gt;12,1,0)))))</f>
        <v>1</v>
      </c>
      <c r="D98" s="135">
        <f>D39*C98*1.33333333333333</f>
        <v>1752.12</v>
      </c>
    </row>
    <row r="99" spans="1:4" ht="15.75" hidden="1" outlineLevel="1">
      <c r="A99" s="663" t="s">
        <v>176</v>
      </c>
      <c r="B99" s="664"/>
      <c r="C99" s="69">
        <f>'SR - ASG'!C99</f>
        <v>5.5500000000000001E-2</v>
      </c>
      <c r="D99" s="119">
        <f>IF(C99&gt;1,D88+D93,(D88+D93)*C99)</f>
        <v>154.19999999999999</v>
      </c>
    </row>
    <row r="100" spans="1:4" ht="15.75" hidden="1" outlineLevel="1">
      <c r="A100" s="697"/>
      <c r="B100" s="698"/>
      <c r="C100" s="698"/>
      <c r="D100" s="699"/>
    </row>
    <row r="101" spans="1:4" ht="15.75" hidden="1" outlineLevel="1">
      <c r="A101" s="66" t="s">
        <v>440</v>
      </c>
      <c r="B101" s="112" t="s">
        <v>441</v>
      </c>
      <c r="C101" s="113" t="s">
        <v>383</v>
      </c>
      <c r="D101" s="113" t="s">
        <v>352</v>
      </c>
    </row>
    <row r="102" spans="1:4" ht="15.75" hidden="1" outlineLevel="2">
      <c r="A102" s="38" t="s">
        <v>353</v>
      </c>
      <c r="B102" s="44" t="s">
        <v>442</v>
      </c>
      <c r="C102" s="48">
        <f>IF(C111&gt;1,(1/30*7)*2,(1/30*7))</f>
        <v>0.23330000000000001</v>
      </c>
      <c r="D102" s="135">
        <f>C102*SUM(D103:D107)</f>
        <v>606.25</v>
      </c>
    </row>
    <row r="103" spans="1:4" ht="15.75" hidden="1" outlineLevel="3">
      <c r="A103" s="40" t="s">
        <v>421</v>
      </c>
      <c r="B103" s="41" t="s">
        <v>443</v>
      </c>
      <c r="C103" s="38">
        <v>1</v>
      </c>
      <c r="D103" s="134">
        <f>D39</f>
        <v>1314.09</v>
      </c>
    </row>
    <row r="104" spans="1:4" ht="15.75" hidden="1" outlineLevel="3">
      <c r="A104" s="40" t="s">
        <v>423</v>
      </c>
      <c r="B104" s="41" t="s">
        <v>444</v>
      </c>
      <c r="C104" s="32">
        <f>1/12</f>
        <v>8.3299999999999999E-2</v>
      </c>
      <c r="D104" s="134">
        <f>C104*D103</f>
        <v>109.46</v>
      </c>
    </row>
    <row r="105" spans="1:4" ht="15.75" hidden="1" outlineLevel="3">
      <c r="A105" s="40" t="s">
        <v>425</v>
      </c>
      <c r="B105" s="41" t="s">
        <v>445</v>
      </c>
      <c r="C105" s="32">
        <f>(1/12)+(1/12/3)</f>
        <v>0.1111</v>
      </c>
      <c r="D105" s="134">
        <f>C105*D103</f>
        <v>146</v>
      </c>
    </row>
    <row r="106" spans="1:4" ht="15.75" hidden="1" outlineLevel="3">
      <c r="A106" s="40" t="s">
        <v>427</v>
      </c>
      <c r="B106" s="49" t="s">
        <v>446</v>
      </c>
      <c r="C106" s="50">
        <f>C63</f>
        <v>0.36799999999999999</v>
      </c>
      <c r="D106" s="135">
        <f>C106*(D103+D104)</f>
        <v>523.87</v>
      </c>
    </row>
    <row r="107" spans="1:4" ht="15.75" hidden="1" outlineLevel="3">
      <c r="A107" s="40" t="s">
        <v>447</v>
      </c>
      <c r="B107" s="49" t="s">
        <v>448</v>
      </c>
      <c r="C107" s="45">
        <v>1</v>
      </c>
      <c r="D107" s="135">
        <f>D77</f>
        <v>505.17</v>
      </c>
    </row>
    <row r="108" spans="1:4" ht="15.75" hidden="1" outlineLevel="2">
      <c r="A108" s="38" t="s">
        <v>322</v>
      </c>
      <c r="B108" s="39" t="s">
        <v>449</v>
      </c>
      <c r="C108" s="43">
        <v>0.4</v>
      </c>
      <c r="D108" s="134">
        <f>C108*D109</f>
        <v>926.52</v>
      </c>
    </row>
    <row r="109" spans="1:4" ht="15.75" hidden="1" outlineLevel="2">
      <c r="A109" s="38" t="s">
        <v>430</v>
      </c>
      <c r="B109" s="39" t="s">
        <v>431</v>
      </c>
      <c r="C109" s="43">
        <f>C62</f>
        <v>0.08</v>
      </c>
      <c r="D109" s="134">
        <f>C109*D110</f>
        <v>2316.3000000000002</v>
      </c>
    </row>
    <row r="110" spans="1:4" ht="15.75" hidden="1" outlineLevel="2">
      <c r="A110" s="38" t="s">
        <v>432</v>
      </c>
      <c r="B110" s="44" t="s">
        <v>433</v>
      </c>
      <c r="C110" s="45" t="s">
        <v>363</v>
      </c>
      <c r="D110" s="135">
        <f>D95</f>
        <v>28953.78</v>
      </c>
    </row>
    <row r="111" spans="1:4" ht="15.75" hidden="1" outlineLevel="1">
      <c r="A111" s="663" t="s">
        <v>176</v>
      </c>
      <c r="B111" s="664"/>
      <c r="C111" s="69">
        <f>'SR - ASG'!C111</f>
        <v>0.94450000000000001</v>
      </c>
      <c r="D111" s="119">
        <f>IF(C111&gt;1,D102+D108,(D102+D108)*C111)</f>
        <v>1447.7</v>
      </c>
    </row>
    <row r="112" spans="1:4" ht="15.75" hidden="1" outlineLevel="1">
      <c r="A112" s="697"/>
      <c r="B112" s="698"/>
      <c r="C112" s="698"/>
      <c r="D112" s="699"/>
    </row>
    <row r="113" spans="1:4" ht="15.75" hidden="1" outlineLevel="1">
      <c r="A113" s="66" t="s">
        <v>450</v>
      </c>
      <c r="B113" s="112" t="s">
        <v>451</v>
      </c>
      <c r="C113" s="113" t="s">
        <v>383</v>
      </c>
      <c r="D113" s="113" t="s">
        <v>352</v>
      </c>
    </row>
    <row r="114" spans="1:4" ht="15.75" hidden="1" outlineLevel="2">
      <c r="A114" s="114" t="s">
        <v>353</v>
      </c>
      <c r="B114" s="34" t="s">
        <v>452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43.76</v>
      </c>
    </row>
    <row r="115" spans="1:4" ht="15.75" hidden="1" outlineLevel="2">
      <c r="A115" s="114" t="s">
        <v>322</v>
      </c>
      <c r="B115" s="51" t="s">
        <v>453</v>
      </c>
      <c r="C115" s="37">
        <f>C114/3</f>
        <v>1.11E-2</v>
      </c>
      <c r="D115" s="137">
        <f>C115*D39</f>
        <v>14.59</v>
      </c>
    </row>
    <row r="116" spans="1:4" ht="15.75" hidden="1" outlineLevel="1">
      <c r="A116" s="663" t="s">
        <v>176</v>
      </c>
      <c r="B116" s="664"/>
      <c r="C116" s="33">
        <f>C114+C115</f>
        <v>4.4400000000000002E-2</v>
      </c>
      <c r="D116" s="119">
        <f>SUM(D114:D115)</f>
        <v>58.35</v>
      </c>
    </row>
    <row r="117" spans="1:4" ht="15.75" hidden="1" outlineLevel="1">
      <c r="A117" s="697"/>
      <c r="B117" s="698"/>
      <c r="C117" s="698"/>
      <c r="D117" s="699"/>
    </row>
    <row r="118" spans="1:4" ht="15.75" hidden="1" outlineLevel="1">
      <c r="A118" s="701" t="s">
        <v>454</v>
      </c>
      <c r="B118" s="702"/>
      <c r="C118" s="113" t="s">
        <v>383</v>
      </c>
      <c r="D118" s="113" t="s">
        <v>352</v>
      </c>
    </row>
    <row r="119" spans="1:4" ht="15.75" hidden="1" outlineLevel="1">
      <c r="A119" s="114" t="s">
        <v>418</v>
      </c>
      <c r="B119" s="34" t="s">
        <v>419</v>
      </c>
      <c r="C119" s="37">
        <f>C99</f>
        <v>5.5500000000000001E-2</v>
      </c>
      <c r="D119" s="107">
        <f>D99</f>
        <v>154.19999999999999</v>
      </c>
    </row>
    <row r="120" spans="1:4" ht="15.75" hidden="1" outlineLevel="1">
      <c r="A120" s="116" t="s">
        <v>440</v>
      </c>
      <c r="B120" s="34" t="s">
        <v>441</v>
      </c>
      <c r="C120" s="52">
        <f>C111</f>
        <v>0.94450000000000001</v>
      </c>
      <c r="D120" s="107">
        <f>D111</f>
        <v>1447.7</v>
      </c>
    </row>
    <row r="121" spans="1:4" ht="15.75" hidden="1" outlineLevel="1">
      <c r="A121" s="707" t="s">
        <v>455</v>
      </c>
      <c r="B121" s="707"/>
      <c r="C121" s="707"/>
      <c r="D121" s="138">
        <f>D119+D120</f>
        <v>1601.9</v>
      </c>
    </row>
    <row r="122" spans="1:4" ht="15.75" hidden="1" outlineLevel="1">
      <c r="A122" s="703" t="s">
        <v>456</v>
      </c>
      <c r="B122" s="704"/>
      <c r="C122" s="70">
        <f>'SR - ASG'!C122</f>
        <v>0.63570000000000004</v>
      </c>
      <c r="D122" s="61">
        <f>C122*D121</f>
        <v>1018.33</v>
      </c>
    </row>
    <row r="123" spans="1:4" ht="15.75" hidden="1" outlineLevel="1">
      <c r="A123" s="703" t="s">
        <v>457</v>
      </c>
      <c r="B123" s="704"/>
      <c r="C123" s="70">
        <f>'SR - ASG'!C123</f>
        <v>1.0999999999999999E-2</v>
      </c>
      <c r="D123" s="61">
        <f>(D50+(D116/2))*-C123</f>
        <v>-1.52</v>
      </c>
    </row>
    <row r="124" spans="1:4" ht="15.75" hidden="1" outlineLevel="1">
      <c r="A124" s="705" t="s">
        <v>458</v>
      </c>
      <c r="B124" s="706"/>
      <c r="C124" s="74">
        <f>1/C12</f>
        <v>0.05</v>
      </c>
      <c r="D124" s="62">
        <f>(D122+D123)*C124</f>
        <v>50.84</v>
      </c>
    </row>
    <row r="125" spans="1:4" ht="15.75" hidden="1" outlineLevel="1">
      <c r="A125" s="116" t="s">
        <v>450</v>
      </c>
      <c r="B125" s="34" t="s">
        <v>459</v>
      </c>
      <c r="C125" s="52"/>
      <c r="D125" s="127">
        <f>D116</f>
        <v>58.35</v>
      </c>
    </row>
    <row r="126" spans="1:4" ht="15.75" collapsed="1">
      <c r="A126" s="663" t="s">
        <v>176</v>
      </c>
      <c r="B126" s="664"/>
      <c r="C126" s="33"/>
      <c r="D126" s="139">
        <f>D124+D125</f>
        <v>109.19</v>
      </c>
    </row>
    <row r="127" spans="1:4" ht="15.75">
      <c r="A127" s="665"/>
      <c r="B127" s="666"/>
      <c r="C127" s="666"/>
      <c r="D127" s="667"/>
    </row>
    <row r="128" spans="1:4" ht="15.75">
      <c r="A128" s="668" t="s">
        <v>460</v>
      </c>
      <c r="B128" s="669"/>
      <c r="C128" s="669"/>
      <c r="D128" s="670"/>
    </row>
    <row r="129" spans="1:4" ht="15.75" hidden="1" outlineLevel="1">
      <c r="A129" s="697"/>
      <c r="B129" s="698"/>
      <c r="C129" s="698"/>
      <c r="D129" s="699"/>
    </row>
    <row r="130" spans="1:4" ht="15.75" hidden="1" outlineLevel="1">
      <c r="A130" s="113" t="s">
        <v>461</v>
      </c>
      <c r="B130" s="120" t="s">
        <v>462</v>
      </c>
      <c r="C130" s="33" t="s">
        <v>383</v>
      </c>
      <c r="D130" s="113" t="s">
        <v>352</v>
      </c>
    </row>
    <row r="131" spans="1:4" ht="15.75" hidden="1" outlineLevel="2">
      <c r="A131" s="140" t="s">
        <v>353</v>
      </c>
      <c r="B131" s="91" t="s">
        <v>463</v>
      </c>
      <c r="C131" s="53">
        <v>0</v>
      </c>
      <c r="D131" s="136">
        <f>SUM(D132:D136)</f>
        <v>0</v>
      </c>
    </row>
    <row r="132" spans="1:4" ht="15.75" hidden="1" outlineLevel="3">
      <c r="A132" s="141" t="s">
        <v>464</v>
      </c>
      <c r="B132" s="92" t="s">
        <v>465</v>
      </c>
      <c r="C132" s="142">
        <f>D39</f>
        <v>1314.09</v>
      </c>
      <c r="D132" s="143">
        <f>$C$131*(D39)-($C$131*(D39)*C137/3)</f>
        <v>0</v>
      </c>
    </row>
    <row r="133" spans="1:4" ht="15.75" hidden="1" outlineLevel="3">
      <c r="A133" s="141" t="s">
        <v>466</v>
      </c>
      <c r="B133" s="92" t="s">
        <v>467</v>
      </c>
      <c r="C133" s="142">
        <f>(D50)</f>
        <v>109.46</v>
      </c>
      <c r="D133" s="143">
        <f>$C$131*C133-($C$131*C133*C137/3)</f>
        <v>0</v>
      </c>
    </row>
    <row r="134" spans="1:4" ht="15.75" hidden="1" outlineLevel="3">
      <c r="A134" s="141" t="s">
        <v>468</v>
      </c>
      <c r="B134" s="92" t="s">
        <v>469</v>
      </c>
      <c r="C134" s="144">
        <f>(D39/12)+(D51*IF(C12&gt;60,((C12-60)*(1/60))+1,IF(C12&gt;48,((C12-48)*(1/48))+1,IF(C12&gt;36,((C12-36)*(1/36))+1,IF(C12&gt;24,((C12-24)*(1/24))+1,IF(C12&gt;12,((C12-12)*(1/12))+1,1))))))</f>
        <v>146.09</v>
      </c>
      <c r="D134" s="143">
        <f>$C$131*C134-($C$131*C134*C137/3)</f>
        <v>0</v>
      </c>
    </row>
    <row r="135" spans="1:4" ht="15.75" hidden="1" outlineLevel="3">
      <c r="A135" s="141" t="s">
        <v>470</v>
      </c>
      <c r="B135" s="92" t="s">
        <v>471</v>
      </c>
      <c r="C135" s="93">
        <f>C63</f>
        <v>0.36799999999999999</v>
      </c>
      <c r="D135" s="143">
        <f>SUM(D132:D134)*C131</f>
        <v>0</v>
      </c>
    </row>
    <row r="136" spans="1:4" ht="15.75" hidden="1" outlineLevel="3">
      <c r="A136" s="141" t="s">
        <v>472</v>
      </c>
      <c r="B136" s="92" t="s">
        <v>473</v>
      </c>
      <c r="C136" s="144">
        <f>D124</f>
        <v>50.84</v>
      </c>
      <c r="D136" s="143">
        <f>C136*C131</f>
        <v>0</v>
      </c>
    </row>
    <row r="137" spans="1:4" ht="15.75" hidden="1" outlineLevel="2">
      <c r="A137" s="114" t="s">
        <v>322</v>
      </c>
      <c r="B137" s="34" t="s">
        <v>474</v>
      </c>
      <c r="C137" s="94">
        <v>0</v>
      </c>
      <c r="D137" s="127">
        <f>$C$131*(D39)*(C137/3)</f>
        <v>0</v>
      </c>
    </row>
    <row r="138" spans="1:4" ht="15.75" hidden="1" outlineLevel="1">
      <c r="A138" s="663" t="s">
        <v>475</v>
      </c>
      <c r="B138" s="664"/>
      <c r="C138" s="33">
        <f>C131+(D137/D39)</f>
        <v>0</v>
      </c>
      <c r="D138" s="119">
        <f>SUM(D131:D137)</f>
        <v>0</v>
      </c>
    </row>
    <row r="139" spans="1:4" ht="15.75" hidden="1" outlineLevel="1">
      <c r="A139" s="697"/>
      <c r="B139" s="698"/>
      <c r="C139" s="698"/>
      <c r="D139" s="699"/>
    </row>
    <row r="140" spans="1:4" ht="15.75" hidden="1" outlineLevel="2">
      <c r="A140" s="710" t="s">
        <v>476</v>
      </c>
      <c r="B140" s="145" t="s">
        <v>435</v>
      </c>
      <c r="C140" s="95">
        <v>220</v>
      </c>
      <c r="D140" s="146">
        <f>D39</f>
        <v>1314.09</v>
      </c>
    </row>
    <row r="141" spans="1:4" ht="15.75" hidden="1" outlineLevel="2">
      <c r="A141" s="711"/>
      <c r="B141" s="145" t="s">
        <v>477</v>
      </c>
      <c r="C141" s="53">
        <f>(1+(1/3)+1)/12</f>
        <v>0.19439999999999999</v>
      </c>
      <c r="D141" s="147">
        <f>D140*C141</f>
        <v>255.46</v>
      </c>
    </row>
    <row r="142" spans="1:4" ht="15.75" hidden="1" outlineLevel="2">
      <c r="A142" s="711"/>
      <c r="B142" s="145" t="s">
        <v>478</v>
      </c>
      <c r="C142" s="53">
        <f>C63</f>
        <v>0.36799999999999999</v>
      </c>
      <c r="D142" s="147">
        <f>(D140+D141)*C142</f>
        <v>577.59</v>
      </c>
    </row>
    <row r="143" spans="1:4" ht="15.75" hidden="1" outlineLevel="2">
      <c r="A143" s="711"/>
      <c r="B143" s="145" t="s">
        <v>479</v>
      </c>
      <c r="C143" s="53">
        <f>D143/D140</f>
        <v>0.38440000000000002</v>
      </c>
      <c r="D143" s="147">
        <f>D77</f>
        <v>505.17</v>
      </c>
    </row>
    <row r="144" spans="1:4" ht="15.75" hidden="1" outlineLevel="2">
      <c r="A144" s="712"/>
      <c r="B144" s="148" t="s">
        <v>480</v>
      </c>
      <c r="C144" s="53">
        <f>D144/D140</f>
        <v>3.8699999999999998E-2</v>
      </c>
      <c r="D144" s="147">
        <f>D124</f>
        <v>50.84</v>
      </c>
    </row>
    <row r="145" spans="1:4" ht="15.75" hidden="1" outlineLevel="2">
      <c r="A145" s="713" t="s">
        <v>481</v>
      </c>
      <c r="B145" s="714"/>
      <c r="C145" s="96">
        <f>D145/D140</f>
        <v>2.0571000000000002</v>
      </c>
      <c r="D145" s="149">
        <f>SUM(D140:D144)</f>
        <v>2703.15</v>
      </c>
    </row>
    <row r="146" spans="1:4" ht="15.75" hidden="1" outlineLevel="2">
      <c r="A146" s="715"/>
      <c r="B146" s="715"/>
      <c r="C146" s="715"/>
      <c r="D146" s="716"/>
    </row>
    <row r="147" spans="1:4" ht="15.75" hidden="1" outlineLevel="1">
      <c r="A147" s="113" t="s">
        <v>482</v>
      </c>
      <c r="B147" s="120" t="s">
        <v>483</v>
      </c>
      <c r="C147" s="33" t="s">
        <v>383</v>
      </c>
      <c r="D147" s="113" t="s">
        <v>352</v>
      </c>
    </row>
    <row r="148" spans="1:4" ht="15.75" hidden="1" outlineLevel="2">
      <c r="A148" s="114" t="s">
        <v>322</v>
      </c>
      <c r="B148" s="34" t="s">
        <v>484</v>
      </c>
      <c r="C148" s="79">
        <f>5/252</f>
        <v>1.9800000000000002E-2</v>
      </c>
      <c r="D148" s="136">
        <f>C148*$D$145</f>
        <v>53.52</v>
      </c>
    </row>
    <row r="149" spans="1:4" ht="15.75" hidden="1" outlineLevel="2">
      <c r="A149" s="114" t="s">
        <v>325</v>
      </c>
      <c r="B149" s="34" t="s">
        <v>485</v>
      </c>
      <c r="C149" s="79">
        <f>1.383/252</f>
        <v>5.4999999999999997E-3</v>
      </c>
      <c r="D149" s="136">
        <f>C149*$D$145</f>
        <v>14.87</v>
      </c>
    </row>
    <row r="150" spans="1:4" ht="15.75" hidden="1" outlineLevel="2">
      <c r="A150" s="114" t="s">
        <v>328</v>
      </c>
      <c r="B150" s="34" t="s">
        <v>486</v>
      </c>
      <c r="C150" s="79">
        <f>1.3892/252</f>
        <v>5.4999999999999997E-3</v>
      </c>
      <c r="D150" s="136">
        <f t="shared" ref="D150:D153" si="1">C150*$D$145</f>
        <v>14.87</v>
      </c>
    </row>
    <row r="151" spans="1:4" ht="15.75" hidden="1" outlineLevel="2">
      <c r="A151" s="114" t="s">
        <v>331</v>
      </c>
      <c r="B151" s="34" t="s">
        <v>487</v>
      </c>
      <c r="C151" s="79">
        <f>0.65/252</f>
        <v>2.5999999999999999E-3</v>
      </c>
      <c r="D151" s="136">
        <f t="shared" si="1"/>
        <v>7.03</v>
      </c>
    </row>
    <row r="152" spans="1:4" ht="15.75" hidden="1" outlineLevel="2">
      <c r="A152" s="114" t="s">
        <v>334</v>
      </c>
      <c r="B152" s="34" t="s">
        <v>488</v>
      </c>
      <c r="C152" s="79">
        <f>0.5052/252</f>
        <v>2E-3</v>
      </c>
      <c r="D152" s="136">
        <f t="shared" si="1"/>
        <v>5.41</v>
      </c>
    </row>
    <row r="153" spans="1:4" ht="15.75" hidden="1" outlineLevel="2">
      <c r="A153" s="114" t="s">
        <v>353</v>
      </c>
      <c r="B153" s="63" t="s">
        <v>489</v>
      </c>
      <c r="C153" s="71">
        <f>0.2/252</f>
        <v>8.0000000000000004E-4</v>
      </c>
      <c r="D153" s="136">
        <f t="shared" si="1"/>
        <v>2.16</v>
      </c>
    </row>
    <row r="154" spans="1:4" ht="15.75" hidden="1" outlineLevel="1">
      <c r="A154" s="663" t="s">
        <v>475</v>
      </c>
      <c r="B154" s="664"/>
      <c r="C154" s="33">
        <f>SUM(C148:C153)</f>
        <v>3.6200000000000003E-2</v>
      </c>
      <c r="D154" s="119">
        <f>SUM(D148:D153)</f>
        <v>97.86</v>
      </c>
    </row>
    <row r="155" spans="1:4" ht="15.75" hidden="1" outlineLevel="1">
      <c r="A155" s="697"/>
      <c r="B155" s="698"/>
      <c r="C155" s="698"/>
      <c r="D155" s="699"/>
    </row>
    <row r="156" spans="1:4" ht="15.75" hidden="1" outlineLevel="1">
      <c r="A156" s="701" t="s">
        <v>490</v>
      </c>
      <c r="B156" s="708"/>
      <c r="C156" s="33" t="s">
        <v>491</v>
      </c>
      <c r="D156" s="113" t="s">
        <v>352</v>
      </c>
    </row>
    <row r="157" spans="1:4" ht="15.75" hidden="1" outlineLevel="2">
      <c r="A157" s="709" t="s">
        <v>492</v>
      </c>
      <c r="B157" s="145" t="s">
        <v>493</v>
      </c>
      <c r="C157" s="97">
        <f>C153</f>
        <v>8.0000000000000004E-4</v>
      </c>
      <c r="D157" s="150">
        <f>C157*-D140</f>
        <v>-1.05</v>
      </c>
    </row>
    <row r="158" spans="1:4" ht="15.75" hidden="1" outlineLevel="2">
      <c r="A158" s="709"/>
      <c r="B158" s="151" t="s">
        <v>494</v>
      </c>
      <c r="C158" s="98">
        <v>0</v>
      </c>
      <c r="D158" s="152">
        <f>C158*-(D140/220/24*5)</f>
        <v>0</v>
      </c>
    </row>
    <row r="159" spans="1:4" ht="15.75" hidden="1" outlineLevel="2">
      <c r="A159" s="709"/>
      <c r="B159" s="151" t="s">
        <v>495</v>
      </c>
      <c r="C159" s="98">
        <v>0</v>
      </c>
      <c r="D159" s="152">
        <f>C159*-D141</f>
        <v>0</v>
      </c>
    </row>
    <row r="160" spans="1:4" ht="15.75" hidden="1" outlineLevel="2">
      <c r="A160" s="709"/>
      <c r="B160" s="145" t="s">
        <v>496</v>
      </c>
      <c r="C160" s="97">
        <f>C154</f>
        <v>3.6200000000000003E-2</v>
      </c>
      <c r="D160" s="150">
        <f>C160*-D66</f>
        <v>-4.4400000000000004</v>
      </c>
    </row>
    <row r="161" spans="1:4" ht="15.75" hidden="1" outlineLevel="2">
      <c r="A161" s="709"/>
      <c r="B161" s="145" t="s">
        <v>497</v>
      </c>
      <c r="C161" s="97">
        <f>C154</f>
        <v>3.6200000000000003E-2</v>
      </c>
      <c r="D161" s="150">
        <f>C161*-D69</f>
        <v>-12.43</v>
      </c>
    </row>
    <row r="162" spans="1:4" ht="15.75" hidden="1" outlineLevel="2">
      <c r="A162" s="709"/>
      <c r="B162" s="148" t="s">
        <v>498</v>
      </c>
      <c r="C162" s="97">
        <f>C153</f>
        <v>8.0000000000000004E-4</v>
      </c>
      <c r="D162" s="150">
        <f>C162*-D74</f>
        <v>-0.02</v>
      </c>
    </row>
    <row r="163" spans="1:4" ht="15.75" hidden="1" outlineLevel="2">
      <c r="A163" s="709"/>
      <c r="B163" s="148" t="s">
        <v>499</v>
      </c>
      <c r="C163" s="99">
        <f>C152</f>
        <v>2E-3</v>
      </c>
      <c r="D163" s="136">
        <f>C163*-SUM(D55:D61)</f>
        <v>-0.83</v>
      </c>
    </row>
    <row r="164" spans="1:4" ht="15.75" hidden="1" outlineLevel="2">
      <c r="A164" s="709"/>
      <c r="B164" s="145" t="s">
        <v>500</v>
      </c>
      <c r="C164" s="97">
        <f>C153</f>
        <v>8.0000000000000004E-4</v>
      </c>
      <c r="D164" s="150">
        <f>C164*-D142</f>
        <v>-0.46</v>
      </c>
    </row>
    <row r="165" spans="1:4" ht="15.75" hidden="1" outlineLevel="1">
      <c r="A165" s="663" t="s">
        <v>501</v>
      </c>
      <c r="B165" s="664"/>
      <c r="C165" s="33">
        <f>D165/D140</f>
        <v>-1.46E-2</v>
      </c>
      <c r="D165" s="119">
        <f>SUM(D157:D164)</f>
        <v>-19.23</v>
      </c>
    </row>
    <row r="166" spans="1:4" ht="15.75" hidden="1" outlineLevel="1">
      <c r="A166" s="697"/>
      <c r="B166" s="698"/>
      <c r="C166" s="698"/>
      <c r="D166" s="699"/>
    </row>
    <row r="167" spans="1:4" ht="15.75" hidden="1" outlineLevel="1">
      <c r="A167" s="663" t="s">
        <v>502</v>
      </c>
      <c r="B167" s="664"/>
      <c r="C167" s="33">
        <f>D167/D140</f>
        <v>5.9799999999999999E-2</v>
      </c>
      <c r="D167" s="119">
        <f>D154+D165</f>
        <v>78.63</v>
      </c>
    </row>
    <row r="168" spans="1:4" ht="15.75" hidden="1" outlineLevel="1">
      <c r="A168" s="697"/>
      <c r="B168" s="698"/>
      <c r="C168" s="698"/>
      <c r="D168" s="699"/>
    </row>
    <row r="169" spans="1:4" ht="15.75" hidden="1" outlineLevel="1">
      <c r="A169" s="701" t="s">
        <v>503</v>
      </c>
      <c r="B169" s="702"/>
      <c r="C169" s="113" t="s">
        <v>383</v>
      </c>
      <c r="D169" s="113" t="s">
        <v>352</v>
      </c>
    </row>
    <row r="170" spans="1:4" ht="15.75" hidden="1" outlineLevel="1">
      <c r="A170" s="114" t="s">
        <v>461</v>
      </c>
      <c r="B170" s="34" t="s">
        <v>462</v>
      </c>
      <c r="C170" s="37"/>
      <c r="D170" s="153">
        <f>D138</f>
        <v>0</v>
      </c>
    </row>
    <row r="171" spans="1:4" ht="15.75" hidden="1" outlineLevel="1">
      <c r="A171" s="114" t="s">
        <v>482</v>
      </c>
      <c r="B171" s="34" t="s">
        <v>483</v>
      </c>
      <c r="C171" s="37"/>
      <c r="D171" s="153">
        <f>D167</f>
        <v>78.63</v>
      </c>
    </row>
    <row r="172" spans="1:4" ht="15.75" collapsed="1">
      <c r="A172" s="663" t="s">
        <v>176</v>
      </c>
      <c r="B172" s="700"/>
      <c r="C172" s="664"/>
      <c r="D172" s="122">
        <f>SUM(D170:D171)</f>
        <v>78.63</v>
      </c>
    </row>
    <row r="173" spans="1:4" ht="15.75">
      <c r="A173" s="697"/>
      <c r="B173" s="698"/>
      <c r="C173" s="698"/>
      <c r="D173" s="699"/>
    </row>
    <row r="174" spans="1:4" ht="15.75">
      <c r="A174" s="668" t="s">
        <v>504</v>
      </c>
      <c r="B174" s="669"/>
      <c r="C174" s="669"/>
      <c r="D174" s="670"/>
    </row>
    <row r="175" spans="1:4" ht="15.75" hidden="1" outlineLevel="1">
      <c r="A175" s="697"/>
      <c r="B175" s="698"/>
      <c r="C175" s="698"/>
      <c r="D175" s="699"/>
    </row>
    <row r="176" spans="1:4" ht="15.75" hidden="1" outlineLevel="1">
      <c r="A176" s="66">
        <v>5</v>
      </c>
      <c r="B176" s="663" t="s">
        <v>505</v>
      </c>
      <c r="C176" s="664"/>
      <c r="D176" s="113" t="s">
        <v>352</v>
      </c>
    </row>
    <row r="177" spans="1:4" ht="15.75" hidden="1" outlineLevel="1">
      <c r="A177" s="114" t="s">
        <v>353</v>
      </c>
      <c r="B177" s="717" t="s">
        <v>506</v>
      </c>
      <c r="C177" s="718"/>
      <c r="D177" s="136">
        <f>INSUMOS!H21</f>
        <v>31.31</v>
      </c>
    </row>
    <row r="178" spans="1:4" ht="15.75" hidden="1" outlineLevel="1">
      <c r="A178" s="114" t="s">
        <v>322</v>
      </c>
      <c r="B178" s="717" t="s">
        <v>541</v>
      </c>
      <c r="C178" s="718"/>
      <c r="D178" s="154">
        <f>INSUMOS!H31</f>
        <v>6.61</v>
      </c>
    </row>
    <row r="179" spans="1:4" ht="15.75" hidden="1" outlineLevel="1">
      <c r="A179" s="114" t="s">
        <v>325</v>
      </c>
      <c r="B179" s="649" t="s">
        <v>508</v>
      </c>
      <c r="C179" s="650"/>
      <c r="D179" s="154">
        <f>MATERIAIS!F109</f>
        <v>765.36</v>
      </c>
    </row>
    <row r="180" spans="1:4" ht="15.75" hidden="1" outlineLevel="1">
      <c r="A180" s="114" t="s">
        <v>328</v>
      </c>
      <c r="B180" s="649" t="s">
        <v>509</v>
      </c>
      <c r="C180" s="650"/>
      <c r="D180" s="154">
        <f>EQUIPAMENTOS!G111</f>
        <v>43.69</v>
      </c>
    </row>
    <row r="181" spans="1:4" ht="15.75" hidden="1" outlineLevel="1">
      <c r="A181" s="114" t="s">
        <v>331</v>
      </c>
      <c r="B181" s="651" t="s">
        <v>372</v>
      </c>
      <c r="C181" s="652"/>
      <c r="D181" s="133">
        <v>0</v>
      </c>
    </row>
    <row r="182" spans="1:4" ht="15.75" hidden="1" outlineLevel="1">
      <c r="A182" s="114" t="s">
        <v>334</v>
      </c>
      <c r="B182" s="651" t="s">
        <v>372</v>
      </c>
      <c r="C182" s="652"/>
      <c r="D182" s="133">
        <v>0</v>
      </c>
    </row>
    <row r="183" spans="1:4" ht="15.75" collapsed="1">
      <c r="A183" s="663" t="s">
        <v>176</v>
      </c>
      <c r="B183" s="700"/>
      <c r="C183" s="664"/>
      <c r="D183" s="119">
        <f>SUM(D177:D181)</f>
        <v>846.97</v>
      </c>
    </row>
    <row r="184" spans="1:4" ht="15.75">
      <c r="A184" s="665"/>
      <c r="B184" s="666"/>
      <c r="C184" s="666"/>
      <c r="D184" s="667"/>
    </row>
    <row r="185" spans="1:4" ht="15.75">
      <c r="A185" s="723" t="s">
        <v>510</v>
      </c>
      <c r="B185" s="723"/>
      <c r="C185" s="723"/>
      <c r="D185" s="155">
        <f>D39+D83+D126+D172+D183</f>
        <v>3517.41</v>
      </c>
    </row>
    <row r="186" spans="1:4" ht="15.75">
      <c r="A186" s="679"/>
      <c r="B186" s="679"/>
      <c r="C186" s="679"/>
      <c r="D186" s="679"/>
    </row>
    <row r="187" spans="1:4" ht="15.75">
      <c r="A187" s="724" t="s">
        <v>511</v>
      </c>
      <c r="B187" s="724"/>
      <c r="C187" s="724"/>
      <c r="D187" s="724"/>
    </row>
    <row r="188" spans="1:4" ht="15.75" hidden="1" outlineLevel="1">
      <c r="A188" s="725"/>
      <c r="B188" s="726"/>
      <c r="C188" s="726"/>
      <c r="D188" s="727"/>
    </row>
    <row r="189" spans="1:4" ht="15.75" hidden="1" outlineLevel="1">
      <c r="A189" s="66">
        <v>6</v>
      </c>
      <c r="B189" s="120" t="s">
        <v>512</v>
      </c>
      <c r="C189" s="113" t="s">
        <v>383</v>
      </c>
      <c r="D189" s="113" t="s">
        <v>352</v>
      </c>
    </row>
    <row r="190" spans="1:4" ht="15.75" hidden="1" outlineLevel="1">
      <c r="A190" s="114" t="s">
        <v>353</v>
      </c>
      <c r="B190" s="34" t="s">
        <v>513</v>
      </c>
      <c r="C190" s="72">
        <f>'SR - ASG'!C189</f>
        <v>2.6499999999999999E-2</v>
      </c>
      <c r="D190" s="108">
        <f>C190*D185</f>
        <v>93.21</v>
      </c>
    </row>
    <row r="191" spans="1:4" ht="15.75" hidden="1" outlineLevel="1">
      <c r="A191" s="719" t="s">
        <v>514</v>
      </c>
      <c r="B191" s="720"/>
      <c r="C191" s="722"/>
      <c r="D191" s="108">
        <f>D185+D190</f>
        <v>3610.62</v>
      </c>
    </row>
    <row r="192" spans="1:4" ht="15.75" hidden="1" outlineLevel="1">
      <c r="A192" s="114" t="s">
        <v>322</v>
      </c>
      <c r="B192" s="34" t="s">
        <v>515</v>
      </c>
      <c r="C192" s="72">
        <f>'SR - ASG'!C191</f>
        <v>0.1087</v>
      </c>
      <c r="D192" s="108">
        <f>C192*D191</f>
        <v>392.47</v>
      </c>
    </row>
    <row r="193" spans="1:4" ht="15.75" hidden="1" outlineLevel="1">
      <c r="A193" s="719" t="s">
        <v>514</v>
      </c>
      <c r="B193" s="720"/>
      <c r="C193" s="720"/>
      <c r="D193" s="108">
        <f>D192+D191</f>
        <v>4003.09</v>
      </c>
    </row>
    <row r="194" spans="1:4" ht="15.75" hidden="1" outlineLevel="1">
      <c r="A194" s="114" t="s">
        <v>325</v>
      </c>
      <c r="B194" s="649" t="s">
        <v>516</v>
      </c>
      <c r="C194" s="721"/>
      <c r="D194" s="650"/>
    </row>
    <row r="195" spans="1:4" ht="15.75" hidden="1" outlineLevel="1">
      <c r="A195" s="156"/>
      <c r="B195" s="65" t="s">
        <v>517</v>
      </c>
      <c r="C195" s="72">
        <f>'SR - ASG'!C194</f>
        <v>6.4999999999999997E-3</v>
      </c>
      <c r="D195" s="108">
        <f>(D193/(1-C198)*C195)</f>
        <v>27.73</v>
      </c>
    </row>
    <row r="196" spans="1:4" ht="15.75" hidden="1" outlineLevel="1">
      <c r="A196" s="156"/>
      <c r="B196" s="65" t="s">
        <v>518</v>
      </c>
      <c r="C196" s="72">
        <f>'SR - ASG'!C195</f>
        <v>0.03</v>
      </c>
      <c r="D196" s="108">
        <f>(D193/(1-C198)*C196)</f>
        <v>127.96</v>
      </c>
    </row>
    <row r="197" spans="1:4" ht="15.75" hidden="1" outlineLevel="1">
      <c r="A197" s="156"/>
      <c r="B197" s="65" t="s">
        <v>519</v>
      </c>
      <c r="C197" s="54">
        <v>2.5000000000000001E-2</v>
      </c>
      <c r="D197" s="108">
        <f>(D193/(1-C198)*C197)</f>
        <v>106.64</v>
      </c>
    </row>
    <row r="198" spans="1:4" ht="15.75" hidden="1" outlineLevel="1">
      <c r="A198" s="719" t="s">
        <v>520</v>
      </c>
      <c r="B198" s="722"/>
      <c r="C198" s="55">
        <f>SUM(C195:C197)</f>
        <v>6.1499999999999999E-2</v>
      </c>
      <c r="D198" s="108">
        <f>SUM(D195:D197)</f>
        <v>262.33</v>
      </c>
    </row>
    <row r="199" spans="1:4" ht="15.75" collapsed="1">
      <c r="A199" s="663" t="s">
        <v>176</v>
      </c>
      <c r="B199" s="664"/>
      <c r="C199" s="56">
        <f>(1+C190)*(1+C192)*(1/(1-C198))-1</f>
        <v>0.2127</v>
      </c>
      <c r="D199" s="111">
        <f>SUM(D198+D190+D192)</f>
        <v>748.01</v>
      </c>
    </row>
    <row r="200" spans="1:4" ht="15.75">
      <c r="A200" s="665"/>
      <c r="B200" s="666"/>
      <c r="C200" s="666"/>
      <c r="D200" s="667"/>
    </row>
    <row r="201" spans="1:4" ht="15.75">
      <c r="A201" s="676" t="s">
        <v>521</v>
      </c>
      <c r="B201" s="678"/>
      <c r="C201" s="677"/>
      <c r="D201" s="57" t="s">
        <v>352</v>
      </c>
    </row>
    <row r="202" spans="1:4" ht="15.75">
      <c r="A202" s="661" t="s">
        <v>522</v>
      </c>
      <c r="B202" s="728"/>
      <c r="C202" s="728"/>
      <c r="D202" s="662"/>
    </row>
    <row r="203" spans="1:4" ht="15.75">
      <c r="A203" s="67" t="s">
        <v>353</v>
      </c>
      <c r="B203" s="661" t="s">
        <v>523</v>
      </c>
      <c r="C203" s="662"/>
      <c r="D203" s="107">
        <f>D39</f>
        <v>1314.09</v>
      </c>
    </row>
    <row r="204" spans="1:4" ht="15.75">
      <c r="A204" s="67" t="s">
        <v>322</v>
      </c>
      <c r="B204" s="661" t="s">
        <v>524</v>
      </c>
      <c r="C204" s="662"/>
      <c r="D204" s="107">
        <f>D83</f>
        <v>1168.53</v>
      </c>
    </row>
    <row r="205" spans="1:4" ht="15.75">
      <c r="A205" s="67" t="s">
        <v>325</v>
      </c>
      <c r="B205" s="661" t="s">
        <v>525</v>
      </c>
      <c r="C205" s="662"/>
      <c r="D205" s="107">
        <f>D126</f>
        <v>109.19</v>
      </c>
    </row>
    <row r="206" spans="1:4" ht="15.75">
      <c r="A206" s="67" t="s">
        <v>328</v>
      </c>
      <c r="B206" s="661" t="s">
        <v>526</v>
      </c>
      <c r="C206" s="662"/>
      <c r="D206" s="107">
        <f>D172</f>
        <v>78.63</v>
      </c>
    </row>
    <row r="207" spans="1:4" ht="15.75">
      <c r="A207" s="67" t="s">
        <v>331</v>
      </c>
      <c r="B207" s="661" t="s">
        <v>527</v>
      </c>
      <c r="C207" s="662"/>
      <c r="D207" s="107">
        <f>D183</f>
        <v>846.97</v>
      </c>
    </row>
    <row r="208" spans="1:4" ht="15.75">
      <c r="A208" s="738" t="s">
        <v>528</v>
      </c>
      <c r="B208" s="739"/>
      <c r="C208" s="740"/>
      <c r="D208" s="107">
        <f>SUM(D203:D207)</f>
        <v>3517.41</v>
      </c>
    </row>
    <row r="209" spans="1:4" ht="15.75">
      <c r="A209" s="67" t="s">
        <v>529</v>
      </c>
      <c r="B209" s="661" t="s">
        <v>530</v>
      </c>
      <c r="C209" s="662"/>
      <c r="D209" s="107">
        <f>D199</f>
        <v>748.01</v>
      </c>
    </row>
    <row r="210" spans="1:4" ht="15.75">
      <c r="A210" s="676" t="s">
        <v>531</v>
      </c>
      <c r="B210" s="678"/>
      <c r="C210" s="677"/>
      <c r="D210" s="157">
        <f xml:space="preserve"> D208+D209</f>
        <v>4265.42</v>
      </c>
    </row>
  </sheetData>
  <mergeCells count="107">
    <mergeCell ref="A208:C208"/>
    <mergeCell ref="B209:C209"/>
    <mergeCell ref="A210:C210"/>
    <mergeCell ref="A202:D202"/>
    <mergeCell ref="B203:C203"/>
    <mergeCell ref="B204:C204"/>
    <mergeCell ref="B205:C205"/>
    <mergeCell ref="B206:C206"/>
    <mergeCell ref="B207:C207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B181:C181"/>
    <mergeCell ref="B180:C180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BF530-639E-4091-85F7-44C678A437A8}">
  <sheetPr codeName="Planilha11">
    <pageSetUpPr fitToPage="1"/>
  </sheetPr>
  <dimension ref="A1:D210"/>
  <sheetViews>
    <sheetView view="pageBreakPreview" topLeftCell="A10" zoomScale="85" zoomScaleNormal="85" zoomScaleSheetLayoutView="85" workbookViewId="0">
      <selection activeCell="D178" sqref="D178"/>
    </sheetView>
  </sheetViews>
  <sheetFormatPr defaultColWidth="9.140625" defaultRowHeight="15" customHeight="1" outlineLevelRow="3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>
      <c r="A1" s="680" t="s">
        <v>313</v>
      </c>
      <c r="B1" s="680"/>
      <c r="C1" s="680"/>
      <c r="D1" s="680"/>
    </row>
    <row r="2" spans="1:4" ht="15.75">
      <c r="A2" s="681" t="s">
        <v>314</v>
      </c>
      <c r="B2" s="681"/>
      <c r="C2" s="682" t="s">
        <v>315</v>
      </c>
      <c r="D2" s="683"/>
    </row>
    <row r="3" spans="1:4" ht="15.75">
      <c r="A3" s="681" t="s">
        <v>316</v>
      </c>
      <c r="B3" s="681"/>
      <c r="C3" s="682" t="s">
        <v>317</v>
      </c>
      <c r="D3" s="683"/>
    </row>
    <row r="4" spans="1:4" ht="15.75">
      <c r="A4" s="653"/>
      <c r="B4" s="653"/>
      <c r="C4" s="653"/>
      <c r="D4" s="653"/>
    </row>
    <row r="5" spans="1:4" ht="15.75">
      <c r="A5" s="653" t="s">
        <v>318</v>
      </c>
      <c r="B5" s="653"/>
      <c r="C5" s="653"/>
      <c r="D5" s="653"/>
    </row>
    <row r="6" spans="1:4" ht="15.75">
      <c r="A6" s="67" t="s">
        <v>319</v>
      </c>
      <c r="B6" s="65" t="s">
        <v>320</v>
      </c>
      <c r="C6" s="654" t="s">
        <v>321</v>
      </c>
      <c r="D6" s="655"/>
    </row>
    <row r="7" spans="1:4" ht="15.75">
      <c r="A7" s="67" t="s">
        <v>322</v>
      </c>
      <c r="B7" s="65" t="s">
        <v>323</v>
      </c>
      <c r="C7" s="656" t="s">
        <v>324</v>
      </c>
      <c r="D7" s="656"/>
    </row>
    <row r="8" spans="1:4" ht="15.75">
      <c r="A8" s="28" t="s">
        <v>325</v>
      </c>
      <c r="B8" s="29" t="s">
        <v>326</v>
      </c>
      <c r="C8" s="657" t="s">
        <v>327</v>
      </c>
      <c r="D8" s="658"/>
    </row>
    <row r="9" spans="1:4" ht="15.75">
      <c r="A9" s="67" t="s">
        <v>328</v>
      </c>
      <c r="B9" s="65" t="s">
        <v>329</v>
      </c>
      <c r="C9" s="659" t="s">
        <v>330</v>
      </c>
      <c r="D9" s="660"/>
    </row>
    <row r="10" spans="1:4" ht="15.75">
      <c r="A10" s="67" t="s">
        <v>331</v>
      </c>
      <c r="B10" s="65" t="s">
        <v>332</v>
      </c>
      <c r="C10" s="659" t="s">
        <v>38</v>
      </c>
      <c r="D10" s="660"/>
    </row>
    <row r="11" spans="1:4" ht="15.75">
      <c r="A11" s="67" t="s">
        <v>334</v>
      </c>
      <c r="B11" s="65" t="s">
        <v>335</v>
      </c>
      <c r="C11" s="733">
        <f>Resumo!F8</f>
        <v>1</v>
      </c>
      <c r="D11" s="734"/>
    </row>
    <row r="12" spans="1:4" ht="15.75">
      <c r="A12" s="67" t="s">
        <v>394</v>
      </c>
      <c r="B12" s="65" t="s">
        <v>337</v>
      </c>
      <c r="C12" s="688">
        <f>Resumo!I5</f>
        <v>20</v>
      </c>
      <c r="D12" s="675"/>
    </row>
    <row r="13" spans="1:4" ht="15.75">
      <c r="A13" s="689"/>
      <c r="B13" s="690"/>
      <c r="C13" s="690"/>
      <c r="D13" s="690"/>
    </row>
    <row r="14" spans="1:4" ht="15.75">
      <c r="A14" s="691" t="s">
        <v>338</v>
      </c>
      <c r="B14" s="692"/>
      <c r="C14" s="692"/>
      <c r="D14" s="693"/>
    </row>
    <row r="15" spans="1:4" ht="15.75">
      <c r="A15" s="656" t="s">
        <v>339</v>
      </c>
      <c r="B15" s="656"/>
      <c r="C15" s="656"/>
      <c r="D15" s="656"/>
    </row>
    <row r="16" spans="1:4" ht="15.75">
      <c r="A16" s="67">
        <v>1</v>
      </c>
      <c r="B16" s="65" t="s">
        <v>340</v>
      </c>
      <c r="C16" s="659" t="s">
        <v>546</v>
      </c>
      <c r="D16" s="660" t="s">
        <v>62</v>
      </c>
    </row>
    <row r="17" spans="1:4" ht="15.75">
      <c r="A17" s="67">
        <v>2</v>
      </c>
      <c r="B17" s="30" t="s">
        <v>342</v>
      </c>
      <c r="C17" s="684" t="s">
        <v>547</v>
      </c>
      <c r="D17" s="685"/>
    </row>
    <row r="18" spans="1:4" ht="15.75">
      <c r="A18" s="656" t="s">
        <v>344</v>
      </c>
      <c r="B18" s="656"/>
      <c r="C18" s="656"/>
      <c r="D18" s="656"/>
    </row>
    <row r="19" spans="1:4" ht="15.75">
      <c r="A19" s="67">
        <v>3</v>
      </c>
      <c r="B19" s="661" t="s">
        <v>345</v>
      </c>
      <c r="C19" s="662"/>
      <c r="D19" s="106">
        <f>'SR - ASG'!D19</f>
        <v>1314.09</v>
      </c>
    </row>
    <row r="20" spans="1:4" ht="15.75">
      <c r="A20" s="67">
        <v>4</v>
      </c>
      <c r="B20" s="661" t="s">
        <v>346</v>
      </c>
      <c r="C20" s="662"/>
      <c r="D20" s="158">
        <v>220</v>
      </c>
    </row>
    <row r="21" spans="1:4" ht="15.75">
      <c r="A21" s="67">
        <v>5</v>
      </c>
      <c r="B21" s="661" t="s">
        <v>347</v>
      </c>
      <c r="C21" s="662"/>
      <c r="D21" s="75" t="s">
        <v>40</v>
      </c>
    </row>
    <row r="22" spans="1:4" ht="15.75">
      <c r="A22" s="67">
        <v>6</v>
      </c>
      <c r="B22" s="661" t="s">
        <v>349</v>
      </c>
      <c r="C22" s="662"/>
      <c r="D22" s="76">
        <v>44562</v>
      </c>
    </row>
    <row r="23" spans="1:4" ht="15.75">
      <c r="A23" s="659"/>
      <c r="B23" s="671"/>
      <c r="C23" s="671"/>
      <c r="D23" s="660"/>
    </row>
    <row r="24" spans="1:4" ht="15.75">
      <c r="A24" s="672" t="s">
        <v>350</v>
      </c>
      <c r="B24" s="672"/>
      <c r="C24" s="672"/>
      <c r="D24" s="672"/>
    </row>
    <row r="25" spans="1:4" ht="15.75">
      <c r="A25" s="673"/>
      <c r="B25" s="674"/>
      <c r="C25" s="674"/>
      <c r="D25" s="675"/>
    </row>
    <row r="26" spans="1:4" ht="15.75">
      <c r="A26" s="66">
        <v>1</v>
      </c>
      <c r="B26" s="676" t="s">
        <v>351</v>
      </c>
      <c r="C26" s="677"/>
      <c r="D26" s="66" t="s">
        <v>352</v>
      </c>
    </row>
    <row r="27" spans="1:4" ht="15.75" hidden="1" outlineLevel="1">
      <c r="A27" s="67" t="s">
        <v>353</v>
      </c>
      <c r="B27" s="65" t="s">
        <v>354</v>
      </c>
      <c r="C27" s="73">
        <f>'SR - ASG'!C27</f>
        <v>220</v>
      </c>
      <c r="D27" s="107">
        <f>D19/220*C27</f>
        <v>1314.09</v>
      </c>
    </row>
    <row r="28" spans="1:4" ht="15.75" hidden="1" outlineLevel="1">
      <c r="A28" s="67" t="s">
        <v>322</v>
      </c>
      <c r="B28" s="65" t="s">
        <v>355</v>
      </c>
      <c r="C28" s="31">
        <v>0</v>
      </c>
      <c r="D28" s="107">
        <f>C28*D27</f>
        <v>0</v>
      </c>
    </row>
    <row r="29" spans="1:4" ht="15.75" hidden="1" outlineLevel="1">
      <c r="A29" s="67" t="s">
        <v>325</v>
      </c>
      <c r="B29" s="65" t="s">
        <v>356</v>
      </c>
      <c r="C29" s="31">
        <v>0</v>
      </c>
      <c r="D29" s="107">
        <f>C29*D27</f>
        <v>0</v>
      </c>
    </row>
    <row r="30" spans="1:4" ht="15.75" hidden="1" outlineLevel="1">
      <c r="A30" s="67" t="s">
        <v>328</v>
      </c>
      <c r="B30" s="65" t="s">
        <v>357</v>
      </c>
      <c r="C30" s="159">
        <v>0</v>
      </c>
      <c r="D30" s="108">
        <f>SUM(D31:D32)</f>
        <v>0</v>
      </c>
    </row>
    <row r="31" spans="1:4" ht="15.75" hidden="1" outlineLevel="2">
      <c r="A31" s="80" t="s">
        <v>358</v>
      </c>
      <c r="B31" s="65" t="s">
        <v>359</v>
      </c>
      <c r="C31" s="81">
        <v>0.2</v>
      </c>
      <c r="D31" s="108">
        <f>(SUM(D27:D29)/C27)*C31*15*C30</f>
        <v>0</v>
      </c>
    </row>
    <row r="32" spans="1:4" ht="15.75" hidden="1" outlineLevel="2">
      <c r="A32" s="80" t="s">
        <v>360</v>
      </c>
      <c r="B32" s="65" t="s">
        <v>361</v>
      </c>
      <c r="C32" s="82">
        <f>C30*(60/52.5)/8</f>
        <v>0</v>
      </c>
      <c r="D32" s="108">
        <f>(SUM(D27:D29)/C27)*(C31)*15*C32</f>
        <v>0</v>
      </c>
    </row>
    <row r="33" spans="1:4" ht="15.75" hidden="1" outlineLevel="1">
      <c r="A33" s="67" t="s">
        <v>331</v>
      </c>
      <c r="B33" s="65" t="s">
        <v>362</v>
      </c>
      <c r="C33" s="31" t="s">
        <v>363</v>
      </c>
      <c r="D33" s="1">
        <f>SUM(D34:D37)</f>
        <v>0</v>
      </c>
    </row>
    <row r="34" spans="1:4" ht="15.75" hidden="1" outlineLevel="2">
      <c r="A34" s="83" t="s">
        <v>364</v>
      </c>
      <c r="B34" s="84" t="s">
        <v>365</v>
      </c>
      <c r="C34" s="85">
        <v>0</v>
      </c>
      <c r="D34" s="109">
        <f>(SUM($D$27:$D$29)/$C$27)*C34*1.5</f>
        <v>0</v>
      </c>
    </row>
    <row r="35" spans="1:4" ht="15.75" hidden="1" outlineLevel="2">
      <c r="A35" s="83" t="s">
        <v>366</v>
      </c>
      <c r="B35" s="86" t="s">
        <v>367</v>
      </c>
      <c r="C35" s="87">
        <v>0</v>
      </c>
      <c r="D35" s="109">
        <f>(SUM($D$27:$D$29)/$C$27)*C35*((60/52.5)*1.2*1.5)</f>
        <v>0</v>
      </c>
    </row>
    <row r="36" spans="1:4" ht="15.75" hidden="1" outlineLevel="2">
      <c r="A36" s="83" t="s">
        <v>368</v>
      </c>
      <c r="B36" s="84" t="s">
        <v>369</v>
      </c>
      <c r="C36" s="88">
        <f>C34*0.1429</f>
        <v>0</v>
      </c>
      <c r="D36" s="109">
        <f>(SUM($D$27:$D$29)/$C$27)*C36*2</f>
        <v>0</v>
      </c>
    </row>
    <row r="37" spans="1:4" ht="15.75" hidden="1" outlineLevel="2">
      <c r="A37" s="83" t="s">
        <v>370</v>
      </c>
      <c r="B37" s="84" t="s">
        <v>371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>
      <c r="A38" s="67" t="s">
        <v>334</v>
      </c>
      <c r="B38" s="58" t="s">
        <v>372</v>
      </c>
      <c r="C38" s="59">
        <v>0</v>
      </c>
      <c r="D38" s="110">
        <v>0</v>
      </c>
    </row>
    <row r="39" spans="1:4" ht="15.75" collapsed="1">
      <c r="A39" s="676" t="s">
        <v>373</v>
      </c>
      <c r="B39" s="678"/>
      <c r="C39" s="677"/>
      <c r="D39" s="111">
        <f>SUM(D27:D30,D33,D38)</f>
        <v>1314.09</v>
      </c>
    </row>
    <row r="40" spans="1:4" ht="15.75">
      <c r="A40" s="679"/>
      <c r="B40" s="679"/>
      <c r="C40" s="679"/>
      <c r="D40" s="679"/>
    </row>
    <row r="41" spans="1:4" ht="15.75" hidden="1" outlineLevel="1">
      <c r="A41" s="89" t="s">
        <v>374</v>
      </c>
      <c r="B41" s="112" t="s">
        <v>375</v>
      </c>
      <c r="C41" s="113" t="s">
        <v>376</v>
      </c>
      <c r="D41" s="113" t="s">
        <v>352</v>
      </c>
    </row>
    <row r="42" spans="1:4" ht="15.75" hidden="1" outlineLevel="1">
      <c r="A42" s="114" t="s">
        <v>353</v>
      </c>
      <c r="B42" s="30" t="s">
        <v>377</v>
      </c>
      <c r="C42" s="90">
        <v>0</v>
      </c>
      <c r="D42" s="115">
        <f>(SUM(D27)/$C$27)*C42*1.5</f>
        <v>0</v>
      </c>
    </row>
    <row r="43" spans="1:4" ht="15.75" hidden="1" outlineLevel="1">
      <c r="A43" s="116" t="s">
        <v>325</v>
      </c>
      <c r="B43" s="117" t="s">
        <v>378</v>
      </c>
      <c r="C43" s="118">
        <v>0</v>
      </c>
      <c r="D43" s="107">
        <f>C43*177</f>
        <v>0</v>
      </c>
    </row>
    <row r="44" spans="1:4" ht="15.75" hidden="1" outlineLevel="1">
      <c r="A44" s="67" t="s">
        <v>328</v>
      </c>
      <c r="B44" s="58" t="s">
        <v>372</v>
      </c>
      <c r="C44" s="59">
        <v>0</v>
      </c>
      <c r="D44" s="110">
        <v>0</v>
      </c>
    </row>
    <row r="45" spans="1:4" ht="15.75" collapsed="1">
      <c r="A45" s="663" t="s">
        <v>379</v>
      </c>
      <c r="B45" s="664"/>
      <c r="C45" s="33">
        <f>D45/D39</f>
        <v>0</v>
      </c>
      <c r="D45" s="119">
        <f>SUM(D42:D43)</f>
        <v>0</v>
      </c>
    </row>
    <row r="46" spans="1:4" ht="15.75">
      <c r="A46" s="665"/>
      <c r="B46" s="666"/>
      <c r="C46" s="666"/>
      <c r="D46" s="667"/>
    </row>
    <row r="47" spans="1:4" ht="15.75">
      <c r="A47" s="668" t="s">
        <v>380</v>
      </c>
      <c r="B47" s="669"/>
      <c r="C47" s="669"/>
      <c r="D47" s="670"/>
    </row>
    <row r="48" spans="1:4" ht="15.75" hidden="1" outlineLevel="1">
      <c r="A48" s="665"/>
      <c r="B48" s="666"/>
      <c r="C48" s="666"/>
      <c r="D48" s="667"/>
    </row>
    <row r="49" spans="1:4" ht="15.75" hidden="1" outlineLevel="1">
      <c r="A49" s="113" t="s">
        <v>381</v>
      </c>
      <c r="B49" s="112" t="s">
        <v>382</v>
      </c>
      <c r="C49" s="113" t="s">
        <v>383</v>
      </c>
      <c r="D49" s="113" t="s">
        <v>352</v>
      </c>
    </row>
    <row r="50" spans="1:4" ht="15.75" hidden="1" outlineLevel="2">
      <c r="A50" s="116" t="s">
        <v>353</v>
      </c>
      <c r="B50" s="117" t="s">
        <v>384</v>
      </c>
      <c r="C50" s="32">
        <f>1/12</f>
        <v>8.3299999999999999E-2</v>
      </c>
      <c r="D50" s="107">
        <f>C50*D39</f>
        <v>109.46</v>
      </c>
    </row>
    <row r="51" spans="1:4" ht="15.75" hidden="1" outlineLevel="2">
      <c r="A51" s="116" t="s">
        <v>322</v>
      </c>
      <c r="B51" s="117" t="s">
        <v>385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21.95</v>
      </c>
    </row>
    <row r="52" spans="1:4" ht="15.75" hidden="1" outlineLevel="1">
      <c r="A52" s="663" t="s">
        <v>176</v>
      </c>
      <c r="B52" s="664"/>
      <c r="C52" s="33">
        <f>SUM(C50:C51)</f>
        <v>0.1</v>
      </c>
      <c r="D52" s="119">
        <f>SUM(D50:D51)</f>
        <v>131.41</v>
      </c>
    </row>
    <row r="53" spans="1:4" ht="15.75" hidden="1" outlineLevel="1">
      <c r="A53" s="665"/>
      <c r="B53" s="666"/>
      <c r="C53" s="666"/>
      <c r="D53" s="667"/>
    </row>
    <row r="54" spans="1:4" ht="15.75" hidden="1" outlineLevel="1">
      <c r="A54" s="113" t="s">
        <v>386</v>
      </c>
      <c r="B54" s="120" t="s">
        <v>387</v>
      </c>
      <c r="C54" s="113" t="s">
        <v>383</v>
      </c>
      <c r="D54" s="121" t="s">
        <v>352</v>
      </c>
    </row>
    <row r="55" spans="1:4" ht="15.75" hidden="1" outlineLevel="2">
      <c r="A55" s="114" t="s">
        <v>353</v>
      </c>
      <c r="B55" s="34" t="s">
        <v>388</v>
      </c>
      <c r="C55" s="35">
        <v>0.2</v>
      </c>
      <c r="D55" s="107">
        <f t="shared" ref="D55:D62" si="0">C55*($D$39+$D$52)</f>
        <v>289.10000000000002</v>
      </c>
    </row>
    <row r="56" spans="1:4" ht="15.75" hidden="1" outlineLevel="2">
      <c r="A56" s="114" t="s">
        <v>322</v>
      </c>
      <c r="B56" s="34" t="s">
        <v>389</v>
      </c>
      <c r="C56" s="35">
        <v>2.5000000000000001E-2</v>
      </c>
      <c r="D56" s="107">
        <f t="shared" si="0"/>
        <v>36.14</v>
      </c>
    </row>
    <row r="57" spans="1:4" ht="15.75" hidden="1" outlineLevel="2">
      <c r="A57" s="114" t="s">
        <v>325</v>
      </c>
      <c r="B57" s="34" t="s">
        <v>390</v>
      </c>
      <c r="C57" s="68">
        <v>0.03</v>
      </c>
      <c r="D57" s="107">
        <f t="shared" si="0"/>
        <v>43.37</v>
      </c>
    </row>
    <row r="58" spans="1:4" ht="15.75" hidden="1" outlineLevel="2">
      <c r="A58" s="114" t="s">
        <v>328</v>
      </c>
      <c r="B58" s="34" t="s">
        <v>391</v>
      </c>
      <c r="C58" s="35">
        <v>1.4999999999999999E-2</v>
      </c>
      <c r="D58" s="107">
        <f t="shared" si="0"/>
        <v>21.68</v>
      </c>
    </row>
    <row r="59" spans="1:4" ht="15.75" hidden="1" outlineLevel="2">
      <c r="A59" s="114" t="s">
        <v>331</v>
      </c>
      <c r="B59" s="34" t="s">
        <v>392</v>
      </c>
      <c r="C59" s="35">
        <v>0.01</v>
      </c>
      <c r="D59" s="107">
        <f t="shared" si="0"/>
        <v>14.46</v>
      </c>
    </row>
    <row r="60" spans="1:4" ht="15.75" hidden="1" outlineLevel="2">
      <c r="A60" s="114" t="s">
        <v>334</v>
      </c>
      <c r="B60" s="34" t="s">
        <v>393</v>
      </c>
      <c r="C60" s="35">
        <v>6.0000000000000001E-3</v>
      </c>
      <c r="D60" s="107">
        <f t="shared" si="0"/>
        <v>8.67</v>
      </c>
    </row>
    <row r="61" spans="1:4" ht="15.75" hidden="1" outlineLevel="2">
      <c r="A61" s="114" t="s">
        <v>394</v>
      </c>
      <c r="B61" s="34" t="s">
        <v>395</v>
      </c>
      <c r="C61" s="35">
        <v>2E-3</v>
      </c>
      <c r="D61" s="107">
        <f t="shared" si="0"/>
        <v>2.89</v>
      </c>
    </row>
    <row r="62" spans="1:4" ht="15.75" hidden="1" outlineLevel="2">
      <c r="A62" s="114" t="s">
        <v>336</v>
      </c>
      <c r="B62" s="34" t="s">
        <v>396</v>
      </c>
      <c r="C62" s="35">
        <v>0.08</v>
      </c>
      <c r="D62" s="107">
        <f t="shared" si="0"/>
        <v>115.64</v>
      </c>
    </row>
    <row r="63" spans="1:4" ht="15.75" hidden="1" outlineLevel="1">
      <c r="A63" s="663" t="s">
        <v>176</v>
      </c>
      <c r="B63" s="664"/>
      <c r="C63" s="36">
        <f>SUM(C55:C62)</f>
        <v>0.36799999999999999</v>
      </c>
      <c r="D63" s="122">
        <f>SUM(D55:D62)</f>
        <v>531.95000000000005</v>
      </c>
    </row>
    <row r="64" spans="1:4" ht="15.75" hidden="1" outlineLevel="1">
      <c r="A64" s="665"/>
      <c r="B64" s="666"/>
      <c r="C64" s="666"/>
      <c r="D64" s="667"/>
    </row>
    <row r="65" spans="1:4" ht="15.75" hidden="1" outlineLevel="1">
      <c r="A65" s="113" t="s">
        <v>397</v>
      </c>
      <c r="B65" s="120" t="s">
        <v>398</v>
      </c>
      <c r="C65" s="113" t="s">
        <v>399</v>
      </c>
      <c r="D65" s="113" t="s">
        <v>352</v>
      </c>
    </row>
    <row r="66" spans="1:4" ht="15.75" hidden="1" outlineLevel="2">
      <c r="A66" s="114" t="s">
        <v>353</v>
      </c>
      <c r="B66" s="34" t="s">
        <v>400</v>
      </c>
      <c r="C66" s="123">
        <f>'SR - ASG'!C66</f>
        <v>4.8</v>
      </c>
      <c r="D66" s="124">
        <f>IF(D67+D68&gt;0,(D67+D68),0)</f>
        <v>122.75</v>
      </c>
    </row>
    <row r="67" spans="1:4" ht="15.75" hidden="1" outlineLevel="3">
      <c r="A67" s="125" t="s">
        <v>401</v>
      </c>
      <c r="B67" s="34" t="s">
        <v>402</v>
      </c>
      <c r="C67" s="126">
        <v>21</v>
      </c>
      <c r="D67" s="127">
        <f>C66*C67*2</f>
        <v>201.6</v>
      </c>
    </row>
    <row r="68" spans="1:4" ht="15.75" hidden="1" outlineLevel="3">
      <c r="A68" s="125" t="s">
        <v>403</v>
      </c>
      <c r="B68" s="34" t="s">
        <v>404</v>
      </c>
      <c r="C68" s="128">
        <v>0.06</v>
      </c>
      <c r="D68" s="127">
        <f>-D27*C68</f>
        <v>-78.849999999999994</v>
      </c>
    </row>
    <row r="69" spans="1:4" ht="15.75" hidden="1" outlineLevel="2">
      <c r="A69" s="114" t="s">
        <v>322</v>
      </c>
      <c r="B69" s="34" t="s">
        <v>405</v>
      </c>
      <c r="C69" s="129">
        <f>'SR - ASG'!C69</f>
        <v>20.18</v>
      </c>
      <c r="D69" s="124">
        <f>D70+D71</f>
        <v>343.26</v>
      </c>
    </row>
    <row r="70" spans="1:4" ht="15.75" hidden="1" outlineLevel="3">
      <c r="A70" s="125" t="s">
        <v>406</v>
      </c>
      <c r="B70" s="34" t="s">
        <v>407</v>
      </c>
      <c r="C70" s="126">
        <v>21</v>
      </c>
      <c r="D70" s="127">
        <f>C69*C70</f>
        <v>423.78</v>
      </c>
    </row>
    <row r="71" spans="1:4" ht="15.75" hidden="1" outlineLevel="3">
      <c r="A71" s="125" t="s">
        <v>408</v>
      </c>
      <c r="B71" s="34" t="s">
        <v>409</v>
      </c>
      <c r="C71" s="130">
        <v>-0.19</v>
      </c>
      <c r="D71" s="127">
        <f>D70*C71</f>
        <v>-80.52</v>
      </c>
    </row>
    <row r="72" spans="1:4" ht="15.75" hidden="1" outlineLevel="2">
      <c r="A72" s="114" t="s">
        <v>325</v>
      </c>
      <c r="B72" s="77" t="s">
        <v>410</v>
      </c>
      <c r="C72" s="129">
        <v>17.32</v>
      </c>
      <c r="D72" s="132">
        <f>C72</f>
        <v>17.32</v>
      </c>
    </row>
    <row r="73" spans="1:4" ht="15.75" hidden="1" outlineLevel="2">
      <c r="A73" s="114" t="s">
        <v>328</v>
      </c>
      <c r="B73" s="78" t="s">
        <v>411</v>
      </c>
      <c r="C73" s="129">
        <f>140*3</f>
        <v>420</v>
      </c>
      <c r="D73" s="132">
        <f>C73*C152</f>
        <v>0.84</v>
      </c>
    </row>
    <row r="74" spans="1:4" ht="15.75" hidden="1" outlineLevel="2">
      <c r="A74" s="114" t="s">
        <v>331</v>
      </c>
      <c r="B74" s="77" t="s">
        <v>412</v>
      </c>
      <c r="C74" s="129">
        <v>21</v>
      </c>
      <c r="D74" s="132">
        <f>C74</f>
        <v>21</v>
      </c>
    </row>
    <row r="75" spans="1:4" ht="15.75" hidden="1" outlineLevel="2">
      <c r="A75" s="114" t="s">
        <v>334</v>
      </c>
      <c r="B75" s="77" t="s">
        <v>372</v>
      </c>
      <c r="C75" s="131">
        <v>0</v>
      </c>
      <c r="D75" s="132">
        <f>C75*D39</f>
        <v>0</v>
      </c>
    </row>
    <row r="76" spans="1:4" ht="15.75" hidden="1" outlineLevel="2">
      <c r="A76" s="114" t="s">
        <v>394</v>
      </c>
      <c r="B76" s="77" t="s">
        <v>372</v>
      </c>
      <c r="C76" s="129">
        <v>0</v>
      </c>
      <c r="D76" s="133">
        <f>C76</f>
        <v>0</v>
      </c>
    </row>
    <row r="77" spans="1:4" ht="15.75" hidden="1" outlineLevel="1">
      <c r="A77" s="663" t="s">
        <v>413</v>
      </c>
      <c r="B77" s="700"/>
      <c r="C77" s="664"/>
      <c r="D77" s="119">
        <f>SUM(D66,D69,D72:D76)</f>
        <v>505.17</v>
      </c>
    </row>
    <row r="78" spans="1:4" ht="15.75" hidden="1" outlineLevel="1">
      <c r="A78" s="665"/>
      <c r="B78" s="666"/>
      <c r="C78" s="666"/>
      <c r="D78" s="667"/>
    </row>
    <row r="79" spans="1:4" ht="15.75" hidden="1" outlineLevel="1">
      <c r="A79" s="701" t="s">
        <v>414</v>
      </c>
      <c r="B79" s="702"/>
      <c r="C79" s="113" t="s">
        <v>383</v>
      </c>
      <c r="D79" s="113" t="s">
        <v>352</v>
      </c>
    </row>
    <row r="80" spans="1:4" ht="15.75" hidden="1" outlineLevel="1">
      <c r="A80" s="114" t="s">
        <v>415</v>
      </c>
      <c r="B80" s="34" t="s">
        <v>382</v>
      </c>
      <c r="C80" s="37">
        <f>C52</f>
        <v>0.1</v>
      </c>
      <c r="D80" s="107">
        <f>D52</f>
        <v>131.41</v>
      </c>
    </row>
    <row r="81" spans="1:4" ht="15.75" hidden="1" outlineLevel="1">
      <c r="A81" s="114" t="s">
        <v>386</v>
      </c>
      <c r="B81" s="34" t="s">
        <v>387</v>
      </c>
      <c r="C81" s="37">
        <f>C63</f>
        <v>0.36799999999999999</v>
      </c>
      <c r="D81" s="107">
        <f>D63</f>
        <v>531.95000000000005</v>
      </c>
    </row>
    <row r="82" spans="1:4" ht="15.75" hidden="1" outlineLevel="1">
      <c r="A82" s="114" t="s">
        <v>416</v>
      </c>
      <c r="B82" s="34" t="s">
        <v>398</v>
      </c>
      <c r="C82" s="37">
        <f>D77/D39</f>
        <v>0.38440000000000002</v>
      </c>
      <c r="D82" s="107">
        <f>D77</f>
        <v>505.17</v>
      </c>
    </row>
    <row r="83" spans="1:4" ht="15.75" collapsed="1">
      <c r="A83" s="663" t="s">
        <v>176</v>
      </c>
      <c r="B83" s="700"/>
      <c r="C83" s="664"/>
      <c r="D83" s="119">
        <f>SUM(D80:D82)</f>
        <v>1168.53</v>
      </c>
    </row>
    <row r="84" spans="1:4" ht="15.75">
      <c r="A84" s="665"/>
      <c r="B84" s="666"/>
      <c r="C84" s="666"/>
      <c r="D84" s="667"/>
    </row>
    <row r="85" spans="1:4" ht="15.75">
      <c r="A85" s="694" t="s">
        <v>417</v>
      </c>
      <c r="B85" s="695"/>
      <c r="C85" s="695"/>
      <c r="D85" s="696"/>
    </row>
    <row r="86" spans="1:4" ht="15.75" hidden="1" outlineLevel="1">
      <c r="A86" s="665"/>
      <c r="B86" s="666"/>
      <c r="C86" s="666"/>
      <c r="D86" s="667"/>
    </row>
    <row r="87" spans="1:4" ht="15.75" hidden="1" outlineLevel="1">
      <c r="A87" s="66" t="s">
        <v>418</v>
      </c>
      <c r="B87" s="112" t="s">
        <v>419</v>
      </c>
      <c r="C87" s="113" t="s">
        <v>383</v>
      </c>
      <c r="D87" s="113" t="s">
        <v>352</v>
      </c>
    </row>
    <row r="88" spans="1:4" ht="15.75" hidden="1" outlineLevel="2">
      <c r="A88" s="38" t="s">
        <v>353</v>
      </c>
      <c r="B88" s="39" t="s">
        <v>420</v>
      </c>
      <c r="C88" s="38" t="s">
        <v>363</v>
      </c>
      <c r="D88" s="134">
        <f>IF(C99&gt;1,SUM(D89:D92)*2,SUM(D89:D92))</f>
        <v>1851.78</v>
      </c>
    </row>
    <row r="89" spans="1:4" ht="15.75" hidden="1" outlineLevel="3">
      <c r="A89" s="40" t="s">
        <v>421</v>
      </c>
      <c r="B89" s="41" t="s">
        <v>422</v>
      </c>
      <c r="C89" s="38">
        <f>(IF(C12&gt;60,45,IF(C12&gt;48,42,IF(C12&gt;36,39,IF(C12&gt;24,36,IF(C12&gt;12,33,30)))))/30)</f>
        <v>1.1000000000000001</v>
      </c>
      <c r="D89" s="134">
        <f>D39*C89</f>
        <v>1445.5</v>
      </c>
    </row>
    <row r="90" spans="1:4" ht="15.75" hidden="1" outlineLevel="3">
      <c r="A90" s="40" t="s">
        <v>423</v>
      </c>
      <c r="B90" s="41" t="s">
        <v>424</v>
      </c>
      <c r="C90" s="32">
        <f>1/12</f>
        <v>8.3299999999999999E-2</v>
      </c>
      <c r="D90" s="134">
        <f>C90*D89</f>
        <v>120.41</v>
      </c>
    </row>
    <row r="91" spans="1:4" ht="15.75" hidden="1" outlineLevel="3">
      <c r="A91" s="40" t="s">
        <v>425</v>
      </c>
      <c r="B91" s="41" t="s">
        <v>426</v>
      </c>
      <c r="C91" s="32">
        <f>(1/12)+(1/12/3)</f>
        <v>0.1111</v>
      </c>
      <c r="D91" s="135">
        <f>C91*D89</f>
        <v>160.6</v>
      </c>
    </row>
    <row r="92" spans="1:4" ht="15.75" hidden="1" outlineLevel="3">
      <c r="A92" s="40" t="s">
        <v>427</v>
      </c>
      <c r="B92" s="41" t="s">
        <v>428</v>
      </c>
      <c r="C92" s="42">
        <v>0.08</v>
      </c>
      <c r="D92" s="134">
        <f>SUM(D89:D90)*C92</f>
        <v>125.27</v>
      </c>
    </row>
    <row r="93" spans="1:4" ht="15.75" hidden="1" outlineLevel="2">
      <c r="A93" s="38" t="s">
        <v>322</v>
      </c>
      <c r="B93" s="39" t="s">
        <v>429</v>
      </c>
      <c r="C93" s="43">
        <v>0.4</v>
      </c>
      <c r="D93" s="134">
        <f>C93*D94</f>
        <v>926.52</v>
      </c>
    </row>
    <row r="94" spans="1:4" ht="15.75" hidden="1" outlineLevel="3">
      <c r="A94" s="38" t="s">
        <v>430</v>
      </c>
      <c r="B94" s="39" t="s">
        <v>431</v>
      </c>
      <c r="C94" s="43">
        <f>C62</f>
        <v>0.08</v>
      </c>
      <c r="D94" s="134">
        <f>C94*D95</f>
        <v>2316.3000000000002</v>
      </c>
    </row>
    <row r="95" spans="1:4" ht="15.75" hidden="1" outlineLevel="3">
      <c r="A95" s="38" t="s">
        <v>432</v>
      </c>
      <c r="B95" s="44" t="s">
        <v>433</v>
      </c>
      <c r="C95" s="45" t="s">
        <v>363</v>
      </c>
      <c r="D95" s="135">
        <f>SUM(D96:D98)</f>
        <v>28953.78</v>
      </c>
    </row>
    <row r="96" spans="1:4" ht="15.75" hidden="1" outlineLevel="3">
      <c r="A96" s="40" t="s">
        <v>434</v>
      </c>
      <c r="B96" s="41" t="s">
        <v>435</v>
      </c>
      <c r="C96" s="46">
        <f>C12-C98</f>
        <v>19</v>
      </c>
      <c r="D96" s="134">
        <f>D39*C96</f>
        <v>24967.71</v>
      </c>
    </row>
    <row r="97" spans="1:4" ht="15.75" hidden="1" outlineLevel="3">
      <c r="A97" s="40" t="s">
        <v>436</v>
      </c>
      <c r="B97" s="41" t="s">
        <v>437</v>
      </c>
      <c r="C97" s="47">
        <f>C12/12</f>
        <v>1.7</v>
      </c>
      <c r="D97" s="134">
        <f>D39*C97</f>
        <v>2233.9499999999998</v>
      </c>
    </row>
    <row r="98" spans="1:4" ht="15.75" hidden="1" outlineLevel="3">
      <c r="A98" s="40" t="s">
        <v>438</v>
      </c>
      <c r="B98" s="41" t="s">
        <v>439</v>
      </c>
      <c r="C98" s="45">
        <f>IF(C12&gt;60,5,IF(C12&gt;48,4,IF(C12&gt;36,3,IF(C12&gt;24,2,IF(C12&gt;12,1,0)))))</f>
        <v>1</v>
      </c>
      <c r="D98" s="135">
        <f>D39*C98*1.33333333333333</f>
        <v>1752.12</v>
      </c>
    </row>
    <row r="99" spans="1:4" ht="15.75" hidden="1" outlineLevel="1">
      <c r="A99" s="663" t="s">
        <v>176</v>
      </c>
      <c r="B99" s="664"/>
      <c r="C99" s="69">
        <f>'SR - ASG'!C99</f>
        <v>5.5500000000000001E-2</v>
      </c>
      <c r="D99" s="119">
        <f>IF(C99&gt;1,D88+D93,(D88+D93)*C99)</f>
        <v>154.19999999999999</v>
      </c>
    </row>
    <row r="100" spans="1:4" ht="15.75" hidden="1" outlineLevel="1">
      <c r="A100" s="697"/>
      <c r="B100" s="698"/>
      <c r="C100" s="698"/>
      <c r="D100" s="699"/>
    </row>
    <row r="101" spans="1:4" ht="15.75" hidden="1" outlineLevel="1">
      <c r="A101" s="66" t="s">
        <v>440</v>
      </c>
      <c r="B101" s="112" t="s">
        <v>441</v>
      </c>
      <c r="C101" s="113" t="s">
        <v>383</v>
      </c>
      <c r="D101" s="113" t="s">
        <v>352</v>
      </c>
    </row>
    <row r="102" spans="1:4" ht="15.75" hidden="1" outlineLevel="2">
      <c r="A102" s="38" t="s">
        <v>353</v>
      </c>
      <c r="B102" s="44" t="s">
        <v>442</v>
      </c>
      <c r="C102" s="48">
        <f>IF(C111&gt;1,(1/30*7)*2,(1/30*7))</f>
        <v>0.23330000000000001</v>
      </c>
      <c r="D102" s="135">
        <f>C102*SUM(D103:D107)</f>
        <v>606.25</v>
      </c>
    </row>
    <row r="103" spans="1:4" ht="15.75" hidden="1" outlineLevel="3">
      <c r="A103" s="40" t="s">
        <v>421</v>
      </c>
      <c r="B103" s="41" t="s">
        <v>443</v>
      </c>
      <c r="C103" s="38">
        <v>1</v>
      </c>
      <c r="D103" s="134">
        <f>D39</f>
        <v>1314.09</v>
      </c>
    </row>
    <row r="104" spans="1:4" ht="15.75" hidden="1" outlineLevel="3">
      <c r="A104" s="40" t="s">
        <v>423</v>
      </c>
      <c r="B104" s="41" t="s">
        <v>444</v>
      </c>
      <c r="C104" s="32">
        <f>1/12</f>
        <v>8.3299999999999999E-2</v>
      </c>
      <c r="D104" s="134">
        <f>C104*D103</f>
        <v>109.46</v>
      </c>
    </row>
    <row r="105" spans="1:4" ht="15.75" hidden="1" outlineLevel="3">
      <c r="A105" s="40" t="s">
        <v>425</v>
      </c>
      <c r="B105" s="41" t="s">
        <v>445</v>
      </c>
      <c r="C105" s="32">
        <f>(1/12)+(1/12/3)</f>
        <v>0.1111</v>
      </c>
      <c r="D105" s="134">
        <f>C105*D103</f>
        <v>146</v>
      </c>
    </row>
    <row r="106" spans="1:4" ht="15.75" hidden="1" outlineLevel="3">
      <c r="A106" s="40" t="s">
        <v>427</v>
      </c>
      <c r="B106" s="49" t="s">
        <v>446</v>
      </c>
      <c r="C106" s="50">
        <f>C63</f>
        <v>0.36799999999999999</v>
      </c>
      <c r="D106" s="135">
        <f>C106*(D103+D104)</f>
        <v>523.87</v>
      </c>
    </row>
    <row r="107" spans="1:4" ht="15.75" hidden="1" outlineLevel="3">
      <c r="A107" s="40" t="s">
        <v>447</v>
      </c>
      <c r="B107" s="49" t="s">
        <v>448</v>
      </c>
      <c r="C107" s="45">
        <v>1</v>
      </c>
      <c r="D107" s="135">
        <f>D77</f>
        <v>505.17</v>
      </c>
    </row>
    <row r="108" spans="1:4" ht="15.75" hidden="1" outlineLevel="2">
      <c r="A108" s="38" t="s">
        <v>322</v>
      </c>
      <c r="B108" s="39" t="s">
        <v>449</v>
      </c>
      <c r="C108" s="43">
        <v>0.4</v>
      </c>
      <c r="D108" s="134">
        <f>C108*D109</f>
        <v>926.52</v>
      </c>
    </row>
    <row r="109" spans="1:4" ht="15.75" hidden="1" outlineLevel="2">
      <c r="A109" s="38" t="s">
        <v>430</v>
      </c>
      <c r="B109" s="39" t="s">
        <v>431</v>
      </c>
      <c r="C109" s="43">
        <f>C62</f>
        <v>0.08</v>
      </c>
      <c r="D109" s="134">
        <f>C109*D110</f>
        <v>2316.3000000000002</v>
      </c>
    </row>
    <row r="110" spans="1:4" ht="15.75" hidden="1" outlineLevel="2">
      <c r="A110" s="38" t="s">
        <v>432</v>
      </c>
      <c r="B110" s="44" t="s">
        <v>433</v>
      </c>
      <c r="C110" s="45" t="s">
        <v>363</v>
      </c>
      <c r="D110" s="135">
        <f>D95</f>
        <v>28953.78</v>
      </c>
    </row>
    <row r="111" spans="1:4" ht="15.75" hidden="1" outlineLevel="1">
      <c r="A111" s="663" t="s">
        <v>176</v>
      </c>
      <c r="B111" s="664"/>
      <c r="C111" s="69">
        <f>'SR - ASG'!C111</f>
        <v>0.94450000000000001</v>
      </c>
      <c r="D111" s="119">
        <f>IF(C111&gt;1,D102+D108,(D102+D108)*C111)</f>
        <v>1447.7</v>
      </c>
    </row>
    <row r="112" spans="1:4" ht="15.75" hidden="1" outlineLevel="1">
      <c r="A112" s="697"/>
      <c r="B112" s="698"/>
      <c r="C112" s="698"/>
      <c r="D112" s="699"/>
    </row>
    <row r="113" spans="1:4" ht="15.75" hidden="1" outlineLevel="1">
      <c r="A113" s="66" t="s">
        <v>450</v>
      </c>
      <c r="B113" s="112" t="s">
        <v>451</v>
      </c>
      <c r="C113" s="113" t="s">
        <v>383</v>
      </c>
      <c r="D113" s="113" t="s">
        <v>352</v>
      </c>
    </row>
    <row r="114" spans="1:4" ht="15.75" hidden="1" outlineLevel="2">
      <c r="A114" s="114" t="s">
        <v>353</v>
      </c>
      <c r="B114" s="34" t="s">
        <v>452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43.76</v>
      </c>
    </row>
    <row r="115" spans="1:4" ht="15.75" hidden="1" outlineLevel="2">
      <c r="A115" s="114" t="s">
        <v>322</v>
      </c>
      <c r="B115" s="51" t="s">
        <v>453</v>
      </c>
      <c r="C115" s="37">
        <f>C114/3</f>
        <v>1.11E-2</v>
      </c>
      <c r="D115" s="137">
        <f>C115*D39</f>
        <v>14.59</v>
      </c>
    </row>
    <row r="116" spans="1:4" ht="15.75" hidden="1" outlineLevel="1">
      <c r="A116" s="663" t="s">
        <v>176</v>
      </c>
      <c r="B116" s="664"/>
      <c r="C116" s="33">
        <f>C114+C115</f>
        <v>4.4400000000000002E-2</v>
      </c>
      <c r="D116" s="119">
        <f>SUM(D114:D115)</f>
        <v>58.35</v>
      </c>
    </row>
    <row r="117" spans="1:4" ht="15.75" hidden="1" outlineLevel="1">
      <c r="A117" s="697"/>
      <c r="B117" s="698"/>
      <c r="C117" s="698"/>
      <c r="D117" s="699"/>
    </row>
    <row r="118" spans="1:4" ht="15.75" hidden="1" outlineLevel="1">
      <c r="A118" s="701" t="s">
        <v>454</v>
      </c>
      <c r="B118" s="702"/>
      <c r="C118" s="113" t="s">
        <v>383</v>
      </c>
      <c r="D118" s="113" t="s">
        <v>352</v>
      </c>
    </row>
    <row r="119" spans="1:4" ht="15.75" hidden="1" outlineLevel="1">
      <c r="A119" s="114" t="s">
        <v>418</v>
      </c>
      <c r="B119" s="34" t="s">
        <v>419</v>
      </c>
      <c r="C119" s="37">
        <f>C99</f>
        <v>5.5500000000000001E-2</v>
      </c>
      <c r="D119" s="107">
        <f>D99</f>
        <v>154.19999999999999</v>
      </c>
    </row>
    <row r="120" spans="1:4" ht="15.75" hidden="1" outlineLevel="1">
      <c r="A120" s="116" t="s">
        <v>440</v>
      </c>
      <c r="B120" s="34" t="s">
        <v>441</v>
      </c>
      <c r="C120" s="52">
        <f>C111</f>
        <v>0.94450000000000001</v>
      </c>
      <c r="D120" s="107">
        <f>D111</f>
        <v>1447.7</v>
      </c>
    </row>
    <row r="121" spans="1:4" ht="15.75" hidden="1" outlineLevel="1">
      <c r="A121" s="707" t="s">
        <v>455</v>
      </c>
      <c r="B121" s="707"/>
      <c r="C121" s="707"/>
      <c r="D121" s="138">
        <f>D119+D120</f>
        <v>1601.9</v>
      </c>
    </row>
    <row r="122" spans="1:4" ht="15.75" hidden="1" outlineLevel="1">
      <c r="A122" s="703" t="s">
        <v>456</v>
      </c>
      <c r="B122" s="704"/>
      <c r="C122" s="70">
        <f>'SR - ASG'!C122</f>
        <v>0.63570000000000004</v>
      </c>
      <c r="D122" s="61">
        <f>C122*D121</f>
        <v>1018.33</v>
      </c>
    </row>
    <row r="123" spans="1:4" ht="15.75" hidden="1" outlineLevel="1">
      <c r="A123" s="703" t="s">
        <v>457</v>
      </c>
      <c r="B123" s="704"/>
      <c r="C123" s="70">
        <f>'SR - ASG'!C123</f>
        <v>1.0999999999999999E-2</v>
      </c>
      <c r="D123" s="61">
        <f>(D50+(D116/2))*-C123</f>
        <v>-1.52</v>
      </c>
    </row>
    <row r="124" spans="1:4" ht="15.75" hidden="1" outlineLevel="1">
      <c r="A124" s="705" t="s">
        <v>458</v>
      </c>
      <c r="B124" s="706"/>
      <c r="C124" s="74">
        <f>1/C12</f>
        <v>0.05</v>
      </c>
      <c r="D124" s="62">
        <f>(D122+D123)*C124</f>
        <v>50.84</v>
      </c>
    </row>
    <row r="125" spans="1:4" ht="15.75" hidden="1" outlineLevel="1">
      <c r="A125" s="116" t="s">
        <v>450</v>
      </c>
      <c r="B125" s="34" t="s">
        <v>459</v>
      </c>
      <c r="C125" s="52"/>
      <c r="D125" s="127">
        <f>D116</f>
        <v>58.35</v>
      </c>
    </row>
    <row r="126" spans="1:4" ht="15.75" collapsed="1">
      <c r="A126" s="663" t="s">
        <v>176</v>
      </c>
      <c r="B126" s="664"/>
      <c r="C126" s="33"/>
      <c r="D126" s="139">
        <f>D124+D125</f>
        <v>109.19</v>
      </c>
    </row>
    <row r="127" spans="1:4" ht="15.75">
      <c r="A127" s="665"/>
      <c r="B127" s="666"/>
      <c r="C127" s="666"/>
      <c r="D127" s="667"/>
    </row>
    <row r="128" spans="1:4" ht="15.75">
      <c r="A128" s="668" t="s">
        <v>460</v>
      </c>
      <c r="B128" s="669"/>
      <c r="C128" s="669"/>
      <c r="D128" s="670"/>
    </row>
    <row r="129" spans="1:4" ht="15.75" hidden="1" outlineLevel="1">
      <c r="A129" s="697"/>
      <c r="B129" s="698"/>
      <c r="C129" s="698"/>
      <c r="D129" s="699"/>
    </row>
    <row r="130" spans="1:4" ht="15.75" hidden="1" outlineLevel="1">
      <c r="A130" s="113" t="s">
        <v>461</v>
      </c>
      <c r="B130" s="120" t="s">
        <v>462</v>
      </c>
      <c r="C130" s="33" t="s">
        <v>383</v>
      </c>
      <c r="D130" s="113" t="s">
        <v>352</v>
      </c>
    </row>
    <row r="131" spans="1:4" ht="15.75" hidden="1" outlineLevel="2">
      <c r="A131" s="140" t="s">
        <v>353</v>
      </c>
      <c r="B131" s="91" t="s">
        <v>463</v>
      </c>
      <c r="C131" s="53">
        <f>IF(C12&gt;60,5/C12,IF(C12&gt;48,4/C12,IF(C12&gt;36,3/C12,IF(C12&gt;24,2/C12,IF(C12&gt;12,1/C12,0)))))</f>
        <v>0.05</v>
      </c>
      <c r="D131" s="136">
        <f>SUM(D132:D136)</f>
        <v>84.93</v>
      </c>
    </row>
    <row r="132" spans="1:4" ht="15.75" hidden="1" outlineLevel="3">
      <c r="A132" s="141" t="s">
        <v>464</v>
      </c>
      <c r="B132" s="92" t="s">
        <v>465</v>
      </c>
      <c r="C132" s="142">
        <f>D39</f>
        <v>1314.09</v>
      </c>
      <c r="D132" s="143">
        <f>$C$131*(D39)-($C$131*(D39)*C137/3)</f>
        <v>65.7</v>
      </c>
    </row>
    <row r="133" spans="1:4" ht="15.75" hidden="1" outlineLevel="3">
      <c r="A133" s="141" t="s">
        <v>466</v>
      </c>
      <c r="B133" s="92" t="s">
        <v>467</v>
      </c>
      <c r="C133" s="142">
        <f>(D50)</f>
        <v>109.46</v>
      </c>
      <c r="D133" s="143">
        <f>$C$131*C133-($C$131*C133*C137/3)</f>
        <v>5.47</v>
      </c>
    </row>
    <row r="134" spans="1:4" ht="15.75" hidden="1" outlineLevel="3">
      <c r="A134" s="141" t="s">
        <v>468</v>
      </c>
      <c r="B134" s="92" t="s">
        <v>469</v>
      </c>
      <c r="C134" s="144">
        <f>(D39/12)+(D51*IF(C12&gt;60,((C12-60)*(1/60))+1,IF(C12&gt;48,((C12-48)*(1/48))+1,IF(C12&gt;36,((C12-36)*(1/36))+1,IF(C12&gt;24,((C12-24)*(1/24))+1,IF(C12&gt;12,((C12-12)*(1/12))+1,1))))))</f>
        <v>146.09</v>
      </c>
      <c r="D134" s="143">
        <f>$C$131*C134-($C$131*C134*C137/3)</f>
        <v>7.3</v>
      </c>
    </row>
    <row r="135" spans="1:4" ht="15.75" hidden="1" outlineLevel="3">
      <c r="A135" s="141" t="s">
        <v>470</v>
      </c>
      <c r="B135" s="92" t="s">
        <v>471</v>
      </c>
      <c r="C135" s="93">
        <f>C63</f>
        <v>0.36799999999999999</v>
      </c>
      <c r="D135" s="143">
        <f>SUM(D132:D134)*C131</f>
        <v>3.92</v>
      </c>
    </row>
    <row r="136" spans="1:4" ht="15.75" hidden="1" outlineLevel="3">
      <c r="A136" s="141" t="s">
        <v>472</v>
      </c>
      <c r="B136" s="92" t="s">
        <v>473</v>
      </c>
      <c r="C136" s="144">
        <f>D124</f>
        <v>50.84</v>
      </c>
      <c r="D136" s="143">
        <f>C136*C131</f>
        <v>2.54</v>
      </c>
    </row>
    <row r="137" spans="1:4" ht="15.75" hidden="1" outlineLevel="2">
      <c r="A137" s="114" t="s">
        <v>322</v>
      </c>
      <c r="B137" s="34" t="s">
        <v>474</v>
      </c>
      <c r="C137" s="94">
        <v>0</v>
      </c>
      <c r="D137" s="127">
        <f>$C$131*(D39)*(C137/3)</f>
        <v>0</v>
      </c>
    </row>
    <row r="138" spans="1:4" ht="15.75" hidden="1" outlineLevel="1">
      <c r="A138" s="663" t="s">
        <v>475</v>
      </c>
      <c r="B138" s="664"/>
      <c r="C138" s="33">
        <f>C131+(D137/D39)</f>
        <v>0.05</v>
      </c>
      <c r="D138" s="119">
        <f>SUM(D131:D137)</f>
        <v>169.86</v>
      </c>
    </row>
    <row r="139" spans="1:4" ht="15.75" hidden="1" outlineLevel="1">
      <c r="A139" s="697"/>
      <c r="B139" s="698"/>
      <c r="C139" s="698"/>
      <c r="D139" s="699"/>
    </row>
    <row r="140" spans="1:4" ht="15.75" hidden="1" outlineLevel="2">
      <c r="A140" s="710" t="s">
        <v>476</v>
      </c>
      <c r="B140" s="145" t="s">
        <v>435</v>
      </c>
      <c r="C140" s="95">
        <v>220</v>
      </c>
      <c r="D140" s="146">
        <f>D39</f>
        <v>1314.09</v>
      </c>
    </row>
    <row r="141" spans="1:4" ht="15.75" hidden="1" outlineLevel="2">
      <c r="A141" s="711"/>
      <c r="B141" s="145" t="s">
        <v>477</v>
      </c>
      <c r="C141" s="53">
        <f>(1+(1/3)+1)/12</f>
        <v>0.19439999999999999</v>
      </c>
      <c r="D141" s="147">
        <f>D140*C141</f>
        <v>255.46</v>
      </c>
    </row>
    <row r="142" spans="1:4" ht="15.75" hidden="1" outlineLevel="2">
      <c r="A142" s="711"/>
      <c r="B142" s="145" t="s">
        <v>478</v>
      </c>
      <c r="C142" s="53">
        <f>C63</f>
        <v>0.36799999999999999</v>
      </c>
      <c r="D142" s="147">
        <f>(D140+D141)*C142</f>
        <v>577.59</v>
      </c>
    </row>
    <row r="143" spans="1:4" ht="15.75" hidden="1" outlineLevel="2">
      <c r="A143" s="711"/>
      <c r="B143" s="145" t="s">
        <v>479</v>
      </c>
      <c r="C143" s="53">
        <f>D143/D140</f>
        <v>0.38440000000000002</v>
      </c>
      <c r="D143" s="147">
        <f>D77</f>
        <v>505.17</v>
      </c>
    </row>
    <row r="144" spans="1:4" ht="15.75" hidden="1" outlineLevel="2">
      <c r="A144" s="712"/>
      <c r="B144" s="148" t="s">
        <v>480</v>
      </c>
      <c r="C144" s="53">
        <f>D144/D140</f>
        <v>3.8699999999999998E-2</v>
      </c>
      <c r="D144" s="147">
        <f>D124</f>
        <v>50.84</v>
      </c>
    </row>
    <row r="145" spans="1:4" ht="15.75" hidden="1" outlineLevel="2">
      <c r="A145" s="713" t="s">
        <v>481</v>
      </c>
      <c r="B145" s="714"/>
      <c r="C145" s="96">
        <f>D145/D140</f>
        <v>2.0571000000000002</v>
      </c>
      <c r="D145" s="149">
        <f>SUM(D140:D144)</f>
        <v>2703.15</v>
      </c>
    </row>
    <row r="146" spans="1:4" ht="15.75" hidden="1" outlineLevel="2">
      <c r="A146" s="715"/>
      <c r="B146" s="715"/>
      <c r="C146" s="715"/>
      <c r="D146" s="716"/>
    </row>
    <row r="147" spans="1:4" ht="15.75" hidden="1" outlineLevel="1">
      <c r="A147" s="113" t="s">
        <v>482</v>
      </c>
      <c r="B147" s="120" t="s">
        <v>483</v>
      </c>
      <c r="C147" s="33" t="s">
        <v>383</v>
      </c>
      <c r="D147" s="113" t="s">
        <v>352</v>
      </c>
    </row>
    <row r="148" spans="1:4" ht="15.75" hidden="1" outlineLevel="2">
      <c r="A148" s="114" t="s">
        <v>322</v>
      </c>
      <c r="B148" s="34" t="s">
        <v>484</v>
      </c>
      <c r="C148" s="79">
        <f>5/252</f>
        <v>1.9800000000000002E-2</v>
      </c>
      <c r="D148" s="136">
        <f>C148*$D$145</f>
        <v>53.52</v>
      </c>
    </row>
    <row r="149" spans="1:4" ht="15.75" hidden="1" outlineLevel="2">
      <c r="A149" s="114" t="s">
        <v>325</v>
      </c>
      <c r="B149" s="34" t="s">
        <v>485</v>
      </c>
      <c r="C149" s="79">
        <f>1.383/252</f>
        <v>5.4999999999999997E-3</v>
      </c>
      <c r="D149" s="136">
        <f>C149*$D$145</f>
        <v>14.87</v>
      </c>
    </row>
    <row r="150" spans="1:4" ht="15.75" hidden="1" outlineLevel="2">
      <c r="A150" s="114" t="s">
        <v>328</v>
      </c>
      <c r="B150" s="34" t="s">
        <v>486</v>
      </c>
      <c r="C150" s="79">
        <f>1.3892/252</f>
        <v>5.4999999999999997E-3</v>
      </c>
      <c r="D150" s="136">
        <f t="shared" ref="D150:D153" si="1">C150*$D$145</f>
        <v>14.87</v>
      </c>
    </row>
    <row r="151" spans="1:4" ht="15.75" hidden="1" outlineLevel="2">
      <c r="A151" s="114" t="s">
        <v>331</v>
      </c>
      <c r="B151" s="34" t="s">
        <v>487</v>
      </c>
      <c r="C151" s="79">
        <f>0.65/252</f>
        <v>2.5999999999999999E-3</v>
      </c>
      <c r="D151" s="136">
        <f t="shared" si="1"/>
        <v>7.03</v>
      </c>
    </row>
    <row r="152" spans="1:4" ht="15.75" hidden="1" outlineLevel="2">
      <c r="A152" s="114" t="s">
        <v>334</v>
      </c>
      <c r="B152" s="34" t="s">
        <v>488</v>
      </c>
      <c r="C152" s="79">
        <f>0.5052/252</f>
        <v>2E-3</v>
      </c>
      <c r="D152" s="136">
        <f t="shared" si="1"/>
        <v>5.41</v>
      </c>
    </row>
    <row r="153" spans="1:4" ht="15.75" hidden="1" outlineLevel="2">
      <c r="A153" s="114" t="s">
        <v>353</v>
      </c>
      <c r="B153" s="63" t="s">
        <v>489</v>
      </c>
      <c r="C153" s="71">
        <f>0.2/252</f>
        <v>8.0000000000000004E-4</v>
      </c>
      <c r="D153" s="136">
        <f t="shared" si="1"/>
        <v>2.16</v>
      </c>
    </row>
    <row r="154" spans="1:4" ht="15.75" hidden="1" outlineLevel="1">
      <c r="A154" s="663" t="s">
        <v>475</v>
      </c>
      <c r="B154" s="664"/>
      <c r="C154" s="33">
        <f>SUM(C148:C153)</f>
        <v>3.6200000000000003E-2</v>
      </c>
      <c r="D154" s="119">
        <f>SUM(D148:D153)</f>
        <v>97.86</v>
      </c>
    </row>
    <row r="155" spans="1:4" ht="15.75" hidden="1" outlineLevel="1">
      <c r="A155" s="697"/>
      <c r="B155" s="698"/>
      <c r="C155" s="698"/>
      <c r="D155" s="699"/>
    </row>
    <row r="156" spans="1:4" ht="15.75" hidden="1" outlineLevel="1">
      <c r="A156" s="701" t="s">
        <v>490</v>
      </c>
      <c r="B156" s="708"/>
      <c r="C156" s="33" t="s">
        <v>491</v>
      </c>
      <c r="D156" s="113" t="s">
        <v>352</v>
      </c>
    </row>
    <row r="157" spans="1:4" ht="15.75" hidden="1" outlineLevel="2">
      <c r="A157" s="709" t="s">
        <v>492</v>
      </c>
      <c r="B157" s="145" t="s">
        <v>493</v>
      </c>
      <c r="C157" s="97">
        <f>C153</f>
        <v>8.0000000000000004E-4</v>
      </c>
      <c r="D157" s="150">
        <f>C157*-D140</f>
        <v>-1.05</v>
      </c>
    </row>
    <row r="158" spans="1:4" ht="15.75" hidden="1" outlineLevel="2">
      <c r="A158" s="709"/>
      <c r="B158" s="151" t="s">
        <v>494</v>
      </c>
      <c r="C158" s="98">
        <v>0</v>
      </c>
      <c r="D158" s="152">
        <f>C158*-(D140/220/24*5)</f>
        <v>0</v>
      </c>
    </row>
    <row r="159" spans="1:4" ht="15.75" hidden="1" outlineLevel="2">
      <c r="A159" s="709"/>
      <c r="B159" s="151" t="s">
        <v>495</v>
      </c>
      <c r="C159" s="98">
        <v>0</v>
      </c>
      <c r="D159" s="152">
        <f>C159*-D141</f>
        <v>0</v>
      </c>
    </row>
    <row r="160" spans="1:4" ht="15.75" hidden="1" outlineLevel="2">
      <c r="A160" s="709"/>
      <c r="B160" s="145" t="s">
        <v>496</v>
      </c>
      <c r="C160" s="97">
        <f>C154</f>
        <v>3.6200000000000003E-2</v>
      </c>
      <c r="D160" s="150">
        <f>C160*-D66</f>
        <v>-4.4400000000000004</v>
      </c>
    </row>
    <row r="161" spans="1:4" ht="15.75" hidden="1" outlineLevel="2">
      <c r="A161" s="709"/>
      <c r="B161" s="145" t="s">
        <v>497</v>
      </c>
      <c r="C161" s="97">
        <f>C154</f>
        <v>3.6200000000000003E-2</v>
      </c>
      <c r="D161" s="150">
        <f>C161*-D69</f>
        <v>-12.43</v>
      </c>
    </row>
    <row r="162" spans="1:4" ht="15.75" hidden="1" outlineLevel="2">
      <c r="A162" s="709"/>
      <c r="B162" s="148" t="s">
        <v>498</v>
      </c>
      <c r="C162" s="97">
        <f>C153</f>
        <v>8.0000000000000004E-4</v>
      </c>
      <c r="D162" s="150">
        <f>C162*-D74</f>
        <v>-0.02</v>
      </c>
    </row>
    <row r="163" spans="1:4" ht="15.75" hidden="1" outlineLevel="2">
      <c r="A163" s="709"/>
      <c r="B163" s="148" t="s">
        <v>499</v>
      </c>
      <c r="C163" s="99">
        <f>C152</f>
        <v>2E-3</v>
      </c>
      <c r="D163" s="136">
        <f>C163*-SUM(D55:D61)</f>
        <v>-0.83</v>
      </c>
    </row>
    <row r="164" spans="1:4" ht="15.75" hidden="1" outlineLevel="2">
      <c r="A164" s="709"/>
      <c r="B164" s="145" t="s">
        <v>500</v>
      </c>
      <c r="C164" s="97">
        <f>C153</f>
        <v>8.0000000000000004E-4</v>
      </c>
      <c r="D164" s="150">
        <f>C164*-D142</f>
        <v>-0.46</v>
      </c>
    </row>
    <row r="165" spans="1:4" ht="15.75" hidden="1" outlineLevel="1">
      <c r="A165" s="663" t="s">
        <v>501</v>
      </c>
      <c r="B165" s="664"/>
      <c r="C165" s="33">
        <f>D165/D140</f>
        <v>-1.46E-2</v>
      </c>
      <c r="D165" s="119">
        <f>SUM(D157:D164)</f>
        <v>-19.23</v>
      </c>
    </row>
    <row r="166" spans="1:4" ht="15.75" hidden="1" outlineLevel="1">
      <c r="A166" s="697"/>
      <c r="B166" s="698"/>
      <c r="C166" s="698"/>
      <c r="D166" s="699"/>
    </row>
    <row r="167" spans="1:4" ht="15.75" hidden="1" outlineLevel="1">
      <c r="A167" s="663" t="s">
        <v>502</v>
      </c>
      <c r="B167" s="664"/>
      <c r="C167" s="33">
        <f>D167/D140</f>
        <v>5.9799999999999999E-2</v>
      </c>
      <c r="D167" s="119">
        <f>D154+D165</f>
        <v>78.63</v>
      </c>
    </row>
    <row r="168" spans="1:4" ht="15.75" hidden="1" outlineLevel="1">
      <c r="A168" s="697"/>
      <c r="B168" s="698"/>
      <c r="C168" s="698"/>
      <c r="D168" s="699"/>
    </row>
    <row r="169" spans="1:4" ht="15.75" hidden="1" outlineLevel="1">
      <c r="A169" s="701" t="s">
        <v>503</v>
      </c>
      <c r="B169" s="702"/>
      <c r="C169" s="113" t="s">
        <v>383</v>
      </c>
      <c r="D169" s="113" t="s">
        <v>352</v>
      </c>
    </row>
    <row r="170" spans="1:4" ht="15.75" hidden="1" outlineLevel="1">
      <c r="A170" s="114" t="s">
        <v>461</v>
      </c>
      <c r="B170" s="34" t="s">
        <v>462</v>
      </c>
      <c r="C170" s="37"/>
      <c r="D170" s="153">
        <f>D138</f>
        <v>169.86</v>
      </c>
    </row>
    <row r="171" spans="1:4" ht="15.75" hidden="1" outlineLevel="1">
      <c r="A171" s="114" t="s">
        <v>482</v>
      </c>
      <c r="B171" s="34" t="s">
        <v>483</v>
      </c>
      <c r="C171" s="37"/>
      <c r="D171" s="153">
        <f>D167</f>
        <v>78.63</v>
      </c>
    </row>
    <row r="172" spans="1:4" ht="15.75" collapsed="1">
      <c r="A172" s="663" t="s">
        <v>176</v>
      </c>
      <c r="B172" s="700"/>
      <c r="C172" s="664"/>
      <c r="D172" s="122">
        <f>SUM(D170:D171)</f>
        <v>248.49</v>
      </c>
    </row>
    <row r="173" spans="1:4" ht="15.75">
      <c r="A173" s="697"/>
      <c r="B173" s="698"/>
      <c r="C173" s="698"/>
      <c r="D173" s="699"/>
    </row>
    <row r="174" spans="1:4" ht="15.75">
      <c r="A174" s="668" t="s">
        <v>504</v>
      </c>
      <c r="B174" s="669"/>
      <c r="C174" s="669"/>
      <c r="D174" s="670"/>
    </row>
    <row r="175" spans="1:4" ht="15.75" hidden="1" outlineLevel="1">
      <c r="A175" s="697"/>
      <c r="B175" s="698"/>
      <c r="C175" s="698"/>
      <c r="D175" s="699"/>
    </row>
    <row r="176" spans="1:4" ht="15.75" hidden="1" outlineLevel="1">
      <c r="A176" s="66">
        <v>5</v>
      </c>
      <c r="B176" s="663" t="s">
        <v>505</v>
      </c>
      <c r="C176" s="664"/>
      <c r="D176" s="113" t="s">
        <v>352</v>
      </c>
    </row>
    <row r="177" spans="1:4" ht="15.75" hidden="1" outlineLevel="1">
      <c r="A177" s="114" t="s">
        <v>353</v>
      </c>
      <c r="B177" s="717" t="s">
        <v>506</v>
      </c>
      <c r="C177" s="718"/>
      <c r="D177" s="136">
        <f>INSUMOS!H14</f>
        <v>25.55</v>
      </c>
    </row>
    <row r="178" spans="1:4" ht="15.75" hidden="1" outlineLevel="1">
      <c r="A178" s="114" t="s">
        <v>322</v>
      </c>
      <c r="B178" s="717" t="s">
        <v>541</v>
      </c>
      <c r="C178" s="718"/>
      <c r="D178" s="154">
        <f>INSUMOS!H31</f>
        <v>6.61</v>
      </c>
    </row>
    <row r="179" spans="1:4" ht="15.75" hidden="1" outlineLevel="1">
      <c r="A179" s="114" t="s">
        <v>325</v>
      </c>
      <c r="B179" s="649" t="s">
        <v>508</v>
      </c>
      <c r="C179" s="650"/>
      <c r="D179" s="154">
        <f>MATERIAIS!G128</f>
        <v>705.57</v>
      </c>
    </row>
    <row r="180" spans="1:4" ht="15.75" hidden="1" outlineLevel="1">
      <c r="A180" s="114" t="s">
        <v>328</v>
      </c>
      <c r="B180" s="649" t="s">
        <v>509</v>
      </c>
      <c r="C180" s="650"/>
      <c r="D180" s="154">
        <f>EQUIPAMENTOS!G121</f>
        <v>21.21</v>
      </c>
    </row>
    <row r="181" spans="1:4" ht="15.75" hidden="1" outlineLevel="1">
      <c r="A181" s="114" t="s">
        <v>331</v>
      </c>
      <c r="B181" s="651" t="s">
        <v>372</v>
      </c>
      <c r="C181" s="652"/>
      <c r="D181" s="133">
        <v>0</v>
      </c>
    </row>
    <row r="182" spans="1:4" ht="15.75" hidden="1" outlineLevel="1">
      <c r="A182" s="114" t="s">
        <v>334</v>
      </c>
      <c r="B182" s="651" t="s">
        <v>372</v>
      </c>
      <c r="C182" s="652"/>
      <c r="D182" s="133">
        <v>0</v>
      </c>
    </row>
    <row r="183" spans="1:4" ht="15.75" collapsed="1">
      <c r="A183" s="663" t="s">
        <v>176</v>
      </c>
      <c r="B183" s="700"/>
      <c r="C183" s="664"/>
      <c r="D183" s="119">
        <f>SUM(D177:D181)</f>
        <v>758.94</v>
      </c>
    </row>
    <row r="184" spans="1:4" ht="15.75">
      <c r="A184" s="665"/>
      <c r="B184" s="666"/>
      <c r="C184" s="666"/>
      <c r="D184" s="667"/>
    </row>
    <row r="185" spans="1:4" ht="15.75">
      <c r="A185" s="723" t="s">
        <v>510</v>
      </c>
      <c r="B185" s="723"/>
      <c r="C185" s="723"/>
      <c r="D185" s="155">
        <f>D39+D83+D126+D172+D183</f>
        <v>3599.24</v>
      </c>
    </row>
    <row r="186" spans="1:4" ht="15.75">
      <c r="A186" s="679"/>
      <c r="B186" s="679"/>
      <c r="C186" s="679"/>
      <c r="D186" s="679"/>
    </row>
    <row r="187" spans="1:4" ht="15.75">
      <c r="A187" s="724" t="s">
        <v>511</v>
      </c>
      <c r="B187" s="724"/>
      <c r="C187" s="724"/>
      <c r="D187" s="724"/>
    </row>
    <row r="188" spans="1:4" ht="15.75" hidden="1" outlineLevel="1">
      <c r="A188" s="725"/>
      <c r="B188" s="726"/>
      <c r="C188" s="726"/>
      <c r="D188" s="727"/>
    </row>
    <row r="189" spans="1:4" ht="15.75" hidden="1" outlineLevel="1">
      <c r="A189" s="66">
        <v>6</v>
      </c>
      <c r="B189" s="120" t="s">
        <v>512</v>
      </c>
      <c r="C189" s="113" t="s">
        <v>383</v>
      </c>
      <c r="D189" s="113" t="s">
        <v>352</v>
      </c>
    </row>
    <row r="190" spans="1:4" ht="15.75" hidden="1" outlineLevel="1">
      <c r="A190" s="114" t="s">
        <v>353</v>
      </c>
      <c r="B190" s="34" t="s">
        <v>513</v>
      </c>
      <c r="C190" s="72">
        <f>'SR - ASG'!C189</f>
        <v>2.6499999999999999E-2</v>
      </c>
      <c r="D190" s="108">
        <f>C190*D185</f>
        <v>95.38</v>
      </c>
    </row>
    <row r="191" spans="1:4" ht="15.75" hidden="1" outlineLevel="1">
      <c r="A191" s="719" t="s">
        <v>514</v>
      </c>
      <c r="B191" s="720"/>
      <c r="C191" s="722"/>
      <c r="D191" s="108">
        <f>D185+D190</f>
        <v>3694.62</v>
      </c>
    </row>
    <row r="192" spans="1:4" ht="15.75" hidden="1" outlineLevel="1">
      <c r="A192" s="114" t="s">
        <v>322</v>
      </c>
      <c r="B192" s="34" t="s">
        <v>515</v>
      </c>
      <c r="C192" s="72">
        <f>'SR - ASG'!C191</f>
        <v>0.1087</v>
      </c>
      <c r="D192" s="108">
        <f>C192*D191</f>
        <v>401.61</v>
      </c>
    </row>
    <row r="193" spans="1:4" ht="15.75" hidden="1" outlineLevel="1">
      <c r="A193" s="719" t="s">
        <v>514</v>
      </c>
      <c r="B193" s="720"/>
      <c r="C193" s="720"/>
      <c r="D193" s="108">
        <f>D192+D191</f>
        <v>4096.2299999999996</v>
      </c>
    </row>
    <row r="194" spans="1:4" ht="15.75" hidden="1" outlineLevel="1">
      <c r="A194" s="114" t="s">
        <v>325</v>
      </c>
      <c r="B194" s="649" t="s">
        <v>516</v>
      </c>
      <c r="C194" s="721"/>
      <c r="D194" s="650"/>
    </row>
    <row r="195" spans="1:4" ht="15.75" hidden="1" outlineLevel="1">
      <c r="A195" s="156"/>
      <c r="B195" s="65" t="s">
        <v>517</v>
      </c>
      <c r="C195" s="72">
        <f>'SR - ASG'!C194</f>
        <v>6.4999999999999997E-3</v>
      </c>
      <c r="D195" s="108">
        <f>(D193/(1-C198)*C195)</f>
        <v>28.37</v>
      </c>
    </row>
    <row r="196" spans="1:4" ht="15.75" hidden="1" outlineLevel="1">
      <c r="A196" s="156"/>
      <c r="B196" s="65" t="s">
        <v>518</v>
      </c>
      <c r="C196" s="72">
        <f>'SR - ASG'!C195</f>
        <v>0.03</v>
      </c>
      <c r="D196" s="108">
        <f>(D193/(1-C198)*C196)</f>
        <v>130.94</v>
      </c>
    </row>
    <row r="197" spans="1:4" ht="15.75" hidden="1" outlineLevel="1">
      <c r="A197" s="156"/>
      <c r="B197" s="65" t="s">
        <v>519</v>
      </c>
      <c r="C197" s="54">
        <v>2.5000000000000001E-2</v>
      </c>
      <c r="D197" s="108">
        <f>(D193/(1-C198)*C197)</f>
        <v>109.12</v>
      </c>
    </row>
    <row r="198" spans="1:4" ht="15.75" hidden="1" outlineLevel="1">
      <c r="A198" s="719" t="s">
        <v>520</v>
      </c>
      <c r="B198" s="722"/>
      <c r="C198" s="55">
        <f>SUM(C195:C197)</f>
        <v>6.1499999999999999E-2</v>
      </c>
      <c r="D198" s="108">
        <f>SUM(D195:D197)</f>
        <v>268.43</v>
      </c>
    </row>
    <row r="199" spans="1:4" ht="15.75" collapsed="1">
      <c r="A199" s="663" t="s">
        <v>176</v>
      </c>
      <c r="B199" s="664"/>
      <c r="C199" s="56">
        <f>(1+C190)*(1+C192)*(1/(1-C198))-1</f>
        <v>0.2127</v>
      </c>
      <c r="D199" s="111">
        <f>SUM(D198+D190+D192)</f>
        <v>765.42</v>
      </c>
    </row>
    <row r="200" spans="1:4" ht="15.75">
      <c r="A200" s="665"/>
      <c r="B200" s="666"/>
      <c r="C200" s="666"/>
      <c r="D200" s="667"/>
    </row>
    <row r="201" spans="1:4" ht="15.75">
      <c r="A201" s="676" t="s">
        <v>521</v>
      </c>
      <c r="B201" s="678"/>
      <c r="C201" s="677"/>
      <c r="D201" s="57" t="s">
        <v>352</v>
      </c>
    </row>
    <row r="202" spans="1:4" ht="15.75">
      <c r="A202" s="661" t="s">
        <v>522</v>
      </c>
      <c r="B202" s="728"/>
      <c r="C202" s="728"/>
      <c r="D202" s="662"/>
    </row>
    <row r="203" spans="1:4" ht="15.75">
      <c r="A203" s="67" t="s">
        <v>353</v>
      </c>
      <c r="B203" s="661" t="s">
        <v>523</v>
      </c>
      <c r="C203" s="662"/>
      <c r="D203" s="107">
        <f>D39</f>
        <v>1314.09</v>
      </c>
    </row>
    <row r="204" spans="1:4" ht="15.75">
      <c r="A204" s="67" t="s">
        <v>322</v>
      </c>
      <c r="B204" s="661" t="s">
        <v>524</v>
      </c>
      <c r="C204" s="662"/>
      <c r="D204" s="107">
        <f>D83</f>
        <v>1168.53</v>
      </c>
    </row>
    <row r="205" spans="1:4" ht="15.75">
      <c r="A205" s="67" t="s">
        <v>325</v>
      </c>
      <c r="B205" s="661" t="s">
        <v>525</v>
      </c>
      <c r="C205" s="662"/>
      <c r="D205" s="107">
        <f>D126</f>
        <v>109.19</v>
      </c>
    </row>
    <row r="206" spans="1:4" ht="15.75">
      <c r="A206" s="67" t="s">
        <v>328</v>
      </c>
      <c r="B206" s="661" t="s">
        <v>526</v>
      </c>
      <c r="C206" s="662"/>
      <c r="D206" s="107">
        <f>D172</f>
        <v>248.49</v>
      </c>
    </row>
    <row r="207" spans="1:4" ht="15.75">
      <c r="A207" s="67" t="s">
        <v>331</v>
      </c>
      <c r="B207" s="661" t="s">
        <v>527</v>
      </c>
      <c r="C207" s="662"/>
      <c r="D207" s="107">
        <f>D183</f>
        <v>758.94</v>
      </c>
    </row>
    <row r="208" spans="1:4" ht="15.75">
      <c r="A208" s="738" t="s">
        <v>528</v>
      </c>
      <c r="B208" s="739"/>
      <c r="C208" s="740"/>
      <c r="D208" s="107">
        <f>SUM(D203:D207)</f>
        <v>3599.24</v>
      </c>
    </row>
    <row r="209" spans="1:4" ht="15.75">
      <c r="A209" s="67" t="s">
        <v>529</v>
      </c>
      <c r="B209" s="661" t="s">
        <v>530</v>
      </c>
      <c r="C209" s="662"/>
      <c r="D209" s="107">
        <f>D199</f>
        <v>765.42</v>
      </c>
    </row>
    <row r="210" spans="1:4" ht="15.75">
      <c r="A210" s="676" t="s">
        <v>531</v>
      </c>
      <c r="B210" s="678"/>
      <c r="C210" s="677"/>
      <c r="D210" s="157">
        <f xml:space="preserve"> D208+D209</f>
        <v>4364.66</v>
      </c>
    </row>
  </sheetData>
  <mergeCells count="107">
    <mergeCell ref="A208:C208"/>
    <mergeCell ref="B209:C209"/>
    <mergeCell ref="A210:C210"/>
    <mergeCell ref="A202:D202"/>
    <mergeCell ref="B203:C203"/>
    <mergeCell ref="B204:C204"/>
    <mergeCell ref="B205:C205"/>
    <mergeCell ref="B206:C206"/>
    <mergeCell ref="B207:C207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B180:C180"/>
    <mergeCell ref="B181:C181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B9D9C-418B-428C-8FA5-1D463A9485A0}">
  <sheetPr codeName="Planilha9">
    <tabColor theme="5" tint="0.59999389629810485"/>
    <pageSetUpPr fitToPage="1"/>
  </sheetPr>
  <dimension ref="A1:D210"/>
  <sheetViews>
    <sheetView view="pageBreakPreview" topLeftCell="A2" zoomScale="85" zoomScaleNormal="85" zoomScaleSheetLayoutView="85" workbookViewId="0">
      <selection activeCell="D179" sqref="D179"/>
    </sheetView>
  </sheetViews>
  <sheetFormatPr defaultColWidth="9.140625" defaultRowHeight="15.75" customHeight="1" outlineLevelRow="3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 customHeight="1">
      <c r="A1" s="680" t="s">
        <v>313</v>
      </c>
      <c r="B1" s="680"/>
      <c r="C1" s="680"/>
      <c r="D1" s="680"/>
    </row>
    <row r="2" spans="1:4" ht="15.75" customHeight="1">
      <c r="A2" s="681" t="s">
        <v>314</v>
      </c>
      <c r="B2" s="681"/>
      <c r="C2" s="682" t="s">
        <v>315</v>
      </c>
      <c r="D2" s="683"/>
    </row>
    <row r="3" spans="1:4" ht="15.75" customHeight="1">
      <c r="A3" s="681" t="s">
        <v>316</v>
      </c>
      <c r="B3" s="681"/>
      <c r="C3" s="682" t="s">
        <v>317</v>
      </c>
      <c r="D3" s="683"/>
    </row>
    <row r="4" spans="1:4" ht="15.75" customHeight="1">
      <c r="A4" s="653"/>
      <c r="B4" s="653"/>
      <c r="C4" s="653"/>
      <c r="D4" s="653"/>
    </row>
    <row r="5" spans="1:4" ht="15.75" customHeight="1">
      <c r="A5" s="653" t="s">
        <v>318</v>
      </c>
      <c r="B5" s="653"/>
      <c r="C5" s="653"/>
      <c r="D5" s="653"/>
    </row>
    <row r="6" spans="1:4" ht="15.75" customHeight="1">
      <c r="A6" s="67" t="s">
        <v>319</v>
      </c>
      <c r="B6" s="65" t="s">
        <v>320</v>
      </c>
      <c r="C6" s="654" t="s">
        <v>321</v>
      </c>
      <c r="D6" s="655"/>
    </row>
    <row r="7" spans="1:4" ht="15.75" customHeight="1">
      <c r="A7" s="67" t="s">
        <v>322</v>
      </c>
      <c r="B7" s="65" t="s">
        <v>323</v>
      </c>
      <c r="C7" s="656" t="s">
        <v>324</v>
      </c>
      <c r="D7" s="656"/>
    </row>
    <row r="8" spans="1:4" ht="15.75" customHeight="1">
      <c r="A8" s="28" t="s">
        <v>325</v>
      </c>
      <c r="B8" s="29" t="s">
        <v>326</v>
      </c>
      <c r="C8" s="657" t="s">
        <v>327</v>
      </c>
      <c r="D8" s="658"/>
    </row>
    <row r="9" spans="1:4" ht="15.75" customHeight="1">
      <c r="A9" s="67" t="s">
        <v>328</v>
      </c>
      <c r="B9" s="65" t="s">
        <v>329</v>
      </c>
      <c r="C9" s="659" t="s">
        <v>330</v>
      </c>
      <c r="D9" s="660"/>
    </row>
    <row r="10" spans="1:4" ht="15.75" customHeight="1">
      <c r="A10" s="67" t="s">
        <v>331</v>
      </c>
      <c r="B10" s="65" t="s">
        <v>332</v>
      </c>
      <c r="C10" s="659" t="s">
        <v>38</v>
      </c>
      <c r="D10" s="660"/>
    </row>
    <row r="11" spans="1:4" ht="15.75" customHeight="1">
      <c r="A11" s="67" t="s">
        <v>334</v>
      </c>
      <c r="B11" s="65" t="s">
        <v>335</v>
      </c>
      <c r="C11" s="733">
        <v>1</v>
      </c>
      <c r="D11" s="735"/>
    </row>
    <row r="12" spans="1:4" ht="15.75" customHeight="1">
      <c r="A12" s="67" t="s">
        <v>394</v>
      </c>
      <c r="B12" s="65" t="s">
        <v>337</v>
      </c>
      <c r="C12" s="688">
        <f>Resumo!I5</f>
        <v>20</v>
      </c>
      <c r="D12" s="675"/>
    </row>
    <row r="13" spans="1:4" ht="15.75" customHeight="1">
      <c r="A13" s="689"/>
      <c r="B13" s="690"/>
      <c r="C13" s="690"/>
      <c r="D13" s="690"/>
    </row>
    <row r="14" spans="1:4" ht="15.75" customHeight="1">
      <c r="A14" s="691" t="s">
        <v>338</v>
      </c>
      <c r="B14" s="692"/>
      <c r="C14" s="692"/>
      <c r="D14" s="693"/>
    </row>
    <row r="15" spans="1:4" ht="15.75" customHeight="1">
      <c r="A15" s="656" t="s">
        <v>339</v>
      </c>
      <c r="B15" s="656"/>
      <c r="C15" s="656"/>
      <c r="D15" s="656"/>
    </row>
    <row r="16" spans="1:4" ht="15.75" customHeight="1">
      <c r="A16" s="67">
        <v>1</v>
      </c>
      <c r="B16" s="65" t="s">
        <v>340</v>
      </c>
      <c r="C16" s="659" t="s">
        <v>548</v>
      </c>
      <c r="D16" s="660" t="s">
        <v>62</v>
      </c>
    </row>
    <row r="17" spans="1:4" ht="15.75" customHeight="1">
      <c r="A17" s="67">
        <v>2</v>
      </c>
      <c r="B17" s="30" t="s">
        <v>342</v>
      </c>
      <c r="C17" s="684" t="s">
        <v>549</v>
      </c>
      <c r="D17" s="685"/>
    </row>
    <row r="18" spans="1:4" ht="15.75" customHeight="1">
      <c r="A18" s="656" t="s">
        <v>344</v>
      </c>
      <c r="B18" s="656"/>
      <c r="C18" s="656"/>
      <c r="D18" s="656"/>
    </row>
    <row r="19" spans="1:4" ht="15.75" customHeight="1">
      <c r="A19" s="67">
        <v>3</v>
      </c>
      <c r="B19" s="661" t="s">
        <v>345</v>
      </c>
      <c r="C19" s="662"/>
      <c r="D19" s="106">
        <f>'SR - ASG'!D19</f>
        <v>1314.09</v>
      </c>
    </row>
    <row r="20" spans="1:4" ht="15.75" customHeight="1">
      <c r="A20" s="67">
        <v>4</v>
      </c>
      <c r="B20" s="661" t="s">
        <v>346</v>
      </c>
      <c r="C20" s="662"/>
      <c r="D20" s="158">
        <v>220</v>
      </c>
    </row>
    <row r="21" spans="1:4" ht="15.75" customHeight="1">
      <c r="A21" s="67">
        <v>5</v>
      </c>
      <c r="B21" s="661" t="s">
        <v>347</v>
      </c>
      <c r="C21" s="662"/>
      <c r="D21" s="75" t="s">
        <v>39</v>
      </c>
    </row>
    <row r="22" spans="1:4" ht="15.75" customHeight="1">
      <c r="A22" s="67">
        <v>6</v>
      </c>
      <c r="B22" s="661" t="s">
        <v>349</v>
      </c>
      <c r="C22" s="662"/>
      <c r="D22" s="76">
        <v>44562</v>
      </c>
    </row>
    <row r="23" spans="1:4" ht="15.75" customHeight="1">
      <c r="A23" s="659"/>
      <c r="B23" s="671"/>
      <c r="C23" s="671"/>
      <c r="D23" s="660"/>
    </row>
    <row r="24" spans="1:4" ht="15.75" customHeight="1">
      <c r="A24" s="672" t="s">
        <v>350</v>
      </c>
      <c r="B24" s="672"/>
      <c r="C24" s="672"/>
      <c r="D24" s="672"/>
    </row>
    <row r="25" spans="1:4" ht="15.75" customHeight="1">
      <c r="A25" s="673"/>
      <c r="B25" s="674"/>
      <c r="C25" s="674"/>
      <c r="D25" s="675"/>
    </row>
    <row r="26" spans="1:4" ht="15.75" customHeight="1">
      <c r="A26" s="66">
        <v>1</v>
      </c>
      <c r="B26" s="676" t="s">
        <v>351</v>
      </c>
      <c r="C26" s="677"/>
      <c r="D26" s="66" t="s">
        <v>352</v>
      </c>
    </row>
    <row r="27" spans="1:4" ht="15.75" hidden="1" customHeight="1" outlineLevel="1">
      <c r="A27" s="67" t="s">
        <v>353</v>
      </c>
      <c r="B27" s="65" t="s">
        <v>354</v>
      </c>
      <c r="C27" s="73">
        <f>'SR - ASG'!C27</f>
        <v>220</v>
      </c>
      <c r="D27" s="107">
        <f>D19/220*C27</f>
        <v>1314.09</v>
      </c>
    </row>
    <row r="28" spans="1:4" ht="15.75" hidden="1" customHeight="1" outlineLevel="1">
      <c r="A28" s="67" t="s">
        <v>322</v>
      </c>
      <c r="B28" s="65" t="s">
        <v>355</v>
      </c>
      <c r="C28" s="31">
        <v>0</v>
      </c>
      <c r="D28" s="107">
        <f>C28*D27</f>
        <v>0</v>
      </c>
    </row>
    <row r="29" spans="1:4" ht="15.75" hidden="1" customHeight="1" outlineLevel="1">
      <c r="A29" s="67" t="s">
        <v>325</v>
      </c>
      <c r="B29" s="65" t="s">
        <v>356</v>
      </c>
      <c r="C29" s="31">
        <v>0.2</v>
      </c>
      <c r="D29" s="107">
        <f>C29*D27</f>
        <v>262.82</v>
      </c>
    </row>
    <row r="30" spans="1:4" ht="15.75" hidden="1" customHeight="1" outlineLevel="1">
      <c r="A30" s="67" t="s">
        <v>328</v>
      </c>
      <c r="B30" s="65" t="s">
        <v>357</v>
      </c>
      <c r="C30" s="159">
        <v>0</v>
      </c>
      <c r="D30" s="108">
        <f>SUM(D31:D32)</f>
        <v>0</v>
      </c>
    </row>
    <row r="31" spans="1:4" ht="15.75" hidden="1" customHeight="1" outlineLevel="2">
      <c r="A31" s="80" t="s">
        <v>358</v>
      </c>
      <c r="B31" s="65" t="s">
        <v>359</v>
      </c>
      <c r="C31" s="81">
        <v>0.2</v>
      </c>
      <c r="D31" s="108">
        <f>(SUM(D27:D29)/C27)*C31*15*C30</f>
        <v>0</v>
      </c>
    </row>
    <row r="32" spans="1:4" ht="15.75" hidden="1" customHeight="1" outlineLevel="2">
      <c r="A32" s="80" t="s">
        <v>360</v>
      </c>
      <c r="B32" s="65" t="s">
        <v>361</v>
      </c>
      <c r="C32" s="82">
        <f>C30*(60/52.5)/8</f>
        <v>0</v>
      </c>
      <c r="D32" s="108">
        <f>(SUM(D27:D29)/C27)*(C31)*15*C32</f>
        <v>0</v>
      </c>
    </row>
    <row r="33" spans="1:4" ht="15.75" hidden="1" customHeight="1" outlineLevel="1">
      <c r="A33" s="67" t="s">
        <v>331</v>
      </c>
      <c r="B33" s="65" t="s">
        <v>362</v>
      </c>
      <c r="C33" s="31" t="s">
        <v>363</v>
      </c>
      <c r="D33" s="1">
        <f>SUM(D34:D37)</f>
        <v>0</v>
      </c>
    </row>
    <row r="34" spans="1:4" ht="15.75" hidden="1" customHeight="1" outlineLevel="2">
      <c r="A34" s="83" t="s">
        <v>364</v>
      </c>
      <c r="B34" s="84" t="s">
        <v>365</v>
      </c>
      <c r="C34" s="85">
        <v>0</v>
      </c>
      <c r="D34" s="109">
        <f>(SUM($D$27:$D$29)/$C$27)*C34*1.5</f>
        <v>0</v>
      </c>
    </row>
    <row r="35" spans="1:4" ht="15.75" hidden="1" customHeight="1" outlineLevel="2">
      <c r="A35" s="83" t="s">
        <v>366</v>
      </c>
      <c r="B35" s="86" t="s">
        <v>367</v>
      </c>
      <c r="C35" s="87">
        <v>0</v>
      </c>
      <c r="D35" s="109">
        <f>(SUM($D$27:$D$29)/$C$27)*C35*((60/52.5)*1.2*1.5)</f>
        <v>0</v>
      </c>
    </row>
    <row r="36" spans="1:4" ht="15.75" hidden="1" customHeight="1" outlineLevel="2">
      <c r="A36" s="83" t="s">
        <v>368</v>
      </c>
      <c r="B36" s="84" t="s">
        <v>369</v>
      </c>
      <c r="C36" s="88">
        <f>C34*0.1429</f>
        <v>0</v>
      </c>
      <c r="D36" s="109">
        <f>(SUM($D$27:$D$29)/$C$27)*C36*2</f>
        <v>0</v>
      </c>
    </row>
    <row r="37" spans="1:4" ht="15.75" hidden="1" customHeight="1" outlineLevel="2">
      <c r="A37" s="83" t="s">
        <v>370</v>
      </c>
      <c r="B37" s="84" t="s">
        <v>371</v>
      </c>
      <c r="C37" s="88">
        <f>C34*0.1429</f>
        <v>0</v>
      </c>
      <c r="D37" s="109">
        <f>(SUM($D$27:$D$29)/$C$27)*C37*((60/52.5)*1.2*2)</f>
        <v>0</v>
      </c>
    </row>
    <row r="38" spans="1:4" ht="15.75" hidden="1" customHeight="1" outlineLevel="1">
      <c r="A38" s="67" t="s">
        <v>334</v>
      </c>
      <c r="B38" s="58" t="s">
        <v>372</v>
      </c>
      <c r="C38" s="59">
        <v>0</v>
      </c>
      <c r="D38" s="110">
        <v>0</v>
      </c>
    </row>
    <row r="39" spans="1:4" ht="15.75" customHeight="1" collapsed="1">
      <c r="A39" s="676" t="s">
        <v>373</v>
      </c>
      <c r="B39" s="678"/>
      <c r="C39" s="677"/>
      <c r="D39" s="111">
        <f>SUM(D27:D30,D33,D38)</f>
        <v>1576.91</v>
      </c>
    </row>
    <row r="40" spans="1:4" ht="15.75" customHeight="1">
      <c r="A40" s="679"/>
      <c r="B40" s="679"/>
      <c r="C40" s="679"/>
      <c r="D40" s="679"/>
    </row>
    <row r="41" spans="1:4" ht="15.75" hidden="1" customHeight="1" outlineLevel="1">
      <c r="A41" s="89" t="s">
        <v>374</v>
      </c>
      <c r="B41" s="112" t="s">
        <v>375</v>
      </c>
      <c r="C41" s="113" t="s">
        <v>376</v>
      </c>
      <c r="D41" s="113" t="s">
        <v>352</v>
      </c>
    </row>
    <row r="42" spans="1:4" ht="15.75" hidden="1" customHeight="1" outlineLevel="1">
      <c r="A42" s="114" t="s">
        <v>353</v>
      </c>
      <c r="B42" s="30" t="s">
        <v>377</v>
      </c>
      <c r="C42" s="90">
        <v>0</v>
      </c>
      <c r="D42" s="115">
        <f>(SUM(D27)/$C$27)*C42*1.5</f>
        <v>0</v>
      </c>
    </row>
    <row r="43" spans="1:4" ht="15.75" hidden="1" customHeight="1" outlineLevel="1">
      <c r="A43" s="116" t="s">
        <v>325</v>
      </c>
      <c r="B43" s="117" t="s">
        <v>378</v>
      </c>
      <c r="C43" s="118">
        <v>0</v>
      </c>
      <c r="D43" s="107">
        <f>C43*177</f>
        <v>0</v>
      </c>
    </row>
    <row r="44" spans="1:4" ht="15.75" hidden="1" customHeight="1" outlineLevel="1">
      <c r="A44" s="67" t="s">
        <v>328</v>
      </c>
      <c r="B44" s="58" t="s">
        <v>372</v>
      </c>
      <c r="C44" s="59">
        <v>0</v>
      </c>
      <c r="D44" s="110">
        <v>0</v>
      </c>
    </row>
    <row r="45" spans="1:4" ht="15.75" customHeight="1" collapsed="1">
      <c r="A45" s="663" t="s">
        <v>379</v>
      </c>
      <c r="B45" s="664"/>
      <c r="C45" s="33">
        <f>D45/D39</f>
        <v>0</v>
      </c>
      <c r="D45" s="119">
        <f>SUM(D42:D43)</f>
        <v>0</v>
      </c>
    </row>
    <row r="46" spans="1:4" ht="15.75" customHeight="1">
      <c r="A46" s="665"/>
      <c r="B46" s="666"/>
      <c r="C46" s="666"/>
      <c r="D46" s="667"/>
    </row>
    <row r="47" spans="1:4" ht="15.75" customHeight="1">
      <c r="A47" s="668" t="s">
        <v>380</v>
      </c>
      <c r="B47" s="669"/>
      <c r="C47" s="669"/>
      <c r="D47" s="670"/>
    </row>
    <row r="48" spans="1:4" ht="15.75" hidden="1" customHeight="1" outlineLevel="1">
      <c r="A48" s="665"/>
      <c r="B48" s="666"/>
      <c r="C48" s="666"/>
      <c r="D48" s="667"/>
    </row>
    <row r="49" spans="1:4" ht="15.75" hidden="1" customHeight="1" outlineLevel="1">
      <c r="A49" s="113" t="s">
        <v>381</v>
      </c>
      <c r="B49" s="112" t="s">
        <v>382</v>
      </c>
      <c r="C49" s="113" t="s">
        <v>383</v>
      </c>
      <c r="D49" s="113" t="s">
        <v>352</v>
      </c>
    </row>
    <row r="50" spans="1:4" ht="15.75" hidden="1" customHeight="1" outlineLevel="2">
      <c r="A50" s="116" t="s">
        <v>353</v>
      </c>
      <c r="B50" s="117" t="s">
        <v>384</v>
      </c>
      <c r="C50" s="32">
        <f>1/12</f>
        <v>8.3299999999999999E-2</v>
      </c>
      <c r="D50" s="107">
        <f>C50*D39</f>
        <v>131.36000000000001</v>
      </c>
    </row>
    <row r="51" spans="1:4" ht="15.75" hidden="1" customHeight="1" outlineLevel="2">
      <c r="A51" s="116" t="s">
        <v>322</v>
      </c>
      <c r="B51" s="117" t="s">
        <v>385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26.33</v>
      </c>
    </row>
    <row r="52" spans="1:4" ht="15.75" hidden="1" customHeight="1" outlineLevel="1">
      <c r="A52" s="663" t="s">
        <v>176</v>
      </c>
      <c r="B52" s="664"/>
      <c r="C52" s="33">
        <f>SUM(C50:C51)</f>
        <v>0.1</v>
      </c>
      <c r="D52" s="119">
        <f>SUM(D50:D51)</f>
        <v>157.69</v>
      </c>
    </row>
    <row r="53" spans="1:4" ht="15.75" hidden="1" customHeight="1" outlineLevel="1">
      <c r="A53" s="665"/>
      <c r="B53" s="666"/>
      <c r="C53" s="666"/>
      <c r="D53" s="667"/>
    </row>
    <row r="54" spans="1:4" ht="15.75" hidden="1" customHeight="1" outlineLevel="1">
      <c r="A54" s="113" t="s">
        <v>386</v>
      </c>
      <c r="B54" s="120" t="s">
        <v>387</v>
      </c>
      <c r="C54" s="113" t="s">
        <v>383</v>
      </c>
      <c r="D54" s="121" t="s">
        <v>352</v>
      </c>
    </row>
    <row r="55" spans="1:4" ht="15.75" hidden="1" customHeight="1" outlineLevel="2">
      <c r="A55" s="114" t="s">
        <v>353</v>
      </c>
      <c r="B55" s="34" t="s">
        <v>388</v>
      </c>
      <c r="C55" s="35">
        <v>0.2</v>
      </c>
      <c r="D55" s="107">
        <f t="shared" ref="D55:D62" si="0">C55*($D$39+$D$52)</f>
        <v>346.92</v>
      </c>
    </row>
    <row r="56" spans="1:4" ht="15.75" hidden="1" customHeight="1" outlineLevel="2">
      <c r="A56" s="114" t="s">
        <v>322</v>
      </c>
      <c r="B56" s="34" t="s">
        <v>389</v>
      </c>
      <c r="C56" s="35">
        <v>2.5000000000000001E-2</v>
      </c>
      <c r="D56" s="107">
        <f t="shared" si="0"/>
        <v>43.37</v>
      </c>
    </row>
    <row r="57" spans="1:4" ht="15.75" hidden="1" customHeight="1" outlineLevel="2">
      <c r="A57" s="114" t="s">
        <v>325</v>
      </c>
      <c r="B57" s="34" t="s">
        <v>390</v>
      </c>
      <c r="C57" s="68">
        <v>0.03</v>
      </c>
      <c r="D57" s="107">
        <f t="shared" si="0"/>
        <v>52.04</v>
      </c>
    </row>
    <row r="58" spans="1:4" ht="15.75" hidden="1" customHeight="1" outlineLevel="2">
      <c r="A58" s="114" t="s">
        <v>328</v>
      </c>
      <c r="B58" s="34" t="s">
        <v>391</v>
      </c>
      <c r="C58" s="35">
        <v>1.4999999999999999E-2</v>
      </c>
      <c r="D58" s="107">
        <f t="shared" si="0"/>
        <v>26.02</v>
      </c>
    </row>
    <row r="59" spans="1:4" ht="15.75" hidden="1" customHeight="1" outlineLevel="2">
      <c r="A59" s="114" t="s">
        <v>331</v>
      </c>
      <c r="B59" s="34" t="s">
        <v>392</v>
      </c>
      <c r="C59" s="35">
        <v>0.01</v>
      </c>
      <c r="D59" s="107">
        <f t="shared" si="0"/>
        <v>17.350000000000001</v>
      </c>
    </row>
    <row r="60" spans="1:4" ht="15.75" hidden="1" customHeight="1" outlineLevel="2">
      <c r="A60" s="114" t="s">
        <v>334</v>
      </c>
      <c r="B60" s="34" t="s">
        <v>393</v>
      </c>
      <c r="C60" s="35">
        <v>6.0000000000000001E-3</v>
      </c>
      <c r="D60" s="107">
        <f t="shared" si="0"/>
        <v>10.41</v>
      </c>
    </row>
    <row r="61" spans="1:4" ht="15.75" hidden="1" customHeight="1" outlineLevel="2">
      <c r="A61" s="114" t="s">
        <v>394</v>
      </c>
      <c r="B61" s="34" t="s">
        <v>395</v>
      </c>
      <c r="C61" s="35">
        <v>2E-3</v>
      </c>
      <c r="D61" s="107">
        <f t="shared" si="0"/>
        <v>3.47</v>
      </c>
    </row>
    <row r="62" spans="1:4" ht="15.75" hidden="1" customHeight="1" outlineLevel="2">
      <c r="A62" s="114" t="s">
        <v>336</v>
      </c>
      <c r="B62" s="34" t="s">
        <v>396</v>
      </c>
      <c r="C62" s="35">
        <v>0.08</v>
      </c>
      <c r="D62" s="107">
        <f t="shared" si="0"/>
        <v>138.77000000000001</v>
      </c>
    </row>
    <row r="63" spans="1:4" ht="15.75" hidden="1" customHeight="1" outlineLevel="1">
      <c r="A63" s="663" t="s">
        <v>176</v>
      </c>
      <c r="B63" s="664"/>
      <c r="C63" s="36">
        <f>SUM(C55:C62)</f>
        <v>0.36799999999999999</v>
      </c>
      <c r="D63" s="122">
        <f>SUM(D55:D62)</f>
        <v>638.35</v>
      </c>
    </row>
    <row r="64" spans="1:4" ht="15.75" hidden="1" customHeight="1" outlineLevel="1">
      <c r="A64" s="665"/>
      <c r="B64" s="666"/>
      <c r="C64" s="666"/>
      <c r="D64" s="667"/>
    </row>
    <row r="65" spans="1:4" ht="15.75" hidden="1" customHeight="1" outlineLevel="1">
      <c r="A65" s="113" t="s">
        <v>397</v>
      </c>
      <c r="B65" s="120" t="s">
        <v>398</v>
      </c>
      <c r="C65" s="113" t="s">
        <v>399</v>
      </c>
      <c r="D65" s="113" t="s">
        <v>352</v>
      </c>
    </row>
    <row r="66" spans="1:4" ht="15.75" hidden="1" customHeight="1" outlineLevel="2">
      <c r="A66" s="114" t="s">
        <v>353</v>
      </c>
      <c r="B66" s="34" t="s">
        <v>400</v>
      </c>
      <c r="C66" s="123">
        <f>'SR - ASG'!C66</f>
        <v>4.8</v>
      </c>
      <c r="D66" s="124">
        <f>IF(D67+D68&gt;0,(D67+D68),0)</f>
        <v>122.75</v>
      </c>
    </row>
    <row r="67" spans="1:4" ht="15.75" hidden="1" customHeight="1" outlineLevel="3">
      <c r="A67" s="125" t="s">
        <v>401</v>
      </c>
      <c r="B67" s="34" t="s">
        <v>402</v>
      </c>
      <c r="C67" s="126">
        <v>21</v>
      </c>
      <c r="D67" s="127">
        <f>C66*C67*2</f>
        <v>201.6</v>
      </c>
    </row>
    <row r="68" spans="1:4" ht="15.75" hidden="1" customHeight="1" outlineLevel="3">
      <c r="A68" s="125" t="s">
        <v>403</v>
      </c>
      <c r="B68" s="34" t="s">
        <v>404</v>
      </c>
      <c r="C68" s="128">
        <v>0.06</v>
      </c>
      <c r="D68" s="127">
        <f>-D27*C68</f>
        <v>-78.849999999999994</v>
      </c>
    </row>
    <row r="69" spans="1:4" ht="15.75" hidden="1" customHeight="1" outlineLevel="2">
      <c r="A69" s="114" t="s">
        <v>322</v>
      </c>
      <c r="B69" s="34" t="s">
        <v>405</v>
      </c>
      <c r="C69" s="129">
        <f>'SR - ASG'!C69</f>
        <v>20.18</v>
      </c>
      <c r="D69" s="124">
        <f>D70+D71</f>
        <v>343.26</v>
      </c>
    </row>
    <row r="70" spans="1:4" ht="15.75" hidden="1" customHeight="1" outlineLevel="3">
      <c r="A70" s="125" t="s">
        <v>406</v>
      </c>
      <c r="B70" s="34" t="s">
        <v>407</v>
      </c>
      <c r="C70" s="126">
        <v>21</v>
      </c>
      <c r="D70" s="127">
        <f>C69*C70</f>
        <v>423.78</v>
      </c>
    </row>
    <row r="71" spans="1:4" ht="15.75" hidden="1" customHeight="1" outlineLevel="3">
      <c r="A71" s="125" t="s">
        <v>408</v>
      </c>
      <c r="B71" s="34" t="s">
        <v>409</v>
      </c>
      <c r="C71" s="130">
        <v>-0.19</v>
      </c>
      <c r="D71" s="127">
        <f>D70*C71</f>
        <v>-80.52</v>
      </c>
    </row>
    <row r="72" spans="1:4" ht="15.75" hidden="1" customHeight="1" outlineLevel="2">
      <c r="A72" s="114" t="s">
        <v>325</v>
      </c>
      <c r="B72" s="77" t="s">
        <v>410</v>
      </c>
      <c r="C72" s="129">
        <v>17.32</v>
      </c>
      <c r="D72" s="132">
        <f>C72</f>
        <v>17.32</v>
      </c>
    </row>
    <row r="73" spans="1:4" ht="15.75" hidden="1" customHeight="1" outlineLevel="2">
      <c r="A73" s="114" t="s">
        <v>328</v>
      </c>
      <c r="B73" s="78" t="s">
        <v>411</v>
      </c>
      <c r="C73" s="129">
        <f>140*3</f>
        <v>420</v>
      </c>
      <c r="D73" s="132">
        <f>C73*C152</f>
        <v>0.84</v>
      </c>
    </row>
    <row r="74" spans="1:4" ht="15.75" hidden="1" customHeight="1" outlineLevel="2">
      <c r="A74" s="114" t="s">
        <v>331</v>
      </c>
      <c r="B74" s="77" t="s">
        <v>412</v>
      </c>
      <c r="C74" s="129">
        <v>21</v>
      </c>
      <c r="D74" s="132">
        <f>C74</f>
        <v>21</v>
      </c>
    </row>
    <row r="75" spans="1:4" ht="15.75" hidden="1" customHeight="1" outlineLevel="2">
      <c r="A75" s="114" t="s">
        <v>334</v>
      </c>
      <c r="B75" s="77" t="s">
        <v>372</v>
      </c>
      <c r="C75" s="131">
        <v>0</v>
      </c>
      <c r="D75" s="132">
        <f>C75*D39</f>
        <v>0</v>
      </c>
    </row>
    <row r="76" spans="1:4" ht="15.75" hidden="1" customHeight="1" outlineLevel="2">
      <c r="A76" s="114" t="s">
        <v>394</v>
      </c>
      <c r="B76" s="77" t="s">
        <v>372</v>
      </c>
      <c r="C76" s="129">
        <v>0</v>
      </c>
      <c r="D76" s="133">
        <f>C76</f>
        <v>0</v>
      </c>
    </row>
    <row r="77" spans="1:4" ht="15.75" hidden="1" customHeight="1" outlineLevel="1">
      <c r="A77" s="663" t="s">
        <v>413</v>
      </c>
      <c r="B77" s="700"/>
      <c r="C77" s="664"/>
      <c r="D77" s="119">
        <f>SUM(D66,D69,D72:D76)</f>
        <v>505.17</v>
      </c>
    </row>
    <row r="78" spans="1:4" ht="15.75" hidden="1" customHeight="1" outlineLevel="1">
      <c r="A78" s="665"/>
      <c r="B78" s="666"/>
      <c r="C78" s="666"/>
      <c r="D78" s="667"/>
    </row>
    <row r="79" spans="1:4" ht="15.75" hidden="1" customHeight="1" outlineLevel="1">
      <c r="A79" s="701" t="s">
        <v>414</v>
      </c>
      <c r="B79" s="702"/>
      <c r="C79" s="113" t="s">
        <v>383</v>
      </c>
      <c r="D79" s="113" t="s">
        <v>352</v>
      </c>
    </row>
    <row r="80" spans="1:4" ht="15.75" hidden="1" customHeight="1" outlineLevel="1">
      <c r="A80" s="114" t="s">
        <v>415</v>
      </c>
      <c r="B80" s="34" t="s">
        <v>382</v>
      </c>
      <c r="C80" s="37">
        <f>C52</f>
        <v>0.1</v>
      </c>
      <c r="D80" s="107">
        <f>D52</f>
        <v>157.69</v>
      </c>
    </row>
    <row r="81" spans="1:4" ht="15.75" hidden="1" customHeight="1" outlineLevel="1">
      <c r="A81" s="114" t="s">
        <v>386</v>
      </c>
      <c r="B81" s="34" t="s">
        <v>387</v>
      </c>
      <c r="C81" s="37">
        <f>C63</f>
        <v>0.36799999999999999</v>
      </c>
      <c r="D81" s="107">
        <f>D63</f>
        <v>638.35</v>
      </c>
    </row>
    <row r="82" spans="1:4" ht="15.75" hidden="1" customHeight="1" outlineLevel="1">
      <c r="A82" s="114" t="s">
        <v>416</v>
      </c>
      <c r="B82" s="34" t="s">
        <v>398</v>
      </c>
      <c r="C82" s="37">
        <f>D77/D39</f>
        <v>0.32040000000000002</v>
      </c>
      <c r="D82" s="107">
        <f>D77</f>
        <v>505.17</v>
      </c>
    </row>
    <row r="83" spans="1:4" ht="15.75" customHeight="1" collapsed="1">
      <c r="A83" s="663" t="s">
        <v>176</v>
      </c>
      <c r="B83" s="700"/>
      <c r="C83" s="664"/>
      <c r="D83" s="119">
        <f>SUM(D80:D82)</f>
        <v>1301.21</v>
      </c>
    </row>
    <row r="84" spans="1:4" ht="15.75" customHeight="1">
      <c r="A84" s="665"/>
      <c r="B84" s="666"/>
      <c r="C84" s="666"/>
      <c r="D84" s="667"/>
    </row>
    <row r="85" spans="1:4" ht="15.75" customHeight="1">
      <c r="A85" s="694" t="s">
        <v>417</v>
      </c>
      <c r="B85" s="695"/>
      <c r="C85" s="695"/>
      <c r="D85" s="696"/>
    </row>
    <row r="86" spans="1:4" ht="15.75" hidden="1" customHeight="1" outlineLevel="1">
      <c r="A86" s="665"/>
      <c r="B86" s="666"/>
      <c r="C86" s="666"/>
      <c r="D86" s="667"/>
    </row>
    <row r="87" spans="1:4" ht="15.75" hidden="1" customHeight="1" outlineLevel="1">
      <c r="A87" s="66" t="s">
        <v>418</v>
      </c>
      <c r="B87" s="112" t="s">
        <v>419</v>
      </c>
      <c r="C87" s="113" t="s">
        <v>383</v>
      </c>
      <c r="D87" s="113" t="s">
        <v>352</v>
      </c>
    </row>
    <row r="88" spans="1:4" ht="15.75" hidden="1" customHeight="1" outlineLevel="2">
      <c r="A88" s="38" t="s">
        <v>353</v>
      </c>
      <c r="B88" s="39" t="s">
        <v>420</v>
      </c>
      <c r="C88" s="38" t="s">
        <v>363</v>
      </c>
      <c r="D88" s="134">
        <f>IF(C99&gt;1,SUM(D89:D92)*2,SUM(D89:D92))</f>
        <v>2222.13</v>
      </c>
    </row>
    <row r="89" spans="1:4" ht="15.75" hidden="1" customHeight="1" outlineLevel="3">
      <c r="A89" s="40" t="s">
        <v>421</v>
      </c>
      <c r="B89" s="41" t="s">
        <v>422</v>
      </c>
      <c r="C89" s="38">
        <f>(IF(C12&gt;60,45,IF(C12&gt;48,42,IF(C12&gt;36,39,IF(C12&gt;24,36,IF(C12&gt;12,33,30)))))/30)</f>
        <v>1.1000000000000001</v>
      </c>
      <c r="D89" s="134">
        <f>D39*C89</f>
        <v>1734.6</v>
      </c>
    </row>
    <row r="90" spans="1:4" ht="15.75" hidden="1" customHeight="1" outlineLevel="3">
      <c r="A90" s="40" t="s">
        <v>423</v>
      </c>
      <c r="B90" s="41" t="s">
        <v>424</v>
      </c>
      <c r="C90" s="32">
        <f>1/12</f>
        <v>8.3299999999999999E-2</v>
      </c>
      <c r="D90" s="134">
        <f>C90*D89</f>
        <v>144.49</v>
      </c>
    </row>
    <row r="91" spans="1:4" ht="15.75" hidden="1" customHeight="1" outlineLevel="3">
      <c r="A91" s="40" t="s">
        <v>425</v>
      </c>
      <c r="B91" s="41" t="s">
        <v>426</v>
      </c>
      <c r="C91" s="32">
        <f>(1/12)+(1/12/3)</f>
        <v>0.1111</v>
      </c>
      <c r="D91" s="135">
        <f>C91*D89</f>
        <v>192.71</v>
      </c>
    </row>
    <row r="92" spans="1:4" ht="15.75" hidden="1" customHeight="1" outlineLevel="3">
      <c r="A92" s="40" t="s">
        <v>427</v>
      </c>
      <c r="B92" s="41" t="s">
        <v>428</v>
      </c>
      <c r="C92" s="42">
        <v>0.08</v>
      </c>
      <c r="D92" s="134">
        <f>SUM(D89:D90)*C92</f>
        <v>150.33000000000001</v>
      </c>
    </row>
    <row r="93" spans="1:4" ht="15.75" hidden="1" customHeight="1" outlineLevel="2">
      <c r="A93" s="38" t="s">
        <v>322</v>
      </c>
      <c r="B93" s="39" t="s">
        <v>429</v>
      </c>
      <c r="C93" s="43">
        <v>0.4</v>
      </c>
      <c r="D93" s="134">
        <f>C93*D94</f>
        <v>1111.83</v>
      </c>
    </row>
    <row r="94" spans="1:4" ht="15.75" hidden="1" customHeight="1" outlineLevel="3">
      <c r="A94" s="38" t="s">
        <v>430</v>
      </c>
      <c r="B94" s="39" t="s">
        <v>431</v>
      </c>
      <c r="C94" s="43">
        <f>C62</f>
        <v>0.08</v>
      </c>
      <c r="D94" s="134">
        <f>C94*D95</f>
        <v>2779.57</v>
      </c>
    </row>
    <row r="95" spans="1:4" ht="15.75" hidden="1" customHeight="1" outlineLevel="3">
      <c r="A95" s="38" t="s">
        <v>432</v>
      </c>
      <c r="B95" s="44" t="s">
        <v>433</v>
      </c>
      <c r="C95" s="45" t="s">
        <v>363</v>
      </c>
      <c r="D95" s="135">
        <f>SUM(D96:D98)</f>
        <v>34744.589999999997</v>
      </c>
    </row>
    <row r="96" spans="1:4" ht="15.75" hidden="1" customHeight="1" outlineLevel="3">
      <c r="A96" s="40" t="s">
        <v>434</v>
      </c>
      <c r="B96" s="41" t="s">
        <v>435</v>
      </c>
      <c r="C96" s="46">
        <f>C12-C98</f>
        <v>19</v>
      </c>
      <c r="D96" s="134">
        <f>D39*C96</f>
        <v>29961.29</v>
      </c>
    </row>
    <row r="97" spans="1:4" ht="15.75" hidden="1" customHeight="1" outlineLevel="3">
      <c r="A97" s="40" t="s">
        <v>436</v>
      </c>
      <c r="B97" s="41" t="s">
        <v>437</v>
      </c>
      <c r="C97" s="47">
        <f>C12/12</f>
        <v>1.7</v>
      </c>
      <c r="D97" s="134">
        <f>D39*C97</f>
        <v>2680.75</v>
      </c>
    </row>
    <row r="98" spans="1:4" ht="15.75" hidden="1" customHeight="1" outlineLevel="3">
      <c r="A98" s="40" t="s">
        <v>438</v>
      </c>
      <c r="B98" s="41" t="s">
        <v>439</v>
      </c>
      <c r="C98" s="45">
        <f>IF(C12&gt;60,5,IF(C12&gt;48,4,IF(C12&gt;36,3,IF(C12&gt;24,2,IF(C12&gt;12,1,0)))))</f>
        <v>1</v>
      </c>
      <c r="D98" s="135">
        <f>D39*C98*1.33333333333333</f>
        <v>2102.5500000000002</v>
      </c>
    </row>
    <row r="99" spans="1:4" ht="15.75" hidden="1" customHeight="1" outlineLevel="1">
      <c r="A99" s="663" t="s">
        <v>176</v>
      </c>
      <c r="B99" s="664"/>
      <c r="C99" s="69">
        <f>'SR - ASG'!C99</f>
        <v>5.5500000000000001E-2</v>
      </c>
      <c r="D99" s="119">
        <f>IF(C99&gt;1,D88+D93,(D88+D93)*C99)</f>
        <v>185.03</v>
      </c>
    </row>
    <row r="100" spans="1:4" ht="15.75" hidden="1" customHeight="1" outlineLevel="1">
      <c r="A100" s="697"/>
      <c r="B100" s="698"/>
      <c r="C100" s="698"/>
      <c r="D100" s="699"/>
    </row>
    <row r="101" spans="1:4" ht="15.75" hidden="1" customHeight="1" outlineLevel="1">
      <c r="A101" s="66" t="s">
        <v>440</v>
      </c>
      <c r="B101" s="112" t="s">
        <v>441</v>
      </c>
      <c r="C101" s="113" t="s">
        <v>383</v>
      </c>
      <c r="D101" s="113" t="s">
        <v>352</v>
      </c>
    </row>
    <row r="102" spans="1:4" ht="15.75" hidden="1" customHeight="1" outlineLevel="2">
      <c r="A102" s="38" t="s">
        <v>353</v>
      </c>
      <c r="B102" s="44" t="s">
        <v>442</v>
      </c>
      <c r="C102" s="48">
        <f>IF(C111&gt;1,(1/30*7)*2,(1/30*7))</f>
        <v>0.23330000000000001</v>
      </c>
      <c r="D102" s="135">
        <f>C102*SUM(D103:D107)</f>
        <v>703.93</v>
      </c>
    </row>
    <row r="103" spans="1:4" ht="15.75" hidden="1" customHeight="1" outlineLevel="3">
      <c r="A103" s="40" t="s">
        <v>421</v>
      </c>
      <c r="B103" s="41" t="s">
        <v>443</v>
      </c>
      <c r="C103" s="38">
        <v>1</v>
      </c>
      <c r="D103" s="134">
        <f>D39</f>
        <v>1576.91</v>
      </c>
    </row>
    <row r="104" spans="1:4" ht="15.75" hidden="1" customHeight="1" outlineLevel="3">
      <c r="A104" s="40" t="s">
        <v>423</v>
      </c>
      <c r="B104" s="41" t="s">
        <v>444</v>
      </c>
      <c r="C104" s="32">
        <f>1/12</f>
        <v>8.3299999999999999E-2</v>
      </c>
      <c r="D104" s="134">
        <f>C104*D103</f>
        <v>131.36000000000001</v>
      </c>
    </row>
    <row r="105" spans="1:4" ht="15.75" hidden="1" customHeight="1" outlineLevel="3">
      <c r="A105" s="40" t="s">
        <v>425</v>
      </c>
      <c r="B105" s="41" t="s">
        <v>445</v>
      </c>
      <c r="C105" s="32">
        <f>(1/12)+(1/12/3)</f>
        <v>0.1111</v>
      </c>
      <c r="D105" s="134">
        <f>C105*D103</f>
        <v>175.19</v>
      </c>
    </row>
    <row r="106" spans="1:4" ht="15.75" hidden="1" customHeight="1" outlineLevel="3">
      <c r="A106" s="40" t="s">
        <v>427</v>
      </c>
      <c r="B106" s="49" t="s">
        <v>446</v>
      </c>
      <c r="C106" s="50">
        <f>C63</f>
        <v>0.36799999999999999</v>
      </c>
      <c r="D106" s="135">
        <f>C106*(D103+D104)</f>
        <v>628.64</v>
      </c>
    </row>
    <row r="107" spans="1:4" ht="15.75" hidden="1" customHeight="1" outlineLevel="3">
      <c r="A107" s="40" t="s">
        <v>447</v>
      </c>
      <c r="B107" s="49" t="s">
        <v>448</v>
      </c>
      <c r="C107" s="45">
        <v>1</v>
      </c>
      <c r="D107" s="135">
        <f>D77</f>
        <v>505.17</v>
      </c>
    </row>
    <row r="108" spans="1:4" ht="15.75" hidden="1" customHeight="1" outlineLevel="2">
      <c r="A108" s="38" t="s">
        <v>322</v>
      </c>
      <c r="B108" s="39" t="s">
        <v>449</v>
      </c>
      <c r="C108" s="43">
        <v>0.4</v>
      </c>
      <c r="D108" s="134">
        <f>C108*D109</f>
        <v>1111.83</v>
      </c>
    </row>
    <row r="109" spans="1:4" ht="15.75" hidden="1" customHeight="1" outlineLevel="2">
      <c r="A109" s="38" t="s">
        <v>430</v>
      </c>
      <c r="B109" s="39" t="s">
        <v>431</v>
      </c>
      <c r="C109" s="43">
        <f>C62</f>
        <v>0.08</v>
      </c>
      <c r="D109" s="134">
        <f>C109*D110</f>
        <v>2779.57</v>
      </c>
    </row>
    <row r="110" spans="1:4" ht="15.75" hidden="1" customHeight="1" outlineLevel="2">
      <c r="A110" s="38" t="s">
        <v>432</v>
      </c>
      <c r="B110" s="44" t="s">
        <v>433</v>
      </c>
      <c r="C110" s="45" t="s">
        <v>363</v>
      </c>
      <c r="D110" s="135">
        <f>D95</f>
        <v>34744.589999999997</v>
      </c>
    </row>
    <row r="111" spans="1:4" ht="15.75" hidden="1" customHeight="1" outlineLevel="1">
      <c r="A111" s="663" t="s">
        <v>176</v>
      </c>
      <c r="B111" s="664"/>
      <c r="C111" s="69">
        <f>'SR - ASG'!C111</f>
        <v>0.94450000000000001</v>
      </c>
      <c r="D111" s="119">
        <f>IF(C111&gt;1,D102+D108,(D102+D108)*C111)</f>
        <v>1714.99</v>
      </c>
    </row>
    <row r="112" spans="1:4" ht="15.75" hidden="1" customHeight="1" outlineLevel="1">
      <c r="A112" s="697"/>
      <c r="B112" s="698"/>
      <c r="C112" s="698"/>
      <c r="D112" s="699"/>
    </row>
    <row r="113" spans="1:4" ht="15.75" hidden="1" customHeight="1" outlineLevel="1">
      <c r="A113" s="66" t="s">
        <v>450</v>
      </c>
      <c r="B113" s="112" t="s">
        <v>451</v>
      </c>
      <c r="C113" s="113" t="s">
        <v>383</v>
      </c>
      <c r="D113" s="113" t="s">
        <v>352</v>
      </c>
    </row>
    <row r="114" spans="1:4" ht="15.75" hidden="1" customHeight="1" outlineLevel="2">
      <c r="A114" s="114" t="s">
        <v>353</v>
      </c>
      <c r="B114" s="34" t="s">
        <v>452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52.51</v>
      </c>
    </row>
    <row r="115" spans="1:4" ht="15.75" hidden="1" customHeight="1" outlineLevel="2">
      <c r="A115" s="114" t="s">
        <v>322</v>
      </c>
      <c r="B115" s="51" t="s">
        <v>453</v>
      </c>
      <c r="C115" s="37">
        <f>C114/3</f>
        <v>1.11E-2</v>
      </c>
      <c r="D115" s="137">
        <f>C115*D39</f>
        <v>17.5</v>
      </c>
    </row>
    <row r="116" spans="1:4" ht="15.75" hidden="1" customHeight="1" outlineLevel="1">
      <c r="A116" s="663" t="s">
        <v>176</v>
      </c>
      <c r="B116" s="664"/>
      <c r="C116" s="33">
        <f>C114+C115</f>
        <v>4.4400000000000002E-2</v>
      </c>
      <c r="D116" s="119">
        <f>SUM(D114:D115)</f>
        <v>70.010000000000005</v>
      </c>
    </row>
    <row r="117" spans="1:4" ht="15.75" hidden="1" customHeight="1" outlineLevel="1">
      <c r="A117" s="697"/>
      <c r="B117" s="698"/>
      <c r="C117" s="698"/>
      <c r="D117" s="699"/>
    </row>
    <row r="118" spans="1:4" ht="15.75" hidden="1" customHeight="1" outlineLevel="1">
      <c r="A118" s="701" t="s">
        <v>454</v>
      </c>
      <c r="B118" s="702"/>
      <c r="C118" s="113" t="s">
        <v>383</v>
      </c>
      <c r="D118" s="113" t="s">
        <v>352</v>
      </c>
    </row>
    <row r="119" spans="1:4" ht="15.75" hidden="1" customHeight="1" outlineLevel="1">
      <c r="A119" s="114" t="s">
        <v>418</v>
      </c>
      <c r="B119" s="34" t="s">
        <v>419</v>
      </c>
      <c r="C119" s="37">
        <f>C99</f>
        <v>5.5500000000000001E-2</v>
      </c>
      <c r="D119" s="107">
        <f>D99</f>
        <v>185.03</v>
      </c>
    </row>
    <row r="120" spans="1:4" ht="15.75" hidden="1" customHeight="1" outlineLevel="1">
      <c r="A120" s="116" t="s">
        <v>440</v>
      </c>
      <c r="B120" s="34" t="s">
        <v>441</v>
      </c>
      <c r="C120" s="52">
        <f>C111</f>
        <v>0.94450000000000001</v>
      </c>
      <c r="D120" s="107">
        <f>D111</f>
        <v>1714.99</v>
      </c>
    </row>
    <row r="121" spans="1:4" ht="15.75" hidden="1" customHeight="1" outlineLevel="1">
      <c r="A121" s="707" t="s">
        <v>455</v>
      </c>
      <c r="B121" s="707"/>
      <c r="C121" s="707"/>
      <c r="D121" s="138">
        <f>D119+D120</f>
        <v>1900.02</v>
      </c>
    </row>
    <row r="122" spans="1:4" ht="15.75" hidden="1" customHeight="1" outlineLevel="1">
      <c r="A122" s="703" t="s">
        <v>456</v>
      </c>
      <c r="B122" s="704"/>
      <c r="C122" s="70">
        <f>'SR - ASG'!C122</f>
        <v>0.63570000000000004</v>
      </c>
      <c r="D122" s="61">
        <f>C122*D121</f>
        <v>1207.8399999999999</v>
      </c>
    </row>
    <row r="123" spans="1:4" ht="15.75" hidden="1" customHeight="1" outlineLevel="1">
      <c r="A123" s="703" t="s">
        <v>457</v>
      </c>
      <c r="B123" s="704"/>
      <c r="C123" s="70">
        <f>'SR - ASG'!C123</f>
        <v>1.0999999999999999E-2</v>
      </c>
      <c r="D123" s="61">
        <f>(D50+(D116/2))*-C123</f>
        <v>-1.83</v>
      </c>
    </row>
    <row r="124" spans="1:4" ht="15.75" hidden="1" customHeight="1" outlineLevel="1">
      <c r="A124" s="705" t="s">
        <v>458</v>
      </c>
      <c r="B124" s="706"/>
      <c r="C124" s="74">
        <f>1/C12</f>
        <v>0.05</v>
      </c>
      <c r="D124" s="62">
        <f>(D122+D123)*C124</f>
        <v>60.3</v>
      </c>
    </row>
    <row r="125" spans="1:4" ht="15.75" hidden="1" customHeight="1" outlineLevel="1">
      <c r="A125" s="116" t="s">
        <v>450</v>
      </c>
      <c r="B125" s="34" t="s">
        <v>459</v>
      </c>
      <c r="C125" s="52"/>
      <c r="D125" s="127">
        <f>D116</f>
        <v>70.010000000000005</v>
      </c>
    </row>
    <row r="126" spans="1:4" ht="15.75" customHeight="1" collapsed="1">
      <c r="A126" s="663" t="s">
        <v>176</v>
      </c>
      <c r="B126" s="664"/>
      <c r="C126" s="33"/>
      <c r="D126" s="139">
        <f>D124+D125</f>
        <v>130.31</v>
      </c>
    </row>
    <row r="127" spans="1:4" ht="15.75" customHeight="1">
      <c r="A127" s="665"/>
      <c r="B127" s="666"/>
      <c r="C127" s="666"/>
      <c r="D127" s="667"/>
    </row>
    <row r="128" spans="1:4" ht="15.75" customHeight="1">
      <c r="A128" s="668" t="s">
        <v>460</v>
      </c>
      <c r="B128" s="669"/>
      <c r="C128" s="669"/>
      <c r="D128" s="670"/>
    </row>
    <row r="129" spans="1:4" ht="15.75" hidden="1" customHeight="1" outlineLevel="1">
      <c r="A129" s="697"/>
      <c r="B129" s="698"/>
      <c r="C129" s="698"/>
      <c r="D129" s="699"/>
    </row>
    <row r="130" spans="1:4" ht="15.75" hidden="1" customHeight="1" outlineLevel="1">
      <c r="A130" s="113" t="s">
        <v>461</v>
      </c>
      <c r="B130" s="120" t="s">
        <v>462</v>
      </c>
      <c r="C130" s="33" t="s">
        <v>383</v>
      </c>
      <c r="D130" s="113" t="s">
        <v>352</v>
      </c>
    </row>
    <row r="131" spans="1:4" ht="15.75" hidden="1" customHeight="1" outlineLevel="2">
      <c r="A131" s="140" t="s">
        <v>353</v>
      </c>
      <c r="B131" s="91" t="s">
        <v>463</v>
      </c>
      <c r="C131" s="53">
        <f>IF(C12&gt;60,5/C12,IF(C12&gt;48,4/C12,IF(C12&gt;36,3/C12,IF(C12&gt;24,2/C12,IF(C12&gt;12,1/C12,0)))))</f>
        <v>0.05</v>
      </c>
      <c r="D131" s="136">
        <f>SUM(D132:D136)</f>
        <v>101.91</v>
      </c>
    </row>
    <row r="132" spans="1:4" ht="15.75" hidden="1" customHeight="1" outlineLevel="3">
      <c r="A132" s="141" t="s">
        <v>464</v>
      </c>
      <c r="B132" s="92" t="s">
        <v>465</v>
      </c>
      <c r="C132" s="142">
        <f>D39</f>
        <v>1576.91</v>
      </c>
      <c r="D132" s="143">
        <f>$C$131*(D39)-($C$131*(D39)*C137/3)</f>
        <v>78.849999999999994</v>
      </c>
    </row>
    <row r="133" spans="1:4" ht="15.75" hidden="1" customHeight="1" outlineLevel="3">
      <c r="A133" s="141" t="s">
        <v>466</v>
      </c>
      <c r="B133" s="92" t="s">
        <v>467</v>
      </c>
      <c r="C133" s="142">
        <f>(D50)</f>
        <v>131.36000000000001</v>
      </c>
      <c r="D133" s="143">
        <f>$C$131*C133-($C$131*C133*C137/3)</f>
        <v>6.57</v>
      </c>
    </row>
    <row r="134" spans="1:4" ht="15.75" hidden="1" customHeight="1" outlineLevel="3">
      <c r="A134" s="141" t="s">
        <v>468</v>
      </c>
      <c r="B134" s="92" t="s">
        <v>469</v>
      </c>
      <c r="C134" s="144">
        <f>(D39/12)+(D51*IF(C12&gt;60,((C12-60)*(1/60))+1,IF(C12&gt;48,((C12-48)*(1/48))+1,IF(C12&gt;36,((C12-36)*(1/36))+1,IF(C12&gt;24,((C12-24)*(1/24))+1,IF(C12&gt;12,((C12-12)*(1/12))+1,1))))))</f>
        <v>175.29</v>
      </c>
      <c r="D134" s="143">
        <f>$C$131*C134-($C$131*C134*C137/3)</f>
        <v>8.76</v>
      </c>
    </row>
    <row r="135" spans="1:4" ht="15.75" hidden="1" customHeight="1" outlineLevel="3">
      <c r="A135" s="141" t="s">
        <v>470</v>
      </c>
      <c r="B135" s="92" t="s">
        <v>471</v>
      </c>
      <c r="C135" s="93">
        <f>C63</f>
        <v>0.36799999999999999</v>
      </c>
      <c r="D135" s="143">
        <f>SUM(D132:D134)*C131</f>
        <v>4.71</v>
      </c>
    </row>
    <row r="136" spans="1:4" ht="15.75" hidden="1" customHeight="1" outlineLevel="3">
      <c r="A136" s="141" t="s">
        <v>472</v>
      </c>
      <c r="B136" s="92" t="s">
        <v>473</v>
      </c>
      <c r="C136" s="144">
        <f>D124</f>
        <v>60.3</v>
      </c>
      <c r="D136" s="143">
        <f>C136*C131</f>
        <v>3.02</v>
      </c>
    </row>
    <row r="137" spans="1:4" ht="15.75" hidden="1" customHeight="1" outlineLevel="2">
      <c r="A137" s="114" t="s">
        <v>322</v>
      </c>
      <c r="B137" s="34" t="s">
        <v>474</v>
      </c>
      <c r="C137" s="94">
        <v>0</v>
      </c>
      <c r="D137" s="127">
        <f>$C$131*(D39)*(C137/3)</f>
        <v>0</v>
      </c>
    </row>
    <row r="138" spans="1:4" ht="15.75" hidden="1" customHeight="1" outlineLevel="1">
      <c r="A138" s="663" t="s">
        <v>475</v>
      </c>
      <c r="B138" s="664"/>
      <c r="C138" s="33">
        <f>C131+(D137/D39)</f>
        <v>0.05</v>
      </c>
      <c r="D138" s="119">
        <f>SUM(D131:D137)</f>
        <v>203.82</v>
      </c>
    </row>
    <row r="139" spans="1:4" ht="15.75" hidden="1" customHeight="1" outlineLevel="1">
      <c r="A139" s="697"/>
      <c r="B139" s="698"/>
      <c r="C139" s="698"/>
      <c r="D139" s="699"/>
    </row>
    <row r="140" spans="1:4" ht="15.75" hidden="1" customHeight="1" outlineLevel="2">
      <c r="A140" s="710" t="s">
        <v>476</v>
      </c>
      <c r="B140" s="145" t="s">
        <v>435</v>
      </c>
      <c r="C140" s="95">
        <v>220</v>
      </c>
      <c r="D140" s="146">
        <f>D39</f>
        <v>1576.91</v>
      </c>
    </row>
    <row r="141" spans="1:4" ht="15.75" hidden="1" customHeight="1" outlineLevel="2">
      <c r="A141" s="711"/>
      <c r="B141" s="145" t="s">
        <v>477</v>
      </c>
      <c r="C141" s="53">
        <f>(1+(1/3)+1)/12</f>
        <v>0.19439999999999999</v>
      </c>
      <c r="D141" s="147">
        <f>D140*C141</f>
        <v>306.55</v>
      </c>
    </row>
    <row r="142" spans="1:4" ht="15.75" hidden="1" customHeight="1" outlineLevel="2">
      <c r="A142" s="711"/>
      <c r="B142" s="145" t="s">
        <v>478</v>
      </c>
      <c r="C142" s="53">
        <f>C63</f>
        <v>0.36799999999999999</v>
      </c>
      <c r="D142" s="147">
        <f>(D140+D141)*C142</f>
        <v>693.11</v>
      </c>
    </row>
    <row r="143" spans="1:4" ht="15.75" hidden="1" customHeight="1" outlineLevel="2">
      <c r="A143" s="711"/>
      <c r="B143" s="145" t="s">
        <v>479</v>
      </c>
      <c r="C143" s="53">
        <f>D143/D140</f>
        <v>0.32040000000000002</v>
      </c>
      <c r="D143" s="147">
        <f>D77</f>
        <v>505.17</v>
      </c>
    </row>
    <row r="144" spans="1:4" ht="15.75" hidden="1" customHeight="1" outlineLevel="2">
      <c r="A144" s="712"/>
      <c r="B144" s="148" t="s">
        <v>480</v>
      </c>
      <c r="C144" s="53">
        <f>D144/D140</f>
        <v>3.8199999999999998E-2</v>
      </c>
      <c r="D144" s="147">
        <f>D124</f>
        <v>60.3</v>
      </c>
    </row>
    <row r="145" spans="1:4" ht="15.75" hidden="1" customHeight="1" outlineLevel="2">
      <c r="A145" s="713" t="s">
        <v>481</v>
      </c>
      <c r="B145" s="714"/>
      <c r="C145" s="96">
        <f>D145/D140</f>
        <v>1.9924999999999999</v>
      </c>
      <c r="D145" s="149">
        <f>SUM(D140:D144)</f>
        <v>3142.04</v>
      </c>
    </row>
    <row r="146" spans="1:4" ht="15.75" hidden="1" customHeight="1" outlineLevel="2">
      <c r="A146" s="715"/>
      <c r="B146" s="715"/>
      <c r="C146" s="715"/>
      <c r="D146" s="716"/>
    </row>
    <row r="147" spans="1:4" ht="15.75" hidden="1" customHeight="1" outlineLevel="1">
      <c r="A147" s="113" t="s">
        <v>482</v>
      </c>
      <c r="B147" s="120" t="s">
        <v>483</v>
      </c>
      <c r="C147" s="33" t="s">
        <v>383</v>
      </c>
      <c r="D147" s="113" t="s">
        <v>352</v>
      </c>
    </row>
    <row r="148" spans="1:4" ht="15.75" hidden="1" customHeight="1" outlineLevel="2">
      <c r="A148" s="114" t="s">
        <v>322</v>
      </c>
      <c r="B148" s="34" t="s">
        <v>484</v>
      </c>
      <c r="C148" s="79">
        <f>5/252</f>
        <v>1.9800000000000002E-2</v>
      </c>
      <c r="D148" s="136">
        <f>C148*$D$145</f>
        <v>62.21</v>
      </c>
    </row>
    <row r="149" spans="1:4" ht="15.75" hidden="1" customHeight="1" outlineLevel="2">
      <c r="A149" s="114" t="s">
        <v>325</v>
      </c>
      <c r="B149" s="34" t="s">
        <v>485</v>
      </c>
      <c r="C149" s="79">
        <f>1.383/252</f>
        <v>5.4999999999999997E-3</v>
      </c>
      <c r="D149" s="136">
        <f>C149*$D$145</f>
        <v>17.28</v>
      </c>
    </row>
    <row r="150" spans="1:4" ht="15.75" hidden="1" customHeight="1" outlineLevel="2">
      <c r="A150" s="114" t="s">
        <v>328</v>
      </c>
      <c r="B150" s="34" t="s">
        <v>486</v>
      </c>
      <c r="C150" s="79">
        <f>1.3892/252</f>
        <v>5.4999999999999997E-3</v>
      </c>
      <c r="D150" s="136">
        <f t="shared" ref="D150:D153" si="1">C150*$D$145</f>
        <v>17.28</v>
      </c>
    </row>
    <row r="151" spans="1:4" ht="15.75" hidden="1" customHeight="1" outlineLevel="2">
      <c r="A151" s="114" t="s">
        <v>331</v>
      </c>
      <c r="B151" s="34" t="s">
        <v>487</v>
      </c>
      <c r="C151" s="79">
        <f>0.65/252</f>
        <v>2.5999999999999999E-3</v>
      </c>
      <c r="D151" s="136">
        <f t="shared" si="1"/>
        <v>8.17</v>
      </c>
    </row>
    <row r="152" spans="1:4" ht="15.75" hidden="1" customHeight="1" outlineLevel="2">
      <c r="A152" s="114" t="s">
        <v>334</v>
      </c>
      <c r="B152" s="34" t="s">
        <v>488</v>
      </c>
      <c r="C152" s="79">
        <f>0.5052/252</f>
        <v>2E-3</v>
      </c>
      <c r="D152" s="136">
        <f t="shared" si="1"/>
        <v>6.28</v>
      </c>
    </row>
    <row r="153" spans="1:4" ht="15.75" hidden="1" customHeight="1" outlineLevel="2">
      <c r="A153" s="114" t="s">
        <v>353</v>
      </c>
      <c r="B153" s="63" t="s">
        <v>489</v>
      </c>
      <c r="C153" s="71">
        <f>0.2/252</f>
        <v>8.0000000000000004E-4</v>
      </c>
      <c r="D153" s="136">
        <f t="shared" si="1"/>
        <v>2.5099999999999998</v>
      </c>
    </row>
    <row r="154" spans="1:4" ht="15.75" hidden="1" customHeight="1" outlineLevel="1">
      <c r="A154" s="663" t="s">
        <v>475</v>
      </c>
      <c r="B154" s="664"/>
      <c r="C154" s="33">
        <f>SUM(C148:C153)</f>
        <v>3.6200000000000003E-2</v>
      </c>
      <c r="D154" s="119">
        <f>SUM(D148:D153)</f>
        <v>113.73</v>
      </c>
    </row>
    <row r="155" spans="1:4" ht="15.75" hidden="1" customHeight="1" outlineLevel="1">
      <c r="A155" s="697"/>
      <c r="B155" s="698"/>
      <c r="C155" s="698"/>
      <c r="D155" s="699"/>
    </row>
    <row r="156" spans="1:4" ht="15.75" hidden="1" customHeight="1" outlineLevel="1">
      <c r="A156" s="701" t="s">
        <v>490</v>
      </c>
      <c r="B156" s="708"/>
      <c r="C156" s="33" t="s">
        <v>491</v>
      </c>
      <c r="D156" s="113" t="s">
        <v>352</v>
      </c>
    </row>
    <row r="157" spans="1:4" ht="15.75" hidden="1" customHeight="1" outlineLevel="2">
      <c r="A157" s="709" t="s">
        <v>492</v>
      </c>
      <c r="B157" s="145" t="s">
        <v>493</v>
      </c>
      <c r="C157" s="97">
        <f>C153</f>
        <v>8.0000000000000004E-4</v>
      </c>
      <c r="D157" s="150">
        <f>C157*-D140</f>
        <v>-1.26</v>
      </c>
    </row>
    <row r="158" spans="1:4" ht="15.75" hidden="1" customHeight="1" outlineLevel="2">
      <c r="A158" s="709"/>
      <c r="B158" s="151" t="s">
        <v>494</v>
      </c>
      <c r="C158" s="98">
        <v>0</v>
      </c>
      <c r="D158" s="152">
        <f>C158*-(D140/220/24*5)</f>
        <v>0</v>
      </c>
    </row>
    <row r="159" spans="1:4" ht="15.75" hidden="1" customHeight="1" outlineLevel="2">
      <c r="A159" s="709"/>
      <c r="B159" s="151" t="s">
        <v>495</v>
      </c>
      <c r="C159" s="98">
        <v>0</v>
      </c>
      <c r="D159" s="152">
        <f>C159*-D141</f>
        <v>0</v>
      </c>
    </row>
    <row r="160" spans="1:4" ht="15.75" hidden="1" customHeight="1" outlineLevel="2">
      <c r="A160" s="709"/>
      <c r="B160" s="145" t="s">
        <v>496</v>
      </c>
      <c r="C160" s="97">
        <f>C154</f>
        <v>3.6200000000000003E-2</v>
      </c>
      <c r="D160" s="150">
        <f>C160*-D66</f>
        <v>-4.4400000000000004</v>
      </c>
    </row>
    <row r="161" spans="1:4" ht="15.75" hidden="1" customHeight="1" outlineLevel="2">
      <c r="A161" s="709"/>
      <c r="B161" s="145" t="s">
        <v>497</v>
      </c>
      <c r="C161" s="97">
        <f>C154</f>
        <v>3.6200000000000003E-2</v>
      </c>
      <c r="D161" s="150">
        <f>C161*-D69</f>
        <v>-12.43</v>
      </c>
    </row>
    <row r="162" spans="1:4" ht="15.75" hidden="1" customHeight="1" outlineLevel="2">
      <c r="A162" s="709"/>
      <c r="B162" s="148" t="s">
        <v>498</v>
      </c>
      <c r="C162" s="97">
        <f>C153</f>
        <v>8.0000000000000004E-4</v>
      </c>
      <c r="D162" s="150">
        <f>C162*-D74</f>
        <v>-0.02</v>
      </c>
    </row>
    <row r="163" spans="1:4" ht="15.75" hidden="1" customHeight="1" outlineLevel="2">
      <c r="A163" s="709"/>
      <c r="B163" s="148" t="s">
        <v>499</v>
      </c>
      <c r="C163" s="99">
        <f>C152</f>
        <v>2E-3</v>
      </c>
      <c r="D163" s="136">
        <f>C163*-SUM(D55:D61)</f>
        <v>-1</v>
      </c>
    </row>
    <row r="164" spans="1:4" ht="15.75" hidden="1" customHeight="1" outlineLevel="2">
      <c r="A164" s="709"/>
      <c r="B164" s="145" t="s">
        <v>500</v>
      </c>
      <c r="C164" s="97">
        <f>C153</f>
        <v>8.0000000000000004E-4</v>
      </c>
      <c r="D164" s="150">
        <f>C164*-D142</f>
        <v>-0.55000000000000004</v>
      </c>
    </row>
    <row r="165" spans="1:4" ht="15.75" hidden="1" customHeight="1" outlineLevel="1">
      <c r="A165" s="663" t="s">
        <v>501</v>
      </c>
      <c r="B165" s="664"/>
      <c r="C165" s="33">
        <f>D165/D140</f>
        <v>-1.2500000000000001E-2</v>
      </c>
      <c r="D165" s="119">
        <f>SUM(D157:D164)</f>
        <v>-19.7</v>
      </c>
    </row>
    <row r="166" spans="1:4" ht="15.75" hidden="1" customHeight="1" outlineLevel="1">
      <c r="A166" s="697"/>
      <c r="B166" s="698"/>
      <c r="C166" s="698"/>
      <c r="D166" s="699"/>
    </row>
    <row r="167" spans="1:4" ht="15.75" hidden="1" customHeight="1" outlineLevel="1">
      <c r="A167" s="663" t="s">
        <v>502</v>
      </c>
      <c r="B167" s="664"/>
      <c r="C167" s="33">
        <f>D167/D140</f>
        <v>5.96E-2</v>
      </c>
      <c r="D167" s="119">
        <f>D154+D165</f>
        <v>94.03</v>
      </c>
    </row>
    <row r="168" spans="1:4" ht="15.75" hidden="1" customHeight="1" outlineLevel="1">
      <c r="A168" s="697"/>
      <c r="B168" s="698"/>
      <c r="C168" s="698"/>
      <c r="D168" s="699"/>
    </row>
    <row r="169" spans="1:4" ht="15.75" hidden="1" customHeight="1" outlineLevel="1">
      <c r="A169" s="701" t="s">
        <v>503</v>
      </c>
      <c r="B169" s="702"/>
      <c r="C169" s="113" t="s">
        <v>383</v>
      </c>
      <c r="D169" s="113" t="s">
        <v>352</v>
      </c>
    </row>
    <row r="170" spans="1:4" ht="15.75" hidden="1" customHeight="1" outlineLevel="1">
      <c r="A170" s="114" t="s">
        <v>461</v>
      </c>
      <c r="B170" s="34" t="s">
        <v>462</v>
      </c>
      <c r="C170" s="37"/>
      <c r="D170" s="153">
        <f>D138</f>
        <v>203.82</v>
      </c>
    </row>
    <row r="171" spans="1:4" ht="15.75" hidden="1" customHeight="1" outlineLevel="1">
      <c r="A171" s="114" t="s">
        <v>482</v>
      </c>
      <c r="B171" s="34" t="s">
        <v>483</v>
      </c>
      <c r="C171" s="37"/>
      <c r="D171" s="153">
        <f>D167</f>
        <v>94.03</v>
      </c>
    </row>
    <row r="172" spans="1:4" ht="15.75" customHeight="1" collapsed="1">
      <c r="A172" s="663" t="s">
        <v>176</v>
      </c>
      <c r="B172" s="700"/>
      <c r="C172" s="664"/>
      <c r="D172" s="122">
        <f>SUM(D170:D171)</f>
        <v>297.85000000000002</v>
      </c>
    </row>
    <row r="173" spans="1:4" ht="15.75" customHeight="1">
      <c r="A173" s="697"/>
      <c r="B173" s="698"/>
      <c r="C173" s="698"/>
      <c r="D173" s="699"/>
    </row>
    <row r="174" spans="1:4" ht="15.75" customHeight="1">
      <c r="A174" s="668" t="s">
        <v>504</v>
      </c>
      <c r="B174" s="669"/>
      <c r="C174" s="669"/>
      <c r="D174" s="670"/>
    </row>
    <row r="175" spans="1:4" ht="15.75" hidden="1" customHeight="1" outlineLevel="1">
      <c r="A175" s="697"/>
      <c r="B175" s="698"/>
      <c r="C175" s="698"/>
      <c r="D175" s="699"/>
    </row>
    <row r="176" spans="1:4" ht="15.75" hidden="1" customHeight="1" outlineLevel="1">
      <c r="A176" s="66">
        <v>5</v>
      </c>
      <c r="B176" s="663" t="s">
        <v>505</v>
      </c>
      <c r="C176" s="664"/>
      <c r="D176" s="113" t="s">
        <v>352</v>
      </c>
    </row>
    <row r="177" spans="1:4" ht="15.75" hidden="1" customHeight="1" outlineLevel="1">
      <c r="A177" s="114" t="s">
        <v>353</v>
      </c>
      <c r="B177" s="717" t="s">
        <v>506</v>
      </c>
      <c r="C177" s="718"/>
      <c r="D177" s="136">
        <f>INSUMOS!H14</f>
        <v>25.55</v>
      </c>
    </row>
    <row r="178" spans="1:4" ht="15.75" hidden="1" customHeight="1" outlineLevel="1">
      <c r="A178" s="114" t="s">
        <v>322</v>
      </c>
      <c r="B178" s="717" t="s">
        <v>541</v>
      </c>
      <c r="C178" s="718"/>
      <c r="D178" s="154">
        <f>INSUMOS!H32</f>
        <v>26.74</v>
      </c>
    </row>
    <row r="179" spans="1:4" ht="15.75" hidden="1" customHeight="1" outlineLevel="1">
      <c r="A179" s="114" t="s">
        <v>325</v>
      </c>
      <c r="B179" s="649" t="s">
        <v>508</v>
      </c>
      <c r="C179" s="650"/>
      <c r="D179" s="154">
        <f>'Materiais - Tratador'!G43</f>
        <v>343.16</v>
      </c>
    </row>
    <row r="180" spans="1:4" ht="15.75" hidden="1" customHeight="1" outlineLevel="1">
      <c r="A180" s="114" t="s">
        <v>328</v>
      </c>
      <c r="B180" s="649" t="s">
        <v>509</v>
      </c>
      <c r="C180" s="650"/>
      <c r="D180" s="154">
        <f>EQUIPAMENTOS!G140</f>
        <v>26.02</v>
      </c>
    </row>
    <row r="181" spans="1:4" ht="15.75" hidden="1" customHeight="1" outlineLevel="1">
      <c r="A181" s="114" t="s">
        <v>331</v>
      </c>
      <c r="B181" s="651" t="s">
        <v>372</v>
      </c>
      <c r="C181" s="652"/>
      <c r="D181" s="133">
        <v>0</v>
      </c>
    </row>
    <row r="182" spans="1:4" ht="15.75" hidden="1" customHeight="1" outlineLevel="1">
      <c r="A182" s="114" t="s">
        <v>334</v>
      </c>
      <c r="B182" s="651" t="s">
        <v>372</v>
      </c>
      <c r="C182" s="652"/>
      <c r="D182" s="133">
        <v>0</v>
      </c>
    </row>
    <row r="183" spans="1:4" ht="15.75" customHeight="1" collapsed="1">
      <c r="A183" s="663" t="s">
        <v>176</v>
      </c>
      <c r="B183" s="700"/>
      <c r="C183" s="664"/>
      <c r="D183" s="119">
        <f>SUM(D177:D181)</f>
        <v>421.47</v>
      </c>
    </row>
    <row r="184" spans="1:4" ht="15.75" customHeight="1">
      <c r="A184" s="665"/>
      <c r="B184" s="666"/>
      <c r="C184" s="666"/>
      <c r="D184" s="667"/>
    </row>
    <row r="185" spans="1:4" ht="15.75" customHeight="1">
      <c r="A185" s="723" t="s">
        <v>510</v>
      </c>
      <c r="B185" s="723"/>
      <c r="C185" s="723"/>
      <c r="D185" s="155">
        <f>D39+D83+D126+D172+D183</f>
        <v>3727.75</v>
      </c>
    </row>
    <row r="186" spans="1:4" ht="15.75" customHeight="1">
      <c r="A186" s="679"/>
      <c r="B186" s="679"/>
      <c r="C186" s="679"/>
      <c r="D186" s="679"/>
    </row>
    <row r="187" spans="1:4" ht="15.75" customHeight="1">
      <c r="A187" s="724" t="s">
        <v>511</v>
      </c>
      <c r="B187" s="724"/>
      <c r="C187" s="724"/>
      <c r="D187" s="724"/>
    </row>
    <row r="188" spans="1:4" ht="15.75" hidden="1" customHeight="1" outlineLevel="1">
      <c r="A188" s="725"/>
      <c r="B188" s="726"/>
      <c r="C188" s="726"/>
      <c r="D188" s="727"/>
    </row>
    <row r="189" spans="1:4" ht="15.75" hidden="1" customHeight="1" outlineLevel="1">
      <c r="A189" s="66">
        <v>6</v>
      </c>
      <c r="B189" s="120" t="s">
        <v>512</v>
      </c>
      <c r="C189" s="113" t="s">
        <v>383</v>
      </c>
      <c r="D189" s="113" t="s">
        <v>352</v>
      </c>
    </row>
    <row r="190" spans="1:4" ht="15.75" hidden="1" customHeight="1" outlineLevel="1">
      <c r="A190" s="114" t="s">
        <v>353</v>
      </c>
      <c r="B190" s="34" t="s">
        <v>513</v>
      </c>
      <c r="C190" s="72">
        <f>'SR - ASG'!C189</f>
        <v>2.6499999999999999E-2</v>
      </c>
      <c r="D190" s="108">
        <f>C190*D185</f>
        <v>98.79</v>
      </c>
    </row>
    <row r="191" spans="1:4" ht="15.75" hidden="1" customHeight="1" outlineLevel="1">
      <c r="A191" s="719" t="s">
        <v>514</v>
      </c>
      <c r="B191" s="720"/>
      <c r="C191" s="722"/>
      <c r="D191" s="108">
        <f>D185+D190</f>
        <v>3826.54</v>
      </c>
    </row>
    <row r="192" spans="1:4" ht="15.75" hidden="1" customHeight="1" outlineLevel="1">
      <c r="A192" s="114" t="s">
        <v>322</v>
      </c>
      <c r="B192" s="34" t="s">
        <v>515</v>
      </c>
      <c r="C192" s="72">
        <f>'SR - ASG'!C191</f>
        <v>0.1087</v>
      </c>
      <c r="D192" s="108">
        <f>C192*D191</f>
        <v>415.94</v>
      </c>
    </row>
    <row r="193" spans="1:4" ht="15.75" hidden="1" customHeight="1" outlineLevel="1">
      <c r="A193" s="719" t="s">
        <v>514</v>
      </c>
      <c r="B193" s="720"/>
      <c r="C193" s="720"/>
      <c r="D193" s="108">
        <f>D192+D191</f>
        <v>4242.4799999999996</v>
      </c>
    </row>
    <row r="194" spans="1:4" ht="15.75" hidden="1" customHeight="1" outlineLevel="1">
      <c r="A194" s="114" t="s">
        <v>325</v>
      </c>
      <c r="B194" s="649" t="s">
        <v>516</v>
      </c>
      <c r="C194" s="721"/>
      <c r="D194" s="650"/>
    </row>
    <row r="195" spans="1:4" ht="15.75" hidden="1" customHeight="1" outlineLevel="1">
      <c r="A195" s="156"/>
      <c r="B195" s="65" t="s">
        <v>517</v>
      </c>
      <c r="C195" s="72">
        <f>'SR - ASG'!C194</f>
        <v>6.4999999999999997E-3</v>
      </c>
      <c r="D195" s="108">
        <f>(D193/(1-C198)*C195)</f>
        <v>29.38</v>
      </c>
    </row>
    <row r="196" spans="1:4" ht="15.75" hidden="1" customHeight="1" outlineLevel="1">
      <c r="A196" s="156"/>
      <c r="B196" s="65" t="s">
        <v>518</v>
      </c>
      <c r="C196" s="72">
        <f>'SR - ASG'!C195</f>
        <v>0.03</v>
      </c>
      <c r="D196" s="108">
        <f>(D193/(1-C198)*C196)</f>
        <v>135.61000000000001</v>
      </c>
    </row>
    <row r="197" spans="1:4" ht="15.75" hidden="1" customHeight="1" outlineLevel="1">
      <c r="A197" s="156"/>
      <c r="B197" s="65" t="s">
        <v>519</v>
      </c>
      <c r="C197" s="54">
        <v>2.5000000000000001E-2</v>
      </c>
      <c r="D197" s="108">
        <f>(D193/(1-C198)*C197)</f>
        <v>113.01</v>
      </c>
    </row>
    <row r="198" spans="1:4" ht="15.75" hidden="1" customHeight="1" outlineLevel="1">
      <c r="A198" s="719" t="s">
        <v>520</v>
      </c>
      <c r="B198" s="722"/>
      <c r="C198" s="55">
        <f>SUM(C195:C197)</f>
        <v>6.1499999999999999E-2</v>
      </c>
      <c r="D198" s="108">
        <f>SUM(D195:D197)</f>
        <v>278</v>
      </c>
    </row>
    <row r="199" spans="1:4" ht="15.75" customHeight="1" collapsed="1">
      <c r="A199" s="663" t="s">
        <v>176</v>
      </c>
      <c r="B199" s="664"/>
      <c r="C199" s="56">
        <f>(1+C190)*(1+C192)*(1/(1-C198))-1</f>
        <v>0.2127</v>
      </c>
      <c r="D199" s="111">
        <f>SUM(D198+D190+D192)</f>
        <v>792.73</v>
      </c>
    </row>
    <row r="200" spans="1:4" ht="15.75" customHeight="1">
      <c r="A200" s="665"/>
      <c r="B200" s="666"/>
      <c r="C200" s="666"/>
      <c r="D200" s="667"/>
    </row>
    <row r="201" spans="1:4" ht="15.75" customHeight="1">
      <c r="A201" s="676" t="s">
        <v>521</v>
      </c>
      <c r="B201" s="678"/>
      <c r="C201" s="677"/>
      <c r="D201" s="57" t="s">
        <v>352</v>
      </c>
    </row>
    <row r="202" spans="1:4" ht="15.75" customHeight="1">
      <c r="A202" s="661" t="s">
        <v>522</v>
      </c>
      <c r="B202" s="728"/>
      <c r="C202" s="728"/>
      <c r="D202" s="662"/>
    </row>
    <row r="203" spans="1:4" ht="15.75" customHeight="1">
      <c r="A203" s="67" t="s">
        <v>353</v>
      </c>
      <c r="B203" s="661" t="s">
        <v>523</v>
      </c>
      <c r="C203" s="662"/>
      <c r="D203" s="107">
        <f>D39</f>
        <v>1576.91</v>
      </c>
    </row>
    <row r="204" spans="1:4" ht="15.75" customHeight="1">
      <c r="A204" s="67" t="s">
        <v>322</v>
      </c>
      <c r="B204" s="661" t="s">
        <v>524</v>
      </c>
      <c r="C204" s="662"/>
      <c r="D204" s="107">
        <f>D83</f>
        <v>1301.21</v>
      </c>
    </row>
    <row r="205" spans="1:4" ht="15.75" customHeight="1">
      <c r="A205" s="67" t="s">
        <v>325</v>
      </c>
      <c r="B205" s="661" t="s">
        <v>525</v>
      </c>
      <c r="C205" s="662"/>
      <c r="D205" s="107">
        <f>D126</f>
        <v>130.31</v>
      </c>
    </row>
    <row r="206" spans="1:4" ht="15.75" customHeight="1">
      <c r="A206" s="67" t="s">
        <v>328</v>
      </c>
      <c r="B206" s="661" t="s">
        <v>526</v>
      </c>
      <c r="C206" s="662"/>
      <c r="D206" s="107">
        <f>D172</f>
        <v>297.85000000000002</v>
      </c>
    </row>
    <row r="207" spans="1:4" ht="15.75" customHeight="1">
      <c r="A207" s="67" t="s">
        <v>331</v>
      </c>
      <c r="B207" s="661" t="s">
        <v>527</v>
      </c>
      <c r="C207" s="662"/>
      <c r="D207" s="107">
        <f>D183</f>
        <v>421.47</v>
      </c>
    </row>
    <row r="208" spans="1:4" ht="15.75" customHeight="1">
      <c r="A208" s="738" t="s">
        <v>528</v>
      </c>
      <c r="B208" s="739"/>
      <c r="C208" s="740"/>
      <c r="D208" s="107">
        <f>SUM(D203:D207)</f>
        <v>3727.75</v>
      </c>
    </row>
    <row r="209" spans="1:4" ht="15.75" customHeight="1">
      <c r="A209" s="67" t="s">
        <v>529</v>
      </c>
      <c r="B209" s="661" t="s">
        <v>530</v>
      </c>
      <c r="C209" s="662"/>
      <c r="D209" s="107">
        <f>D199</f>
        <v>792.73</v>
      </c>
    </row>
    <row r="210" spans="1:4" ht="15.75" customHeight="1">
      <c r="A210" s="676" t="s">
        <v>531</v>
      </c>
      <c r="B210" s="678"/>
      <c r="C210" s="677"/>
      <c r="D210" s="157">
        <f xml:space="preserve"> D208+D209</f>
        <v>4520.4799999999996</v>
      </c>
    </row>
  </sheetData>
  <mergeCells count="107">
    <mergeCell ref="A208:C208"/>
    <mergeCell ref="B209:C209"/>
    <mergeCell ref="A210:C210"/>
    <mergeCell ref="A202:D202"/>
    <mergeCell ref="B203:C203"/>
    <mergeCell ref="B204:C204"/>
    <mergeCell ref="B205:C205"/>
    <mergeCell ref="B206:C206"/>
    <mergeCell ref="B207:C207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B180:C180"/>
    <mergeCell ref="B181:C181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84:D84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C11:D11"/>
    <mergeCell ref="C12:D12"/>
    <mergeCell ref="A13:D13"/>
    <mergeCell ref="A14:D14"/>
    <mergeCell ref="A15:D15"/>
    <mergeCell ref="C16:D16"/>
    <mergeCell ref="A5:D5"/>
    <mergeCell ref="C6:D6"/>
    <mergeCell ref="C7:D7"/>
    <mergeCell ref="C8:D8"/>
    <mergeCell ref="C9:D9"/>
    <mergeCell ref="C10:D10"/>
    <mergeCell ref="B20:C20"/>
    <mergeCell ref="B21:C21"/>
    <mergeCell ref="B22:C22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1E3E7-42C1-4129-B94A-00F2C6550744}">
  <sheetPr codeName="Planilha12">
    <pageSetUpPr fitToPage="1"/>
  </sheetPr>
  <dimension ref="A1:D215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>
      <c r="A1" s="680" t="s">
        <v>313</v>
      </c>
      <c r="B1" s="680"/>
      <c r="C1" s="680"/>
      <c r="D1" s="680"/>
    </row>
    <row r="2" spans="1:4" ht="15.75">
      <c r="A2" s="681" t="s">
        <v>314</v>
      </c>
      <c r="B2" s="681"/>
      <c r="C2" s="682" t="s">
        <v>315</v>
      </c>
      <c r="D2" s="683"/>
    </row>
    <row r="3" spans="1:4" ht="15.75">
      <c r="A3" s="681" t="s">
        <v>316</v>
      </c>
      <c r="B3" s="681"/>
      <c r="C3" s="682" t="s">
        <v>317</v>
      </c>
      <c r="D3" s="683"/>
    </row>
    <row r="4" spans="1:4" ht="15.75">
      <c r="A4" s="653"/>
      <c r="B4" s="653"/>
      <c r="C4" s="653"/>
      <c r="D4" s="653"/>
    </row>
    <row r="5" spans="1:4" ht="15.75">
      <c r="A5" s="653" t="s">
        <v>318</v>
      </c>
      <c r="B5" s="653"/>
      <c r="C5" s="653"/>
      <c r="D5" s="653"/>
    </row>
    <row r="6" spans="1:4" ht="15.75">
      <c r="A6" s="67" t="s">
        <v>319</v>
      </c>
      <c r="B6" s="65" t="s">
        <v>320</v>
      </c>
      <c r="C6" s="654" t="s">
        <v>321</v>
      </c>
      <c r="D6" s="655"/>
    </row>
    <row r="7" spans="1:4" ht="15.75">
      <c r="A7" s="67" t="s">
        <v>322</v>
      </c>
      <c r="B7" s="65" t="s">
        <v>323</v>
      </c>
      <c r="C7" s="656" t="s">
        <v>550</v>
      </c>
      <c r="D7" s="656"/>
    </row>
    <row r="8" spans="1:4" ht="15.75">
      <c r="A8" s="28" t="s">
        <v>325</v>
      </c>
      <c r="B8" s="29" t="s">
        <v>326</v>
      </c>
      <c r="C8" s="736" t="s">
        <v>551</v>
      </c>
      <c r="D8" s="737"/>
    </row>
    <row r="9" spans="1:4" ht="15.75">
      <c r="A9" s="67" t="s">
        <v>328</v>
      </c>
      <c r="B9" s="65" t="s">
        <v>329</v>
      </c>
      <c r="C9" s="659" t="s">
        <v>330</v>
      </c>
      <c r="D9" s="660"/>
    </row>
    <row r="10" spans="1:4" ht="15.75">
      <c r="A10" s="67" t="s">
        <v>331</v>
      </c>
      <c r="B10" s="65" t="s">
        <v>332</v>
      </c>
      <c r="C10" s="659" t="s">
        <v>333</v>
      </c>
      <c r="D10" s="660"/>
    </row>
    <row r="11" spans="1:4" ht="15.75">
      <c r="A11" s="67" t="s">
        <v>334</v>
      </c>
      <c r="B11" s="65" t="s">
        <v>335</v>
      </c>
      <c r="C11" s="686">
        <f>Resumo!F9</f>
        <v>1245.6199999999999</v>
      </c>
      <c r="D11" s="687"/>
    </row>
    <row r="12" spans="1:4" ht="15.75">
      <c r="A12" s="67" t="s">
        <v>394</v>
      </c>
      <c r="B12" s="65" t="s">
        <v>337</v>
      </c>
      <c r="C12" s="688">
        <f>Resumo!I5</f>
        <v>20</v>
      </c>
      <c r="D12" s="675"/>
    </row>
    <row r="13" spans="1:4" ht="15.75">
      <c r="A13" s="689"/>
      <c r="B13" s="690"/>
      <c r="C13" s="690"/>
      <c r="D13" s="690"/>
    </row>
    <row r="14" spans="1:4" ht="15.75">
      <c r="A14" s="691" t="s">
        <v>338</v>
      </c>
      <c r="B14" s="692"/>
      <c r="C14" s="692"/>
      <c r="D14" s="693"/>
    </row>
    <row r="15" spans="1:4" ht="15.75">
      <c r="A15" s="656" t="s">
        <v>339</v>
      </c>
      <c r="B15" s="656"/>
      <c r="C15" s="656"/>
      <c r="D15" s="656"/>
    </row>
    <row r="16" spans="1:4" ht="15.75">
      <c r="A16" s="67">
        <v>1</v>
      </c>
      <c r="B16" s="65" t="s">
        <v>340</v>
      </c>
      <c r="C16" s="659" t="s">
        <v>341</v>
      </c>
      <c r="D16" s="660" t="s">
        <v>62</v>
      </c>
    </row>
    <row r="17" spans="1:4" ht="15.75">
      <c r="A17" s="67">
        <v>2</v>
      </c>
      <c r="B17" s="30" t="s">
        <v>342</v>
      </c>
      <c r="C17" s="684" t="s">
        <v>343</v>
      </c>
      <c r="D17" s="685"/>
    </row>
    <row r="18" spans="1:4" ht="15.75">
      <c r="A18" s="656" t="s">
        <v>344</v>
      </c>
      <c r="B18" s="656"/>
      <c r="C18" s="656"/>
      <c r="D18" s="656"/>
    </row>
    <row r="19" spans="1:4" ht="15.75">
      <c r="A19" s="67">
        <v>3</v>
      </c>
      <c r="B19" s="661" t="s">
        <v>345</v>
      </c>
      <c r="C19" s="662"/>
      <c r="D19" s="106">
        <v>1314.09</v>
      </c>
    </row>
    <row r="20" spans="1:4" ht="15.75">
      <c r="A20" s="67">
        <v>4</v>
      </c>
      <c r="B20" s="661" t="s">
        <v>346</v>
      </c>
      <c r="C20" s="662"/>
      <c r="D20" s="158">
        <v>220</v>
      </c>
    </row>
    <row r="21" spans="1:4" ht="15.75">
      <c r="A21" s="67">
        <v>5</v>
      </c>
      <c r="B21" s="661" t="s">
        <v>347</v>
      </c>
      <c r="C21" s="662"/>
      <c r="D21" s="75" t="s">
        <v>348</v>
      </c>
    </row>
    <row r="22" spans="1:4" ht="15.75">
      <c r="A22" s="67">
        <v>6</v>
      </c>
      <c r="B22" s="661" t="s">
        <v>349</v>
      </c>
      <c r="C22" s="662"/>
      <c r="D22" s="76">
        <v>44562</v>
      </c>
    </row>
    <row r="23" spans="1:4" ht="15.75">
      <c r="A23" s="659"/>
      <c r="B23" s="671"/>
      <c r="C23" s="671"/>
      <c r="D23" s="660"/>
    </row>
    <row r="24" spans="1:4" ht="15.75">
      <c r="A24" s="672" t="s">
        <v>350</v>
      </c>
      <c r="B24" s="672"/>
      <c r="C24" s="672"/>
      <c r="D24" s="672"/>
    </row>
    <row r="25" spans="1:4" ht="15.75">
      <c r="A25" s="673"/>
      <c r="B25" s="674"/>
      <c r="C25" s="674"/>
      <c r="D25" s="675"/>
    </row>
    <row r="26" spans="1:4" ht="15.75">
      <c r="A26" s="66">
        <v>1</v>
      </c>
      <c r="B26" s="676" t="s">
        <v>351</v>
      </c>
      <c r="C26" s="677"/>
      <c r="D26" s="66" t="s">
        <v>352</v>
      </c>
    </row>
    <row r="27" spans="1:4" ht="15.75" hidden="1" outlineLevel="1">
      <c r="A27" s="67" t="s">
        <v>353</v>
      </c>
      <c r="B27" s="65" t="s">
        <v>354</v>
      </c>
      <c r="C27" s="73">
        <f>'SR - ASG'!C27</f>
        <v>220</v>
      </c>
      <c r="D27" s="107">
        <f>D19/220*C27</f>
        <v>1314.09</v>
      </c>
    </row>
    <row r="28" spans="1:4" ht="15.75" hidden="1" outlineLevel="1">
      <c r="A28" s="67" t="s">
        <v>322</v>
      </c>
      <c r="B28" s="65" t="s">
        <v>355</v>
      </c>
      <c r="C28" s="31">
        <v>0</v>
      </c>
      <c r="D28" s="107">
        <f>C28*D27</f>
        <v>0</v>
      </c>
    </row>
    <row r="29" spans="1:4" ht="15.75" hidden="1" outlineLevel="1">
      <c r="A29" s="67" t="s">
        <v>325</v>
      </c>
      <c r="B29" s="65" t="s">
        <v>356</v>
      </c>
      <c r="C29" s="31">
        <v>0.4</v>
      </c>
      <c r="D29" s="107">
        <f>C29*D27</f>
        <v>525.64</v>
      </c>
    </row>
    <row r="30" spans="1:4" ht="15.75" hidden="1" outlineLevel="1">
      <c r="A30" s="67" t="s">
        <v>328</v>
      </c>
      <c r="B30" s="65" t="s">
        <v>357</v>
      </c>
      <c r="C30" s="159">
        <v>0</v>
      </c>
      <c r="D30" s="108">
        <f>SUM(D31:D32)</f>
        <v>0</v>
      </c>
    </row>
    <row r="31" spans="1:4" ht="15.75" hidden="1" outlineLevel="2">
      <c r="A31" s="80" t="s">
        <v>358</v>
      </c>
      <c r="B31" s="65" t="s">
        <v>359</v>
      </c>
      <c r="C31" s="81">
        <v>0.2</v>
      </c>
      <c r="D31" s="108">
        <f>(SUM(D27:D29)/C27)*C31*15*C30</f>
        <v>0</v>
      </c>
    </row>
    <row r="32" spans="1:4" ht="15.75" hidden="1" outlineLevel="2">
      <c r="A32" s="80" t="s">
        <v>360</v>
      </c>
      <c r="B32" s="65" t="s">
        <v>361</v>
      </c>
      <c r="C32" s="82">
        <f>C30*(60/52.5)/8</f>
        <v>0</v>
      </c>
      <c r="D32" s="108">
        <f>(SUM(D27:D29)/C27)*(C31)*15*C32</f>
        <v>0</v>
      </c>
    </row>
    <row r="33" spans="1:4" ht="15.75" hidden="1" outlineLevel="1">
      <c r="A33" s="67" t="s">
        <v>331</v>
      </c>
      <c r="B33" s="65" t="s">
        <v>362</v>
      </c>
      <c r="C33" s="31" t="s">
        <v>363</v>
      </c>
      <c r="D33" s="1">
        <f>SUM(D34:D37)</f>
        <v>0</v>
      </c>
    </row>
    <row r="34" spans="1:4" ht="15.75" hidden="1" outlineLevel="2">
      <c r="A34" s="83" t="s">
        <v>364</v>
      </c>
      <c r="B34" s="84" t="s">
        <v>365</v>
      </c>
      <c r="C34" s="85">
        <v>0</v>
      </c>
      <c r="D34" s="109">
        <f>(SUM($D$27:$D$29)/$C$27)*C34*1.5</f>
        <v>0</v>
      </c>
    </row>
    <row r="35" spans="1:4" ht="15.75" hidden="1" outlineLevel="2">
      <c r="A35" s="83" t="s">
        <v>366</v>
      </c>
      <c r="B35" s="86" t="s">
        <v>367</v>
      </c>
      <c r="C35" s="88">
        <v>0</v>
      </c>
      <c r="D35" s="109">
        <f>(SUM($D$27:$D$29)/$C$27)*C35*((60/52.5)*1.2*1.5)</f>
        <v>0</v>
      </c>
    </row>
    <row r="36" spans="1:4" ht="15.75" hidden="1" outlineLevel="2">
      <c r="A36" s="83" t="s">
        <v>368</v>
      </c>
      <c r="B36" s="84" t="s">
        <v>369</v>
      </c>
      <c r="C36" s="88">
        <f>C34*0.1429</f>
        <v>0</v>
      </c>
      <c r="D36" s="109">
        <f>(SUM($D$27:$D$29)/$C$27)*C36*2</f>
        <v>0</v>
      </c>
    </row>
    <row r="37" spans="1:4" ht="15.75" hidden="1" outlineLevel="2">
      <c r="A37" s="83" t="s">
        <v>370</v>
      </c>
      <c r="B37" s="84" t="s">
        <v>371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>
      <c r="A38" s="67" t="s">
        <v>334</v>
      </c>
      <c r="B38" s="58" t="s">
        <v>372</v>
      </c>
      <c r="C38" s="59">
        <v>0</v>
      </c>
      <c r="D38" s="110">
        <v>0</v>
      </c>
    </row>
    <row r="39" spans="1:4" ht="15.75" collapsed="1">
      <c r="A39" s="676" t="s">
        <v>373</v>
      </c>
      <c r="B39" s="678"/>
      <c r="C39" s="677"/>
      <c r="D39" s="111">
        <f>SUM(D27:D30,D33,D38)</f>
        <v>1839.73</v>
      </c>
    </row>
    <row r="40" spans="1:4" ht="15.75">
      <c r="A40" s="679"/>
      <c r="B40" s="679"/>
      <c r="C40" s="679"/>
      <c r="D40" s="679"/>
    </row>
    <row r="41" spans="1:4" ht="15.75" hidden="1" outlineLevel="1">
      <c r="A41" s="89" t="s">
        <v>374</v>
      </c>
      <c r="B41" s="112" t="s">
        <v>375</v>
      </c>
      <c r="C41" s="113" t="s">
        <v>376</v>
      </c>
      <c r="D41" s="113" t="s">
        <v>352</v>
      </c>
    </row>
    <row r="42" spans="1:4" ht="15.75" hidden="1" outlineLevel="1">
      <c r="A42" s="114" t="s">
        <v>353</v>
      </c>
      <c r="B42" s="30" t="s">
        <v>377</v>
      </c>
      <c r="C42" s="90">
        <v>0</v>
      </c>
      <c r="D42" s="115">
        <f>(SUM(D27)/$C$27)*C42*1.5</f>
        <v>0</v>
      </c>
    </row>
    <row r="43" spans="1:4" ht="15.75" hidden="1" outlineLevel="1">
      <c r="A43" s="116" t="s">
        <v>325</v>
      </c>
      <c r="B43" s="117" t="s">
        <v>378</v>
      </c>
      <c r="C43" s="118">
        <v>0</v>
      </c>
      <c r="D43" s="107">
        <f>C43*177</f>
        <v>0</v>
      </c>
    </row>
    <row r="44" spans="1:4" ht="15.75" hidden="1" outlineLevel="1">
      <c r="A44" s="67" t="s">
        <v>328</v>
      </c>
      <c r="B44" s="58" t="s">
        <v>372</v>
      </c>
      <c r="C44" s="59">
        <v>0</v>
      </c>
      <c r="D44" s="110">
        <v>0</v>
      </c>
    </row>
    <row r="45" spans="1:4" ht="15.75" collapsed="1">
      <c r="A45" s="663" t="s">
        <v>379</v>
      </c>
      <c r="B45" s="664"/>
      <c r="C45" s="33">
        <f>D45/D39</f>
        <v>0</v>
      </c>
      <c r="D45" s="119">
        <f>SUM(D42:D43)</f>
        <v>0</v>
      </c>
    </row>
    <row r="46" spans="1:4" ht="15.75">
      <c r="A46" s="665"/>
      <c r="B46" s="666"/>
      <c r="C46" s="666"/>
      <c r="D46" s="667"/>
    </row>
    <row r="47" spans="1:4" ht="15.75">
      <c r="A47" s="668" t="s">
        <v>380</v>
      </c>
      <c r="B47" s="669"/>
      <c r="C47" s="669"/>
      <c r="D47" s="670"/>
    </row>
    <row r="48" spans="1:4" ht="15.75" hidden="1" outlineLevel="1">
      <c r="A48" s="665"/>
      <c r="B48" s="666"/>
      <c r="C48" s="666"/>
      <c r="D48" s="667"/>
    </row>
    <row r="49" spans="1:4" ht="15.75" hidden="1" outlineLevel="1">
      <c r="A49" s="113" t="s">
        <v>381</v>
      </c>
      <c r="B49" s="112" t="s">
        <v>382</v>
      </c>
      <c r="C49" s="113" t="s">
        <v>383</v>
      </c>
      <c r="D49" s="113" t="s">
        <v>352</v>
      </c>
    </row>
    <row r="50" spans="1:4" ht="15.75" hidden="1" outlineLevel="2">
      <c r="A50" s="116" t="s">
        <v>353</v>
      </c>
      <c r="B50" s="117" t="s">
        <v>384</v>
      </c>
      <c r="C50" s="32">
        <f>1/12</f>
        <v>8.3299999999999999E-2</v>
      </c>
      <c r="D50" s="107">
        <f>C50*D39</f>
        <v>153.25</v>
      </c>
    </row>
    <row r="51" spans="1:4" ht="15.75" hidden="1" outlineLevel="2">
      <c r="A51" s="116" t="s">
        <v>322</v>
      </c>
      <c r="B51" s="117" t="s">
        <v>385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>
      <c r="A52" s="663" t="s">
        <v>176</v>
      </c>
      <c r="B52" s="664"/>
      <c r="C52" s="33">
        <f>SUM(C50:C51)</f>
        <v>0.1</v>
      </c>
      <c r="D52" s="119">
        <f>SUM(D50:D51)</f>
        <v>183.97</v>
      </c>
    </row>
    <row r="53" spans="1:4" ht="15.75" hidden="1" outlineLevel="1">
      <c r="A53" s="665"/>
      <c r="B53" s="666"/>
      <c r="C53" s="666"/>
      <c r="D53" s="667"/>
    </row>
    <row r="54" spans="1:4" ht="15.75" hidden="1" outlineLevel="1">
      <c r="A54" s="113" t="s">
        <v>386</v>
      </c>
      <c r="B54" s="120" t="s">
        <v>387</v>
      </c>
      <c r="C54" s="113" t="s">
        <v>383</v>
      </c>
      <c r="D54" s="121" t="s">
        <v>352</v>
      </c>
    </row>
    <row r="55" spans="1:4" ht="15.75" hidden="1" outlineLevel="2">
      <c r="A55" s="114" t="s">
        <v>353</v>
      </c>
      <c r="B55" s="34" t="s">
        <v>388</v>
      </c>
      <c r="C55" s="35">
        <v>0.2</v>
      </c>
      <c r="D55" s="107">
        <f t="shared" ref="D55:D62" si="0">C55*($D$39+$D$52)</f>
        <v>404.74</v>
      </c>
    </row>
    <row r="56" spans="1:4" ht="15.75" hidden="1" outlineLevel="2">
      <c r="A56" s="114" t="s">
        <v>322</v>
      </c>
      <c r="B56" s="34" t="s">
        <v>389</v>
      </c>
      <c r="C56" s="35">
        <v>2.5000000000000001E-2</v>
      </c>
      <c r="D56" s="107">
        <f t="shared" si="0"/>
        <v>50.59</v>
      </c>
    </row>
    <row r="57" spans="1:4" ht="15.75" hidden="1" outlineLevel="2">
      <c r="A57" s="114" t="s">
        <v>325</v>
      </c>
      <c r="B57" s="34" t="s">
        <v>390</v>
      </c>
      <c r="C57" s="68">
        <v>0.03</v>
      </c>
      <c r="D57" s="107">
        <f t="shared" si="0"/>
        <v>60.71</v>
      </c>
    </row>
    <row r="58" spans="1:4" ht="15.75" hidden="1" outlineLevel="2">
      <c r="A58" s="114" t="s">
        <v>328</v>
      </c>
      <c r="B58" s="34" t="s">
        <v>391</v>
      </c>
      <c r="C58" s="35">
        <v>1.4999999999999999E-2</v>
      </c>
      <c r="D58" s="107">
        <f t="shared" si="0"/>
        <v>30.36</v>
      </c>
    </row>
    <row r="59" spans="1:4" ht="15.75" hidden="1" outlineLevel="2">
      <c r="A59" s="114" t="s">
        <v>331</v>
      </c>
      <c r="B59" s="34" t="s">
        <v>392</v>
      </c>
      <c r="C59" s="35">
        <v>0.01</v>
      </c>
      <c r="D59" s="107">
        <f t="shared" si="0"/>
        <v>20.239999999999998</v>
      </c>
    </row>
    <row r="60" spans="1:4" ht="15.75" hidden="1" outlineLevel="2">
      <c r="A60" s="114" t="s">
        <v>334</v>
      </c>
      <c r="B60" s="34" t="s">
        <v>393</v>
      </c>
      <c r="C60" s="35">
        <v>6.0000000000000001E-3</v>
      </c>
      <c r="D60" s="107">
        <f t="shared" si="0"/>
        <v>12.14</v>
      </c>
    </row>
    <row r="61" spans="1:4" ht="15.75" hidden="1" outlineLevel="2">
      <c r="A61" s="114" t="s">
        <v>394</v>
      </c>
      <c r="B61" s="34" t="s">
        <v>395</v>
      </c>
      <c r="C61" s="35">
        <v>2E-3</v>
      </c>
      <c r="D61" s="107">
        <f t="shared" si="0"/>
        <v>4.05</v>
      </c>
    </row>
    <row r="62" spans="1:4" ht="15.75" hidden="1" outlineLevel="2">
      <c r="A62" s="114" t="s">
        <v>336</v>
      </c>
      <c r="B62" s="34" t="s">
        <v>396</v>
      </c>
      <c r="C62" s="35">
        <v>0.08</v>
      </c>
      <c r="D62" s="107">
        <f t="shared" si="0"/>
        <v>161.9</v>
      </c>
    </row>
    <row r="63" spans="1:4" ht="15.75" hidden="1" outlineLevel="1">
      <c r="A63" s="663" t="s">
        <v>176</v>
      </c>
      <c r="B63" s="664"/>
      <c r="C63" s="36">
        <f>SUM(C55:C62)</f>
        <v>0.36799999999999999</v>
      </c>
      <c r="D63" s="122">
        <f>SUM(D55:D62)</f>
        <v>744.73</v>
      </c>
    </row>
    <row r="64" spans="1:4" ht="15.75" hidden="1" outlineLevel="1">
      <c r="A64" s="665"/>
      <c r="B64" s="666"/>
      <c r="C64" s="666"/>
      <c r="D64" s="667"/>
    </row>
    <row r="65" spans="1:4" ht="15.75" hidden="1" outlineLevel="1">
      <c r="A65" s="113" t="s">
        <v>397</v>
      </c>
      <c r="B65" s="120" t="s">
        <v>398</v>
      </c>
      <c r="C65" s="113" t="s">
        <v>399</v>
      </c>
      <c r="D65" s="113" t="s">
        <v>352</v>
      </c>
    </row>
    <row r="66" spans="1:4" ht="15.75" hidden="1" outlineLevel="2">
      <c r="A66" s="114" t="s">
        <v>353</v>
      </c>
      <c r="B66" s="34" t="s">
        <v>400</v>
      </c>
      <c r="C66" s="123">
        <v>5.6</v>
      </c>
      <c r="D66" s="124">
        <f>IF(D67+D68&gt;0,(D67+D68),0)</f>
        <v>156.35</v>
      </c>
    </row>
    <row r="67" spans="1:4" ht="15.75" hidden="1" outlineLevel="3">
      <c r="A67" s="125" t="s">
        <v>401</v>
      </c>
      <c r="B67" s="34" t="s">
        <v>402</v>
      </c>
      <c r="C67" s="126">
        <v>21</v>
      </c>
      <c r="D67" s="127">
        <f>C66*C67*2</f>
        <v>235.2</v>
      </c>
    </row>
    <row r="68" spans="1:4" ht="15.75" hidden="1" outlineLevel="3">
      <c r="A68" s="125" t="s">
        <v>403</v>
      </c>
      <c r="B68" s="34" t="s">
        <v>404</v>
      </c>
      <c r="C68" s="128">
        <v>0.06</v>
      </c>
      <c r="D68" s="127">
        <f>-D27*C68</f>
        <v>-78.849999999999994</v>
      </c>
    </row>
    <row r="69" spans="1:4" ht="15.75" hidden="1" outlineLevel="2">
      <c r="A69" s="114" t="s">
        <v>322</v>
      </c>
      <c r="B69" s="34" t="s">
        <v>405</v>
      </c>
      <c r="C69" s="129">
        <v>20.18</v>
      </c>
      <c r="D69" s="124">
        <f>D70+D71</f>
        <v>343.26</v>
      </c>
    </row>
    <row r="70" spans="1:4" ht="15.75" hidden="1" outlineLevel="3">
      <c r="A70" s="125" t="s">
        <v>406</v>
      </c>
      <c r="B70" s="34" t="s">
        <v>407</v>
      </c>
      <c r="C70" s="126">
        <v>21</v>
      </c>
      <c r="D70" s="127">
        <f>C69*C70</f>
        <v>423.78</v>
      </c>
    </row>
    <row r="71" spans="1:4" ht="15.75" hidden="1" outlineLevel="3">
      <c r="A71" s="125" t="s">
        <v>408</v>
      </c>
      <c r="B71" s="34" t="s">
        <v>409</v>
      </c>
      <c r="C71" s="130">
        <v>-0.19</v>
      </c>
      <c r="D71" s="127">
        <f>D70*C71</f>
        <v>-80.52</v>
      </c>
    </row>
    <row r="72" spans="1:4" ht="15.75" hidden="1" outlineLevel="2">
      <c r="A72" s="114" t="s">
        <v>325</v>
      </c>
      <c r="B72" s="77" t="s">
        <v>410</v>
      </c>
      <c r="C72" s="129">
        <v>17.32</v>
      </c>
      <c r="D72" s="132">
        <f>C72</f>
        <v>17.32</v>
      </c>
    </row>
    <row r="73" spans="1:4" ht="15.75" hidden="1" outlineLevel="2">
      <c r="A73" s="114" t="s">
        <v>328</v>
      </c>
      <c r="B73" s="78" t="s">
        <v>411</v>
      </c>
      <c r="C73" s="129">
        <f>140*3</f>
        <v>420</v>
      </c>
      <c r="D73" s="132">
        <f>C73*C152</f>
        <v>0.84</v>
      </c>
    </row>
    <row r="74" spans="1:4" ht="15.75" hidden="1" outlineLevel="2">
      <c r="A74" s="114" t="s">
        <v>331</v>
      </c>
      <c r="B74" s="77" t="s">
        <v>412</v>
      </c>
      <c r="C74" s="129">
        <v>21</v>
      </c>
      <c r="D74" s="132">
        <f>C74</f>
        <v>21</v>
      </c>
    </row>
    <row r="75" spans="1:4" ht="15.75" hidden="1" outlineLevel="2">
      <c r="A75" s="114" t="s">
        <v>334</v>
      </c>
      <c r="B75" s="77" t="s">
        <v>372</v>
      </c>
      <c r="C75" s="131">
        <v>0</v>
      </c>
      <c r="D75" s="132">
        <f>C75*D39</f>
        <v>0</v>
      </c>
    </row>
    <row r="76" spans="1:4" ht="15.75" hidden="1" outlineLevel="2">
      <c r="A76" s="114" t="s">
        <v>394</v>
      </c>
      <c r="B76" s="77" t="s">
        <v>372</v>
      </c>
      <c r="C76" s="129">
        <v>0</v>
      </c>
      <c r="D76" s="133">
        <f>C76</f>
        <v>0</v>
      </c>
    </row>
    <row r="77" spans="1:4" ht="15.75" hidden="1" outlineLevel="1">
      <c r="A77" s="663" t="s">
        <v>413</v>
      </c>
      <c r="B77" s="700"/>
      <c r="C77" s="664"/>
      <c r="D77" s="119">
        <f>SUM(D66,D69,D72:D76)</f>
        <v>538.77</v>
      </c>
    </row>
    <row r="78" spans="1:4" ht="15.75" hidden="1" outlineLevel="1">
      <c r="A78" s="665"/>
      <c r="B78" s="666"/>
      <c r="C78" s="666"/>
      <c r="D78" s="667"/>
    </row>
    <row r="79" spans="1:4" ht="15.75" hidden="1" outlineLevel="1">
      <c r="A79" s="701" t="s">
        <v>414</v>
      </c>
      <c r="B79" s="702"/>
      <c r="C79" s="113" t="s">
        <v>383</v>
      </c>
      <c r="D79" s="113" t="s">
        <v>352</v>
      </c>
    </row>
    <row r="80" spans="1:4" ht="15.75" hidden="1" outlineLevel="1">
      <c r="A80" s="114" t="s">
        <v>415</v>
      </c>
      <c r="B80" s="34" t="s">
        <v>382</v>
      </c>
      <c r="C80" s="37">
        <f>C52</f>
        <v>0.1</v>
      </c>
      <c r="D80" s="107">
        <f>D52</f>
        <v>183.97</v>
      </c>
    </row>
    <row r="81" spans="1:4" ht="15.75" hidden="1" outlineLevel="1">
      <c r="A81" s="114" t="s">
        <v>386</v>
      </c>
      <c r="B81" s="34" t="s">
        <v>387</v>
      </c>
      <c r="C81" s="37">
        <f>C63</f>
        <v>0.36799999999999999</v>
      </c>
      <c r="D81" s="107">
        <f>D63</f>
        <v>744.73</v>
      </c>
    </row>
    <row r="82" spans="1:4" ht="15.75" hidden="1" outlineLevel="1">
      <c r="A82" s="114" t="s">
        <v>416</v>
      </c>
      <c r="B82" s="34" t="s">
        <v>398</v>
      </c>
      <c r="C82" s="37">
        <f>D77/D39</f>
        <v>0.29289999999999999</v>
      </c>
      <c r="D82" s="107">
        <f>D77</f>
        <v>538.77</v>
      </c>
    </row>
    <row r="83" spans="1:4" ht="15.75" collapsed="1">
      <c r="A83" s="663" t="s">
        <v>176</v>
      </c>
      <c r="B83" s="700"/>
      <c r="C83" s="664"/>
      <c r="D83" s="119">
        <f>SUM(D80:D82)</f>
        <v>1467.47</v>
      </c>
    </row>
    <row r="84" spans="1:4" ht="15.75">
      <c r="A84" s="665"/>
      <c r="B84" s="666"/>
      <c r="C84" s="666"/>
      <c r="D84" s="667"/>
    </row>
    <row r="85" spans="1:4" ht="15.75">
      <c r="A85" s="694" t="s">
        <v>417</v>
      </c>
      <c r="B85" s="695"/>
      <c r="C85" s="695"/>
      <c r="D85" s="696"/>
    </row>
    <row r="86" spans="1:4" ht="15.75" hidden="1" outlineLevel="1">
      <c r="A86" s="665"/>
      <c r="B86" s="666"/>
      <c r="C86" s="666"/>
      <c r="D86" s="667"/>
    </row>
    <row r="87" spans="1:4" ht="15.75" hidden="1" outlineLevel="1">
      <c r="A87" s="66" t="s">
        <v>418</v>
      </c>
      <c r="B87" s="112" t="s">
        <v>419</v>
      </c>
      <c r="C87" s="113" t="s">
        <v>383</v>
      </c>
      <c r="D87" s="113" t="s">
        <v>352</v>
      </c>
    </row>
    <row r="88" spans="1:4" ht="15.75" hidden="1" outlineLevel="2">
      <c r="A88" s="38" t="s">
        <v>353</v>
      </c>
      <c r="B88" s="39" t="s">
        <v>420</v>
      </c>
      <c r="C88" s="38" t="s">
        <v>363</v>
      </c>
      <c r="D88" s="134">
        <f>IF(C99&gt;1,SUM(D89:D92)*2,SUM(D89:D92))</f>
        <v>2592.48</v>
      </c>
    </row>
    <row r="89" spans="1:4" ht="15.75" hidden="1" outlineLevel="3">
      <c r="A89" s="40" t="s">
        <v>421</v>
      </c>
      <c r="B89" s="41" t="s">
        <v>422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>
      <c r="A90" s="40" t="s">
        <v>423</v>
      </c>
      <c r="B90" s="41" t="s">
        <v>424</v>
      </c>
      <c r="C90" s="32">
        <f>1/12</f>
        <v>8.3299999999999999E-2</v>
      </c>
      <c r="D90" s="134">
        <f>C90*D89</f>
        <v>168.57</v>
      </c>
    </row>
    <row r="91" spans="1:4" ht="15.75" hidden="1" outlineLevel="3">
      <c r="A91" s="40" t="s">
        <v>425</v>
      </c>
      <c r="B91" s="41" t="s">
        <v>426</v>
      </c>
      <c r="C91" s="32">
        <f>(1/12)+(1/12/3)</f>
        <v>0.1111</v>
      </c>
      <c r="D91" s="135">
        <f>C91*D89</f>
        <v>224.83</v>
      </c>
    </row>
    <row r="92" spans="1:4" ht="15.75" hidden="1" outlineLevel="3">
      <c r="A92" s="40" t="s">
        <v>427</v>
      </c>
      <c r="B92" s="41" t="s">
        <v>428</v>
      </c>
      <c r="C92" s="42">
        <v>0.08</v>
      </c>
      <c r="D92" s="134">
        <f>SUM(D89:D90)*C92</f>
        <v>175.38</v>
      </c>
    </row>
    <row r="93" spans="1:4" ht="15.75" hidden="1" outlineLevel="2">
      <c r="A93" s="38" t="s">
        <v>322</v>
      </c>
      <c r="B93" s="39" t="s">
        <v>429</v>
      </c>
      <c r="C93" s="43">
        <v>0.4</v>
      </c>
      <c r="D93" s="134">
        <f>C93*D94</f>
        <v>1297.1300000000001</v>
      </c>
    </row>
    <row r="94" spans="1:4" ht="15.75" hidden="1" outlineLevel="3">
      <c r="A94" s="38" t="s">
        <v>430</v>
      </c>
      <c r="B94" s="39" t="s">
        <v>431</v>
      </c>
      <c r="C94" s="43">
        <f>C62</f>
        <v>0.08</v>
      </c>
      <c r="D94" s="134">
        <f>C94*D95</f>
        <v>3242.83</v>
      </c>
    </row>
    <row r="95" spans="1:4" ht="15.75" hidden="1" outlineLevel="3">
      <c r="A95" s="38" t="s">
        <v>432</v>
      </c>
      <c r="B95" s="44" t="s">
        <v>433</v>
      </c>
      <c r="C95" s="45" t="s">
        <v>363</v>
      </c>
      <c r="D95" s="135">
        <f>SUM(D96:D98)</f>
        <v>40535.379999999997</v>
      </c>
    </row>
    <row r="96" spans="1:4" ht="15.75" hidden="1" outlineLevel="3">
      <c r="A96" s="40" t="s">
        <v>434</v>
      </c>
      <c r="B96" s="41" t="s">
        <v>435</v>
      </c>
      <c r="C96" s="46">
        <f>C12-C98</f>
        <v>19</v>
      </c>
      <c r="D96" s="134">
        <f>D39*C96</f>
        <v>34954.870000000003</v>
      </c>
    </row>
    <row r="97" spans="1:4" ht="15.75" hidden="1" outlineLevel="3">
      <c r="A97" s="40" t="s">
        <v>436</v>
      </c>
      <c r="B97" s="41" t="s">
        <v>437</v>
      </c>
      <c r="C97" s="47">
        <f>C12/12</f>
        <v>1.7</v>
      </c>
      <c r="D97" s="134">
        <f>D39*C97</f>
        <v>3127.54</v>
      </c>
    </row>
    <row r="98" spans="1:4" ht="15.75" hidden="1" outlineLevel="3">
      <c r="A98" s="40" t="s">
        <v>438</v>
      </c>
      <c r="B98" s="41" t="s">
        <v>439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>
      <c r="A99" s="663" t="s">
        <v>176</v>
      </c>
      <c r="B99" s="664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>
      <c r="A100" s="697"/>
      <c r="B100" s="698"/>
      <c r="C100" s="698"/>
      <c r="D100" s="699"/>
    </row>
    <row r="101" spans="1:4" ht="15.75" hidden="1" outlineLevel="1">
      <c r="A101" s="66" t="s">
        <v>440</v>
      </c>
      <c r="B101" s="112" t="s">
        <v>441</v>
      </c>
      <c r="C101" s="113" t="s">
        <v>383</v>
      </c>
      <c r="D101" s="113" t="s">
        <v>352</v>
      </c>
    </row>
    <row r="102" spans="1:4" ht="15.75" hidden="1" outlineLevel="2">
      <c r="A102" s="38" t="s">
        <v>353</v>
      </c>
      <c r="B102" s="44" t="s">
        <v>442</v>
      </c>
      <c r="C102" s="48">
        <f>IF(C111&gt;1,(1/30*7)*2,(1/30*7))</f>
        <v>0.23330000000000001</v>
      </c>
      <c r="D102" s="135">
        <f>C102*SUM(D103:D107)</f>
        <v>809.45</v>
      </c>
    </row>
    <row r="103" spans="1:4" ht="15.75" hidden="1" outlineLevel="3">
      <c r="A103" s="40" t="s">
        <v>421</v>
      </c>
      <c r="B103" s="41" t="s">
        <v>443</v>
      </c>
      <c r="C103" s="38">
        <v>1</v>
      </c>
      <c r="D103" s="134">
        <f>D39</f>
        <v>1839.73</v>
      </c>
    </row>
    <row r="104" spans="1:4" ht="15.75" hidden="1" outlineLevel="3">
      <c r="A104" s="40" t="s">
        <v>423</v>
      </c>
      <c r="B104" s="41" t="s">
        <v>444</v>
      </c>
      <c r="C104" s="32">
        <f>1/12</f>
        <v>8.3299999999999999E-2</v>
      </c>
      <c r="D104" s="134">
        <f>C104*D103</f>
        <v>153.25</v>
      </c>
    </row>
    <row r="105" spans="1:4" ht="15.75" hidden="1" outlineLevel="3">
      <c r="A105" s="40" t="s">
        <v>425</v>
      </c>
      <c r="B105" s="41" t="s">
        <v>445</v>
      </c>
      <c r="C105" s="32">
        <f>(1/12)+(1/12/3)</f>
        <v>0.1111</v>
      </c>
      <c r="D105" s="134">
        <f>C105*D103</f>
        <v>204.39</v>
      </c>
    </row>
    <row r="106" spans="1:4" ht="15.75" hidden="1" outlineLevel="3">
      <c r="A106" s="40" t="s">
        <v>427</v>
      </c>
      <c r="B106" s="49" t="s">
        <v>446</v>
      </c>
      <c r="C106" s="50">
        <f>C63</f>
        <v>0.36799999999999999</v>
      </c>
      <c r="D106" s="135">
        <f>C106*(D103+D104)</f>
        <v>733.42</v>
      </c>
    </row>
    <row r="107" spans="1:4" ht="15.75" hidden="1" outlineLevel="3">
      <c r="A107" s="40" t="s">
        <v>447</v>
      </c>
      <c r="B107" s="49" t="s">
        <v>448</v>
      </c>
      <c r="C107" s="45">
        <v>1</v>
      </c>
      <c r="D107" s="135">
        <f>D77</f>
        <v>538.77</v>
      </c>
    </row>
    <row r="108" spans="1:4" ht="15.75" hidden="1" outlineLevel="2">
      <c r="A108" s="38" t="s">
        <v>322</v>
      </c>
      <c r="B108" s="39" t="s">
        <v>449</v>
      </c>
      <c r="C108" s="43">
        <v>0.4</v>
      </c>
      <c r="D108" s="134">
        <f>C108*D109</f>
        <v>1297.1300000000001</v>
      </c>
    </row>
    <row r="109" spans="1:4" ht="15.75" hidden="1" outlineLevel="2">
      <c r="A109" s="38" t="s">
        <v>430</v>
      </c>
      <c r="B109" s="39" t="s">
        <v>431</v>
      </c>
      <c r="C109" s="43">
        <f>C62</f>
        <v>0.08</v>
      </c>
      <c r="D109" s="134">
        <f>C109*D110</f>
        <v>3242.83</v>
      </c>
    </row>
    <row r="110" spans="1:4" ht="15.75" hidden="1" outlineLevel="2">
      <c r="A110" s="38" t="s">
        <v>432</v>
      </c>
      <c r="B110" s="44" t="s">
        <v>433</v>
      </c>
      <c r="C110" s="45" t="s">
        <v>363</v>
      </c>
      <c r="D110" s="135">
        <f>D95</f>
        <v>40535.379999999997</v>
      </c>
    </row>
    <row r="111" spans="1:4" ht="15.75" hidden="1" outlineLevel="1">
      <c r="A111" s="663" t="s">
        <v>176</v>
      </c>
      <c r="B111" s="664"/>
      <c r="C111" s="69">
        <f>'SR - ASG'!C111</f>
        <v>0.94450000000000001</v>
      </c>
      <c r="D111" s="119">
        <f>IF(C111&gt;1,D102+D108,(D102+D108)*C111)</f>
        <v>1989.66</v>
      </c>
    </row>
    <row r="112" spans="1:4" ht="15.75" hidden="1" outlineLevel="1">
      <c r="A112" s="697"/>
      <c r="B112" s="698"/>
      <c r="C112" s="698"/>
      <c r="D112" s="699"/>
    </row>
    <row r="113" spans="1:4" ht="15.75" hidden="1" outlineLevel="1">
      <c r="A113" s="66" t="s">
        <v>450</v>
      </c>
      <c r="B113" s="112" t="s">
        <v>451</v>
      </c>
      <c r="C113" s="113" t="s">
        <v>383</v>
      </c>
      <c r="D113" s="113" t="s">
        <v>352</v>
      </c>
    </row>
    <row r="114" spans="1:4" ht="15.75" hidden="1" outlineLevel="2">
      <c r="A114" s="114" t="s">
        <v>353</v>
      </c>
      <c r="B114" s="34" t="s">
        <v>452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>
      <c r="A115" s="114" t="s">
        <v>322</v>
      </c>
      <c r="B115" s="51" t="s">
        <v>453</v>
      </c>
      <c r="C115" s="37">
        <f>C114/3</f>
        <v>1.11E-2</v>
      </c>
      <c r="D115" s="137">
        <f>C115*D39</f>
        <v>20.420000000000002</v>
      </c>
    </row>
    <row r="116" spans="1:4" ht="15.75" hidden="1" outlineLevel="1">
      <c r="A116" s="663" t="s">
        <v>176</v>
      </c>
      <c r="B116" s="664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>
      <c r="A117" s="697"/>
      <c r="B117" s="698"/>
      <c r="C117" s="698"/>
      <c r="D117" s="699"/>
    </row>
    <row r="118" spans="1:4" ht="15.75" hidden="1" outlineLevel="1">
      <c r="A118" s="701" t="s">
        <v>454</v>
      </c>
      <c r="B118" s="702"/>
      <c r="C118" s="113" t="s">
        <v>383</v>
      </c>
      <c r="D118" s="113" t="s">
        <v>352</v>
      </c>
    </row>
    <row r="119" spans="1:4" ht="15.75" hidden="1" outlineLevel="1">
      <c r="A119" s="114" t="s">
        <v>418</v>
      </c>
      <c r="B119" s="34" t="s">
        <v>419</v>
      </c>
      <c r="C119" s="37">
        <f>C99</f>
        <v>5.5500000000000001E-2</v>
      </c>
      <c r="D119" s="107">
        <f>D99</f>
        <v>215.87</v>
      </c>
    </row>
    <row r="120" spans="1:4" ht="15.75" hidden="1" outlineLevel="1">
      <c r="A120" s="116" t="s">
        <v>440</v>
      </c>
      <c r="B120" s="34" t="s">
        <v>441</v>
      </c>
      <c r="C120" s="52">
        <f>C111</f>
        <v>0.94450000000000001</v>
      </c>
      <c r="D120" s="107">
        <f>D111</f>
        <v>1989.66</v>
      </c>
    </row>
    <row r="121" spans="1:4" ht="15.75" hidden="1" outlineLevel="1">
      <c r="A121" s="707" t="s">
        <v>455</v>
      </c>
      <c r="B121" s="707"/>
      <c r="C121" s="707"/>
      <c r="D121" s="138">
        <f>D119+D120</f>
        <v>2205.5300000000002</v>
      </c>
    </row>
    <row r="122" spans="1:4" ht="15.75" hidden="1" outlineLevel="1">
      <c r="A122" s="703" t="s">
        <v>456</v>
      </c>
      <c r="B122" s="704"/>
      <c r="C122" s="70">
        <f>'SR - ASG'!C122</f>
        <v>0.63570000000000004</v>
      </c>
      <c r="D122" s="61">
        <f>C122*D121</f>
        <v>1402.06</v>
      </c>
    </row>
    <row r="123" spans="1:4" ht="15.75" hidden="1" outlineLevel="1">
      <c r="A123" s="703" t="s">
        <v>457</v>
      </c>
      <c r="B123" s="70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>
      <c r="A124" s="705" t="s">
        <v>458</v>
      </c>
      <c r="B124" s="706"/>
      <c r="C124" s="74">
        <f>1/C12</f>
        <v>0.05</v>
      </c>
      <c r="D124" s="62">
        <f>(D122+D123)*C124</f>
        <v>70</v>
      </c>
    </row>
    <row r="125" spans="1:4" ht="15.75" hidden="1" outlineLevel="1">
      <c r="A125" s="116" t="s">
        <v>450</v>
      </c>
      <c r="B125" s="34" t="s">
        <v>459</v>
      </c>
      <c r="C125" s="52"/>
      <c r="D125" s="127">
        <f>D116</f>
        <v>81.680000000000007</v>
      </c>
    </row>
    <row r="126" spans="1:4" ht="15.75" collapsed="1">
      <c r="A126" s="663" t="s">
        <v>176</v>
      </c>
      <c r="B126" s="664"/>
      <c r="C126" s="33"/>
      <c r="D126" s="139">
        <f>D124+D125</f>
        <v>151.68</v>
      </c>
    </row>
    <row r="127" spans="1:4" ht="15.75">
      <c r="A127" s="665"/>
      <c r="B127" s="666"/>
      <c r="C127" s="666"/>
      <c r="D127" s="667"/>
    </row>
    <row r="128" spans="1:4" ht="15.75">
      <c r="A128" s="668" t="s">
        <v>460</v>
      </c>
      <c r="B128" s="669"/>
      <c r="C128" s="669"/>
      <c r="D128" s="670"/>
    </row>
    <row r="129" spans="1:4" ht="15.75" hidden="1" outlineLevel="1">
      <c r="A129" s="697"/>
      <c r="B129" s="698"/>
      <c r="C129" s="698"/>
      <c r="D129" s="699"/>
    </row>
    <row r="130" spans="1:4" ht="15.75" hidden="1" outlineLevel="1">
      <c r="A130" s="113" t="s">
        <v>461</v>
      </c>
      <c r="B130" s="120" t="s">
        <v>462</v>
      </c>
      <c r="C130" s="33" t="s">
        <v>383</v>
      </c>
      <c r="D130" s="113" t="s">
        <v>352</v>
      </c>
    </row>
    <row r="131" spans="1:4" ht="15.75" hidden="1" outlineLevel="2">
      <c r="A131" s="140" t="s">
        <v>353</v>
      </c>
      <c r="B131" s="91" t="s">
        <v>463</v>
      </c>
      <c r="C131" s="53">
        <f>IF(C12&gt;60,5/C12,IF(C12&gt;48,4/C12,IF(C12&gt;36,3/C12,IF(C12&gt;24,2/C12,IF(C12&gt;12,1/C12,0)))))</f>
        <v>0.05</v>
      </c>
      <c r="D131" s="136">
        <f>SUM(D132:D136)</f>
        <v>118.87</v>
      </c>
    </row>
    <row r="132" spans="1:4" ht="15.75" hidden="1" outlineLevel="3">
      <c r="A132" s="141" t="s">
        <v>464</v>
      </c>
      <c r="B132" s="92" t="s">
        <v>465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>
      <c r="A133" s="141" t="s">
        <v>466</v>
      </c>
      <c r="B133" s="92" t="s">
        <v>467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>
      <c r="A134" s="141" t="s">
        <v>468</v>
      </c>
      <c r="B134" s="92" t="s">
        <v>469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>
      <c r="A135" s="141" t="s">
        <v>470</v>
      </c>
      <c r="B135" s="92" t="s">
        <v>471</v>
      </c>
      <c r="C135" s="93">
        <f>C63</f>
        <v>0.36799999999999999</v>
      </c>
      <c r="D135" s="143">
        <f>SUM(D132:D134)*C131</f>
        <v>5.49</v>
      </c>
    </row>
    <row r="136" spans="1:4" ht="15.75" hidden="1" outlineLevel="3">
      <c r="A136" s="141" t="s">
        <v>472</v>
      </c>
      <c r="B136" s="92" t="s">
        <v>473</v>
      </c>
      <c r="C136" s="144">
        <f>D124</f>
        <v>70</v>
      </c>
      <c r="D136" s="143">
        <f>C136*C131</f>
        <v>3.5</v>
      </c>
    </row>
    <row r="137" spans="1:4" ht="15.75" hidden="1" outlineLevel="2">
      <c r="A137" s="114" t="s">
        <v>322</v>
      </c>
      <c r="B137" s="34" t="s">
        <v>474</v>
      </c>
      <c r="C137" s="94">
        <v>0</v>
      </c>
      <c r="D137" s="127">
        <f>$C$131*(D39)*(C137/3)</f>
        <v>0</v>
      </c>
    </row>
    <row r="138" spans="1:4" ht="15.75" hidden="1" outlineLevel="1">
      <c r="A138" s="663" t="s">
        <v>475</v>
      </c>
      <c r="B138" s="664"/>
      <c r="C138" s="33">
        <f>C131+(D137/D39)</f>
        <v>0.05</v>
      </c>
      <c r="D138" s="119">
        <f>SUM(D131:D137)</f>
        <v>237.74</v>
      </c>
    </row>
    <row r="139" spans="1:4" ht="15.75" hidden="1" outlineLevel="1">
      <c r="A139" s="697"/>
      <c r="B139" s="698"/>
      <c r="C139" s="698"/>
      <c r="D139" s="699"/>
    </row>
    <row r="140" spans="1:4" ht="15.75" hidden="1" outlineLevel="2">
      <c r="A140" s="710" t="s">
        <v>476</v>
      </c>
      <c r="B140" s="145" t="s">
        <v>435</v>
      </c>
      <c r="C140" s="95">
        <v>220</v>
      </c>
      <c r="D140" s="146">
        <f>D39</f>
        <v>1839.73</v>
      </c>
    </row>
    <row r="141" spans="1:4" ht="15.75" hidden="1" outlineLevel="2">
      <c r="A141" s="711"/>
      <c r="B141" s="145" t="s">
        <v>477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>
      <c r="A142" s="711"/>
      <c r="B142" s="145" t="s">
        <v>478</v>
      </c>
      <c r="C142" s="53">
        <f>C63</f>
        <v>0.36799999999999999</v>
      </c>
      <c r="D142" s="147">
        <f>(D140+D141)*C142</f>
        <v>808.63</v>
      </c>
    </row>
    <row r="143" spans="1:4" ht="15.75" hidden="1" outlineLevel="2">
      <c r="A143" s="711"/>
      <c r="B143" s="145" t="s">
        <v>479</v>
      </c>
      <c r="C143" s="53">
        <f>D143/D140</f>
        <v>0.29289999999999999</v>
      </c>
      <c r="D143" s="147">
        <f>D77</f>
        <v>538.77</v>
      </c>
    </row>
    <row r="144" spans="1:4" ht="15.75" hidden="1" outlineLevel="2">
      <c r="A144" s="712"/>
      <c r="B144" s="148" t="s">
        <v>480</v>
      </c>
      <c r="C144" s="53">
        <f>D144/D140</f>
        <v>3.7999999999999999E-2</v>
      </c>
      <c r="D144" s="147">
        <f>D124</f>
        <v>70</v>
      </c>
    </row>
    <row r="145" spans="1:4" ht="15.75" hidden="1" outlineLevel="2">
      <c r="A145" s="713" t="s">
        <v>481</v>
      </c>
      <c r="B145" s="714"/>
      <c r="C145" s="96">
        <f>D145/D140</f>
        <v>1.9648000000000001</v>
      </c>
      <c r="D145" s="149">
        <f>SUM(D140:D144)</f>
        <v>3614.77</v>
      </c>
    </row>
    <row r="146" spans="1:4" ht="15.75" hidden="1" outlineLevel="2">
      <c r="A146" s="715"/>
      <c r="B146" s="715"/>
      <c r="C146" s="715"/>
      <c r="D146" s="716"/>
    </row>
    <row r="147" spans="1:4" ht="15.75" hidden="1" outlineLevel="1">
      <c r="A147" s="113" t="s">
        <v>482</v>
      </c>
      <c r="B147" s="120" t="s">
        <v>483</v>
      </c>
      <c r="C147" s="33" t="s">
        <v>383</v>
      </c>
      <c r="D147" s="113" t="s">
        <v>352</v>
      </c>
    </row>
    <row r="148" spans="1:4" ht="15.75" hidden="1" outlineLevel="2">
      <c r="A148" s="114" t="s">
        <v>322</v>
      </c>
      <c r="B148" s="34" t="s">
        <v>484</v>
      </c>
      <c r="C148" s="79">
        <f>5/252</f>
        <v>1.9800000000000002E-2</v>
      </c>
      <c r="D148" s="136">
        <f>C148*$D$145</f>
        <v>71.569999999999993</v>
      </c>
    </row>
    <row r="149" spans="1:4" ht="15.75" hidden="1" outlineLevel="2">
      <c r="A149" s="114" t="s">
        <v>325</v>
      </c>
      <c r="B149" s="34" t="s">
        <v>485</v>
      </c>
      <c r="C149" s="79">
        <f>1.383/252</f>
        <v>5.4999999999999997E-3</v>
      </c>
      <c r="D149" s="136">
        <f>C149*$D$145</f>
        <v>19.88</v>
      </c>
    </row>
    <row r="150" spans="1:4" ht="15.75" hidden="1" outlineLevel="2">
      <c r="A150" s="114" t="s">
        <v>328</v>
      </c>
      <c r="B150" s="34" t="s">
        <v>486</v>
      </c>
      <c r="C150" s="79">
        <f>1.3892/252</f>
        <v>5.4999999999999997E-3</v>
      </c>
      <c r="D150" s="136">
        <f t="shared" ref="D150:D153" si="1">C150*$D$145</f>
        <v>19.88</v>
      </c>
    </row>
    <row r="151" spans="1:4" ht="15.75" hidden="1" outlineLevel="2">
      <c r="A151" s="114" t="s">
        <v>331</v>
      </c>
      <c r="B151" s="34" t="s">
        <v>487</v>
      </c>
      <c r="C151" s="79">
        <f>0.65/252</f>
        <v>2.5999999999999999E-3</v>
      </c>
      <c r="D151" s="136">
        <f t="shared" si="1"/>
        <v>9.4</v>
      </c>
    </row>
    <row r="152" spans="1:4" ht="15.75" hidden="1" outlineLevel="2">
      <c r="A152" s="114" t="s">
        <v>334</v>
      </c>
      <c r="B152" s="34" t="s">
        <v>488</v>
      </c>
      <c r="C152" s="79">
        <f>0.5052/252</f>
        <v>2E-3</v>
      </c>
      <c r="D152" s="136">
        <f t="shared" si="1"/>
        <v>7.23</v>
      </c>
    </row>
    <row r="153" spans="1:4" ht="15.75" hidden="1" outlineLevel="2">
      <c r="A153" s="114" t="s">
        <v>353</v>
      </c>
      <c r="B153" s="63" t="s">
        <v>489</v>
      </c>
      <c r="C153" s="71">
        <f>0.2/252</f>
        <v>8.0000000000000004E-4</v>
      </c>
      <c r="D153" s="136">
        <f t="shared" si="1"/>
        <v>2.89</v>
      </c>
    </row>
    <row r="154" spans="1:4" ht="15.75" hidden="1" outlineLevel="1">
      <c r="A154" s="663" t="s">
        <v>475</v>
      </c>
      <c r="B154" s="664"/>
      <c r="C154" s="33">
        <f>SUM(C148:C153)</f>
        <v>3.6200000000000003E-2</v>
      </c>
      <c r="D154" s="119">
        <f>SUM(D148:D153)</f>
        <v>130.85</v>
      </c>
    </row>
    <row r="155" spans="1:4" ht="15.75" hidden="1" outlineLevel="1">
      <c r="A155" s="697"/>
      <c r="B155" s="698"/>
      <c r="C155" s="698"/>
      <c r="D155" s="699"/>
    </row>
    <row r="156" spans="1:4" ht="15.75" hidden="1" outlineLevel="1">
      <c r="A156" s="701" t="s">
        <v>490</v>
      </c>
      <c r="B156" s="708"/>
      <c r="C156" s="33" t="s">
        <v>491</v>
      </c>
      <c r="D156" s="113" t="s">
        <v>352</v>
      </c>
    </row>
    <row r="157" spans="1:4" ht="15.75" hidden="1" outlineLevel="2">
      <c r="A157" s="709" t="s">
        <v>492</v>
      </c>
      <c r="B157" s="145" t="s">
        <v>493</v>
      </c>
      <c r="C157" s="97">
        <f>C153</f>
        <v>8.0000000000000004E-4</v>
      </c>
      <c r="D157" s="150">
        <f>C157*-D140</f>
        <v>-1.47</v>
      </c>
    </row>
    <row r="158" spans="1:4" ht="15.75" hidden="1" outlineLevel="2">
      <c r="A158" s="709"/>
      <c r="B158" s="151" t="s">
        <v>494</v>
      </c>
      <c r="C158" s="98">
        <v>0</v>
      </c>
      <c r="D158" s="152">
        <f>C158*-(D140/220/24*5)</f>
        <v>0</v>
      </c>
    </row>
    <row r="159" spans="1:4" ht="15.75" hidden="1" outlineLevel="2">
      <c r="A159" s="709"/>
      <c r="B159" s="151" t="s">
        <v>495</v>
      </c>
      <c r="C159" s="98">
        <v>0</v>
      </c>
      <c r="D159" s="152">
        <f>C159*-D141</f>
        <v>0</v>
      </c>
    </row>
    <row r="160" spans="1:4" ht="15.75" hidden="1" outlineLevel="2">
      <c r="A160" s="709"/>
      <c r="B160" s="145" t="s">
        <v>496</v>
      </c>
      <c r="C160" s="97">
        <f>C154</f>
        <v>3.6200000000000003E-2</v>
      </c>
      <c r="D160" s="150">
        <f>C160*-D66</f>
        <v>-5.66</v>
      </c>
    </row>
    <row r="161" spans="1:4" ht="15.75" hidden="1" outlineLevel="2">
      <c r="A161" s="709"/>
      <c r="B161" s="145" t="s">
        <v>497</v>
      </c>
      <c r="C161" s="97">
        <f>C154</f>
        <v>3.6200000000000003E-2</v>
      </c>
      <c r="D161" s="150">
        <f>C161*-D69</f>
        <v>-12.43</v>
      </c>
    </row>
    <row r="162" spans="1:4" ht="15.75" hidden="1" outlineLevel="2">
      <c r="A162" s="709"/>
      <c r="B162" s="148" t="s">
        <v>498</v>
      </c>
      <c r="C162" s="97">
        <f>C153</f>
        <v>8.0000000000000004E-4</v>
      </c>
      <c r="D162" s="150">
        <f>C162*-D74</f>
        <v>-0.02</v>
      </c>
    </row>
    <row r="163" spans="1:4" ht="15.75" hidden="1" outlineLevel="2">
      <c r="A163" s="709"/>
      <c r="B163" s="148" t="s">
        <v>499</v>
      </c>
      <c r="C163" s="99">
        <f>C152</f>
        <v>2E-3</v>
      </c>
      <c r="D163" s="136">
        <f>C163*-SUM(D55:D61)</f>
        <v>-1.17</v>
      </c>
    </row>
    <row r="164" spans="1:4" ht="15.75" hidden="1" outlineLevel="2">
      <c r="A164" s="709"/>
      <c r="B164" s="145" t="s">
        <v>500</v>
      </c>
      <c r="C164" s="97">
        <f>C153</f>
        <v>8.0000000000000004E-4</v>
      </c>
      <c r="D164" s="150">
        <f>C164*-D142</f>
        <v>-0.65</v>
      </c>
    </row>
    <row r="165" spans="1:4" ht="15.75" hidden="1" outlineLevel="1">
      <c r="A165" s="663" t="s">
        <v>501</v>
      </c>
      <c r="B165" s="664"/>
      <c r="C165" s="33">
        <f>D165/D140</f>
        <v>-1.1599999999999999E-2</v>
      </c>
      <c r="D165" s="119">
        <f>SUM(D157:D164)</f>
        <v>-21.4</v>
      </c>
    </row>
    <row r="166" spans="1:4" ht="15.75" hidden="1" outlineLevel="1">
      <c r="A166" s="697"/>
      <c r="B166" s="698"/>
      <c r="C166" s="698"/>
      <c r="D166" s="699"/>
    </row>
    <row r="167" spans="1:4" ht="15.75" hidden="1" outlineLevel="1">
      <c r="A167" s="663" t="s">
        <v>502</v>
      </c>
      <c r="B167" s="664"/>
      <c r="C167" s="33">
        <f>D167/D140</f>
        <v>5.9499999999999997E-2</v>
      </c>
      <c r="D167" s="119">
        <f>D154+D165</f>
        <v>109.45</v>
      </c>
    </row>
    <row r="168" spans="1:4" ht="15.75" hidden="1" outlineLevel="1">
      <c r="A168" s="697"/>
      <c r="B168" s="698"/>
      <c r="C168" s="698"/>
      <c r="D168" s="699"/>
    </row>
    <row r="169" spans="1:4" ht="15.75" hidden="1" outlineLevel="1">
      <c r="A169" s="701" t="s">
        <v>503</v>
      </c>
      <c r="B169" s="702"/>
      <c r="C169" s="113" t="s">
        <v>383</v>
      </c>
      <c r="D169" s="113" t="s">
        <v>352</v>
      </c>
    </row>
    <row r="170" spans="1:4" ht="15.75" hidden="1" outlineLevel="1">
      <c r="A170" s="114" t="s">
        <v>461</v>
      </c>
      <c r="B170" s="34" t="s">
        <v>462</v>
      </c>
      <c r="C170" s="37"/>
      <c r="D170" s="153">
        <f>D138</f>
        <v>237.74</v>
      </c>
    </row>
    <row r="171" spans="1:4" ht="15.75" hidden="1" outlineLevel="1">
      <c r="A171" s="114" t="s">
        <v>482</v>
      </c>
      <c r="B171" s="34" t="s">
        <v>483</v>
      </c>
      <c r="C171" s="37"/>
      <c r="D171" s="153">
        <f>D167</f>
        <v>109.45</v>
      </c>
    </row>
    <row r="172" spans="1:4" ht="15.75" collapsed="1">
      <c r="A172" s="663" t="s">
        <v>176</v>
      </c>
      <c r="B172" s="700"/>
      <c r="C172" s="664"/>
      <c r="D172" s="122">
        <f>SUM(D170:D171)</f>
        <v>347.19</v>
      </c>
    </row>
    <row r="173" spans="1:4" ht="15.75">
      <c r="A173" s="697"/>
      <c r="B173" s="698"/>
      <c r="C173" s="698"/>
      <c r="D173" s="699"/>
    </row>
    <row r="174" spans="1:4" ht="15.75">
      <c r="A174" s="668" t="s">
        <v>504</v>
      </c>
      <c r="B174" s="669"/>
      <c r="C174" s="669"/>
      <c r="D174" s="670"/>
    </row>
    <row r="175" spans="1:4" ht="15.75" hidden="1" outlineLevel="1">
      <c r="A175" s="697"/>
      <c r="B175" s="698"/>
      <c r="C175" s="698"/>
      <c r="D175" s="699"/>
    </row>
    <row r="176" spans="1:4" ht="15.75" hidden="1" outlineLevel="1">
      <c r="A176" s="66">
        <v>5</v>
      </c>
      <c r="B176" s="663" t="s">
        <v>505</v>
      </c>
      <c r="C176" s="664"/>
      <c r="D176" s="113" t="s">
        <v>352</v>
      </c>
    </row>
    <row r="177" spans="1:4" ht="15.75" hidden="1" outlineLevel="1">
      <c r="A177" s="114" t="s">
        <v>353</v>
      </c>
      <c r="B177" s="717" t="s">
        <v>506</v>
      </c>
      <c r="C177" s="718"/>
      <c r="D177" s="136">
        <f>INSUMOS!H14</f>
        <v>25.55</v>
      </c>
    </row>
    <row r="178" spans="1:4" ht="15.75" hidden="1" outlineLevel="1">
      <c r="A178" s="114" t="s">
        <v>322</v>
      </c>
      <c r="B178" s="717" t="s">
        <v>541</v>
      </c>
      <c r="C178" s="718"/>
      <c r="D178" s="154">
        <f>INSUMOS!H33</f>
        <v>38.97</v>
      </c>
    </row>
    <row r="179" spans="1:4" ht="15.75" hidden="1" outlineLevel="1">
      <c r="A179" s="114" t="s">
        <v>325</v>
      </c>
      <c r="B179" s="649" t="s">
        <v>508</v>
      </c>
      <c r="C179" s="650"/>
      <c r="D179" s="154">
        <f>MATERIAIS!H109</f>
        <v>1217.1500000000001</v>
      </c>
    </row>
    <row r="180" spans="1:4" ht="15.75" hidden="1" outlineLevel="1">
      <c r="A180" s="114" t="s">
        <v>328</v>
      </c>
      <c r="B180" s="649" t="s">
        <v>509</v>
      </c>
      <c r="C180" s="650"/>
      <c r="D180" s="154">
        <f>EQUIPAMENTOS!I111</f>
        <v>31.37</v>
      </c>
    </row>
    <row r="181" spans="1:4" ht="15.75" hidden="1" outlineLevel="1">
      <c r="A181" s="114" t="s">
        <v>331</v>
      </c>
      <c r="B181" s="651" t="s">
        <v>372</v>
      </c>
      <c r="C181" s="652"/>
      <c r="D181" s="133">
        <v>0</v>
      </c>
    </row>
    <row r="182" spans="1:4" ht="15.75" hidden="1" outlineLevel="1">
      <c r="A182" s="114" t="s">
        <v>334</v>
      </c>
      <c r="B182" s="651" t="s">
        <v>372</v>
      </c>
      <c r="C182" s="652"/>
      <c r="D182" s="133">
        <v>0</v>
      </c>
    </row>
    <row r="183" spans="1:4" ht="15.75" collapsed="1">
      <c r="A183" s="663" t="s">
        <v>176</v>
      </c>
      <c r="B183" s="700"/>
      <c r="C183" s="664"/>
      <c r="D183" s="119">
        <f>SUM(D177:D181)</f>
        <v>1313.04</v>
      </c>
    </row>
    <row r="184" spans="1:4" ht="15.75">
      <c r="A184" s="665"/>
      <c r="B184" s="666"/>
      <c r="C184" s="666"/>
      <c r="D184" s="667"/>
    </row>
    <row r="185" spans="1:4" ht="15.75">
      <c r="A185" s="723" t="s">
        <v>510</v>
      </c>
      <c r="B185" s="723"/>
      <c r="C185" s="723"/>
      <c r="D185" s="155">
        <f>D39+D83+D126+D172+D183</f>
        <v>5119.1099999999997</v>
      </c>
    </row>
    <row r="186" spans="1:4" ht="15.75">
      <c r="A186" s="679"/>
      <c r="B186" s="679"/>
      <c r="C186" s="679"/>
      <c r="D186" s="679"/>
    </row>
    <row r="187" spans="1:4" ht="15.75">
      <c r="A187" s="724" t="s">
        <v>511</v>
      </c>
      <c r="B187" s="724"/>
      <c r="C187" s="724"/>
      <c r="D187" s="724"/>
    </row>
    <row r="188" spans="1:4" ht="15.75" hidden="1" outlineLevel="1">
      <c r="A188" s="725"/>
      <c r="B188" s="726"/>
      <c r="C188" s="726"/>
      <c r="D188" s="727"/>
    </row>
    <row r="189" spans="1:4" ht="15.75" hidden="1" outlineLevel="1">
      <c r="A189" s="66">
        <v>6</v>
      </c>
      <c r="B189" s="120" t="s">
        <v>512</v>
      </c>
      <c r="C189" s="113" t="s">
        <v>383</v>
      </c>
      <c r="D189" s="113" t="s">
        <v>352</v>
      </c>
    </row>
    <row r="190" spans="1:4" ht="15.75" hidden="1" outlineLevel="1">
      <c r="A190" s="114" t="s">
        <v>353</v>
      </c>
      <c r="B190" s="34" t="s">
        <v>513</v>
      </c>
      <c r="C190" s="72">
        <f>'SR - ASG'!C189</f>
        <v>2.6499999999999999E-2</v>
      </c>
      <c r="D190" s="108">
        <f>C190*D185</f>
        <v>135.66</v>
      </c>
    </row>
    <row r="191" spans="1:4" ht="15.75" hidden="1" outlineLevel="1">
      <c r="A191" s="719" t="s">
        <v>514</v>
      </c>
      <c r="B191" s="720"/>
      <c r="C191" s="722"/>
      <c r="D191" s="108">
        <f>D185+D190</f>
        <v>5254.77</v>
      </c>
    </row>
    <row r="192" spans="1:4" ht="15.75" hidden="1" outlineLevel="1">
      <c r="A192" s="114" t="s">
        <v>322</v>
      </c>
      <c r="B192" s="34" t="s">
        <v>515</v>
      </c>
      <c r="C192" s="72">
        <f>'SR - ASG'!C191</f>
        <v>0.1087</v>
      </c>
      <c r="D192" s="108">
        <f>C192*D191</f>
        <v>571.19000000000005</v>
      </c>
    </row>
    <row r="193" spans="1:4" ht="15.75" hidden="1" outlineLevel="1">
      <c r="A193" s="719" t="s">
        <v>514</v>
      </c>
      <c r="B193" s="720"/>
      <c r="C193" s="720"/>
      <c r="D193" s="108">
        <f>D192+D191</f>
        <v>5825.96</v>
      </c>
    </row>
    <row r="194" spans="1:4" ht="15.75" hidden="1" outlineLevel="1">
      <c r="A194" s="114" t="s">
        <v>325</v>
      </c>
      <c r="B194" s="649" t="s">
        <v>516</v>
      </c>
      <c r="C194" s="721"/>
      <c r="D194" s="650"/>
    </row>
    <row r="195" spans="1:4" ht="15.75" hidden="1" outlineLevel="1">
      <c r="A195" s="156"/>
      <c r="B195" s="65" t="s">
        <v>517</v>
      </c>
      <c r="C195" s="72">
        <v>6.4999999999999997E-3</v>
      </c>
      <c r="D195" s="108">
        <f>(D193/(1-C198)*C195)</f>
        <v>41.01</v>
      </c>
    </row>
    <row r="196" spans="1:4" ht="15.75" hidden="1" outlineLevel="1">
      <c r="A196" s="156"/>
      <c r="B196" s="65" t="s">
        <v>518</v>
      </c>
      <c r="C196" s="72">
        <v>0.03</v>
      </c>
      <c r="D196" s="108">
        <f>(D193/(1-C198)*C196)</f>
        <v>189.26</v>
      </c>
    </row>
    <row r="197" spans="1:4" ht="15.75" hidden="1" outlineLevel="1">
      <c r="A197" s="156"/>
      <c r="B197" s="65" t="s">
        <v>552</v>
      </c>
      <c r="C197" s="54">
        <v>0.04</v>
      </c>
      <c r="D197" s="108">
        <f>(D193/(1-C198)*C197)</f>
        <v>252.34</v>
      </c>
    </row>
    <row r="198" spans="1:4" ht="15.75" hidden="1" outlineLevel="1">
      <c r="A198" s="719" t="s">
        <v>520</v>
      </c>
      <c r="B198" s="722"/>
      <c r="C198" s="55">
        <f>SUM(C195:C197)</f>
        <v>7.6499999999999999E-2</v>
      </c>
      <c r="D198" s="108">
        <f>SUM(D195:D197)</f>
        <v>482.61</v>
      </c>
    </row>
    <row r="199" spans="1:4" ht="15.75" collapsed="1">
      <c r="A199" s="663" t="s">
        <v>176</v>
      </c>
      <c r="B199" s="664"/>
      <c r="C199" s="56">
        <f>(1+C190)*(1+C192)*(1/(1-C198))-1</f>
        <v>0.2324</v>
      </c>
      <c r="D199" s="111">
        <f>SUM(D198+D190+D192)</f>
        <v>1189.46</v>
      </c>
    </row>
    <row r="200" spans="1:4" ht="15.75">
      <c r="A200" s="665"/>
      <c r="B200" s="666"/>
      <c r="C200" s="666"/>
      <c r="D200" s="667"/>
    </row>
    <row r="201" spans="1:4" ht="15.75">
      <c r="A201" s="676" t="s">
        <v>521</v>
      </c>
      <c r="B201" s="678"/>
      <c r="C201" s="677"/>
      <c r="D201" s="57" t="s">
        <v>352</v>
      </c>
    </row>
    <row r="202" spans="1:4" ht="15.75">
      <c r="A202" s="661" t="s">
        <v>522</v>
      </c>
      <c r="B202" s="728"/>
      <c r="C202" s="728"/>
      <c r="D202" s="662"/>
    </row>
    <row r="203" spans="1:4" ht="15.75">
      <c r="A203" s="67" t="s">
        <v>353</v>
      </c>
      <c r="B203" s="661" t="s">
        <v>523</v>
      </c>
      <c r="C203" s="662"/>
      <c r="D203" s="107">
        <f>D39</f>
        <v>1839.73</v>
      </c>
    </row>
    <row r="204" spans="1:4" ht="15.75">
      <c r="A204" s="67" t="s">
        <v>322</v>
      </c>
      <c r="B204" s="661" t="s">
        <v>524</v>
      </c>
      <c r="C204" s="662"/>
      <c r="D204" s="107">
        <f>D83</f>
        <v>1467.47</v>
      </c>
    </row>
    <row r="205" spans="1:4" ht="15.75">
      <c r="A205" s="67" t="s">
        <v>325</v>
      </c>
      <c r="B205" s="661" t="s">
        <v>525</v>
      </c>
      <c r="C205" s="662"/>
      <c r="D205" s="107">
        <f>D126</f>
        <v>151.68</v>
      </c>
    </row>
    <row r="206" spans="1:4" ht="15.75">
      <c r="A206" s="67" t="s">
        <v>328</v>
      </c>
      <c r="B206" s="661" t="s">
        <v>526</v>
      </c>
      <c r="C206" s="662"/>
      <c r="D206" s="107">
        <f>D172</f>
        <v>347.19</v>
      </c>
    </row>
    <row r="207" spans="1:4" ht="15.75">
      <c r="A207" s="67" t="s">
        <v>331</v>
      </c>
      <c r="B207" s="661" t="s">
        <v>527</v>
      </c>
      <c r="C207" s="662"/>
      <c r="D207" s="107">
        <f>D183</f>
        <v>1313.04</v>
      </c>
    </row>
    <row r="208" spans="1:4" ht="15.75">
      <c r="A208" s="738" t="s">
        <v>528</v>
      </c>
      <c r="B208" s="739"/>
      <c r="C208" s="740"/>
      <c r="D208" s="107">
        <f>SUM(D203:D207)</f>
        <v>5119.1099999999997</v>
      </c>
    </row>
    <row r="209" spans="1:4" ht="15.75">
      <c r="A209" s="67" t="s">
        <v>529</v>
      </c>
      <c r="B209" s="661" t="s">
        <v>530</v>
      </c>
      <c r="C209" s="662"/>
      <c r="D209" s="107">
        <f>D199</f>
        <v>1189.46</v>
      </c>
    </row>
    <row r="210" spans="1:4" ht="15.75">
      <c r="A210" s="676" t="s">
        <v>531</v>
      </c>
      <c r="B210" s="678"/>
      <c r="C210" s="677"/>
      <c r="D210" s="157">
        <f xml:space="preserve"> D208+D209</f>
        <v>6308.57</v>
      </c>
    </row>
    <row r="211" spans="1:4" ht="15.75">
      <c r="A211" s="27"/>
      <c r="B211" s="27"/>
      <c r="C211" s="27"/>
      <c r="D211" s="27"/>
    </row>
    <row r="212" spans="1:4" ht="16.5" thickBot="1">
      <c r="A212" s="27"/>
      <c r="B212" s="27"/>
      <c r="C212" s="27"/>
      <c r="D212" s="27"/>
    </row>
    <row r="213" spans="1:4" ht="15.75">
      <c r="A213" s="646" t="s">
        <v>532</v>
      </c>
      <c r="B213" s="647"/>
      <c r="C213" s="647"/>
      <c r="D213" s="648"/>
    </row>
    <row r="214" spans="1:4" ht="31.5">
      <c r="A214" s="175" t="s">
        <v>533</v>
      </c>
      <c r="B214" s="176" t="s">
        <v>534</v>
      </c>
      <c r="C214" s="177" t="s">
        <v>535</v>
      </c>
      <c r="D214" s="178" t="s">
        <v>536</v>
      </c>
    </row>
    <row r="215" spans="1:4" ht="16.5" thickBot="1">
      <c r="A215" s="179">
        <v>2</v>
      </c>
      <c r="B215" s="182">
        <f>1/(C11/A215)</f>
        <v>1.6056261139000001E-3</v>
      </c>
      <c r="C215" s="180">
        <f>D210</f>
        <v>6308.57</v>
      </c>
      <c r="D215" s="184">
        <f>C215*B215</f>
        <v>10.129204733</v>
      </c>
    </row>
  </sheetData>
  <mergeCells count="108">
    <mergeCell ref="A208:C208"/>
    <mergeCell ref="B209:C209"/>
    <mergeCell ref="A210:C210"/>
    <mergeCell ref="A202:D202"/>
    <mergeCell ref="B203:C203"/>
    <mergeCell ref="B204:C204"/>
    <mergeCell ref="B205:C205"/>
    <mergeCell ref="B206:C206"/>
    <mergeCell ref="B207:C207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C11:D11"/>
    <mergeCell ref="C12:D12"/>
    <mergeCell ref="A13:D13"/>
    <mergeCell ref="A14:D14"/>
    <mergeCell ref="A15:D15"/>
    <mergeCell ref="C16:D16"/>
    <mergeCell ref="A213:D213"/>
    <mergeCell ref="B180:C180"/>
    <mergeCell ref="B181:C181"/>
    <mergeCell ref="A5:D5"/>
    <mergeCell ref="C6:D6"/>
    <mergeCell ref="C7:D7"/>
    <mergeCell ref="C8:D8"/>
    <mergeCell ref="C9:D9"/>
    <mergeCell ref="C10:D10"/>
    <mergeCell ref="B20:C20"/>
    <mergeCell ref="B21:C21"/>
    <mergeCell ref="B22:C22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B4B36-E0EB-48F9-B809-4C0AC1526547}">
  <sheetPr codeName="Planilha13">
    <pageSetUpPr fitToPage="1"/>
  </sheetPr>
  <dimension ref="A1:D215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>
      <c r="A1" s="680" t="s">
        <v>313</v>
      </c>
      <c r="B1" s="680"/>
      <c r="C1" s="680"/>
      <c r="D1" s="680"/>
    </row>
    <row r="2" spans="1:4" ht="15.75">
      <c r="A2" s="681" t="s">
        <v>314</v>
      </c>
      <c r="B2" s="681"/>
      <c r="C2" s="682" t="s">
        <v>315</v>
      </c>
      <c r="D2" s="683"/>
    </row>
    <row r="3" spans="1:4" ht="15.75">
      <c r="A3" s="681" t="s">
        <v>316</v>
      </c>
      <c r="B3" s="681"/>
      <c r="C3" s="682" t="s">
        <v>317</v>
      </c>
      <c r="D3" s="683"/>
    </row>
    <row r="4" spans="1:4" ht="15.75">
      <c r="A4" s="653"/>
      <c r="B4" s="653"/>
      <c r="C4" s="653"/>
      <c r="D4" s="653"/>
    </row>
    <row r="5" spans="1:4" ht="15.75">
      <c r="A5" s="653" t="s">
        <v>318</v>
      </c>
      <c r="B5" s="653"/>
      <c r="C5" s="653"/>
      <c r="D5" s="653"/>
    </row>
    <row r="6" spans="1:4" ht="15.75">
      <c r="A6" s="67" t="s">
        <v>319</v>
      </c>
      <c r="B6" s="65" t="s">
        <v>320</v>
      </c>
      <c r="C6" s="654" t="s">
        <v>321</v>
      </c>
      <c r="D6" s="655"/>
    </row>
    <row r="7" spans="1:4" ht="15.75">
      <c r="A7" s="67" t="s">
        <v>322</v>
      </c>
      <c r="B7" s="65" t="s">
        <v>323</v>
      </c>
      <c r="C7" s="656" t="s">
        <v>553</v>
      </c>
      <c r="D7" s="656"/>
    </row>
    <row r="8" spans="1:4" ht="15.75">
      <c r="A8" s="28" t="s">
        <v>325</v>
      </c>
      <c r="B8" s="29" t="s">
        <v>326</v>
      </c>
      <c r="C8" s="736" t="s">
        <v>554</v>
      </c>
      <c r="D8" s="737"/>
    </row>
    <row r="9" spans="1:4" ht="15.75">
      <c r="A9" s="67" t="s">
        <v>328</v>
      </c>
      <c r="B9" s="65" t="s">
        <v>329</v>
      </c>
      <c r="C9" s="659" t="s">
        <v>330</v>
      </c>
      <c r="D9" s="660"/>
    </row>
    <row r="10" spans="1:4" ht="15.75">
      <c r="A10" s="67" t="s">
        <v>331</v>
      </c>
      <c r="B10" s="65" t="s">
        <v>332</v>
      </c>
      <c r="C10" s="659" t="s">
        <v>333</v>
      </c>
      <c r="D10" s="660"/>
    </row>
    <row r="11" spans="1:4" ht="15.75">
      <c r="A11" s="67" t="s">
        <v>334</v>
      </c>
      <c r="B11" s="65" t="s">
        <v>335</v>
      </c>
      <c r="C11" s="686">
        <f>Resumo!F10</f>
        <v>3529.38</v>
      </c>
      <c r="D11" s="687"/>
    </row>
    <row r="12" spans="1:4" ht="15.75">
      <c r="A12" s="67" t="s">
        <v>394</v>
      </c>
      <c r="B12" s="65" t="s">
        <v>337</v>
      </c>
      <c r="C12" s="688">
        <f>Resumo!I5</f>
        <v>20</v>
      </c>
      <c r="D12" s="675"/>
    </row>
    <row r="13" spans="1:4" ht="15.75">
      <c r="A13" s="689"/>
      <c r="B13" s="690"/>
      <c r="C13" s="690"/>
      <c r="D13" s="690"/>
    </row>
    <row r="14" spans="1:4" ht="15.75">
      <c r="A14" s="691" t="s">
        <v>338</v>
      </c>
      <c r="B14" s="692"/>
      <c r="C14" s="692"/>
      <c r="D14" s="693"/>
    </row>
    <row r="15" spans="1:4" ht="15.75">
      <c r="A15" s="656" t="s">
        <v>339</v>
      </c>
      <c r="B15" s="656"/>
      <c r="C15" s="656"/>
      <c r="D15" s="656"/>
    </row>
    <row r="16" spans="1:4" ht="15.75">
      <c r="A16" s="67">
        <v>1</v>
      </c>
      <c r="B16" s="65" t="s">
        <v>340</v>
      </c>
      <c r="C16" s="659" t="s">
        <v>341</v>
      </c>
      <c r="D16" s="660" t="s">
        <v>62</v>
      </c>
    </row>
    <row r="17" spans="1:4" ht="15.75">
      <c r="A17" s="67">
        <v>2</v>
      </c>
      <c r="B17" s="30" t="s">
        <v>342</v>
      </c>
      <c r="C17" s="684" t="s">
        <v>343</v>
      </c>
      <c r="D17" s="685"/>
    </row>
    <row r="18" spans="1:4" ht="15.75">
      <c r="A18" s="656" t="s">
        <v>344</v>
      </c>
      <c r="B18" s="656"/>
      <c r="C18" s="656"/>
      <c r="D18" s="656"/>
    </row>
    <row r="19" spans="1:4" ht="15.75">
      <c r="A19" s="67">
        <v>3</v>
      </c>
      <c r="B19" s="661" t="s">
        <v>345</v>
      </c>
      <c r="C19" s="662"/>
      <c r="D19" s="106">
        <v>1314.09</v>
      </c>
    </row>
    <row r="20" spans="1:4" ht="15.75">
      <c r="A20" s="67">
        <v>4</v>
      </c>
      <c r="B20" s="661" t="s">
        <v>346</v>
      </c>
      <c r="C20" s="662"/>
      <c r="D20" s="158">
        <v>220</v>
      </c>
    </row>
    <row r="21" spans="1:4" ht="15.75">
      <c r="A21" s="67">
        <v>5</v>
      </c>
      <c r="B21" s="661" t="s">
        <v>347</v>
      </c>
      <c r="C21" s="662"/>
      <c r="D21" s="75" t="s">
        <v>348</v>
      </c>
    </row>
    <row r="22" spans="1:4" ht="15.75">
      <c r="A22" s="67">
        <v>6</v>
      </c>
      <c r="B22" s="661" t="s">
        <v>349</v>
      </c>
      <c r="C22" s="662"/>
      <c r="D22" s="76">
        <v>44562</v>
      </c>
    </row>
    <row r="23" spans="1:4" ht="15.75">
      <c r="A23" s="659"/>
      <c r="B23" s="671"/>
      <c r="C23" s="671"/>
      <c r="D23" s="660"/>
    </row>
    <row r="24" spans="1:4" ht="15.75">
      <c r="A24" s="672" t="s">
        <v>350</v>
      </c>
      <c r="B24" s="672"/>
      <c r="C24" s="672"/>
      <c r="D24" s="672"/>
    </row>
    <row r="25" spans="1:4" ht="15.75">
      <c r="A25" s="673"/>
      <c r="B25" s="674"/>
      <c r="C25" s="674"/>
      <c r="D25" s="675"/>
    </row>
    <row r="26" spans="1:4" ht="15.75">
      <c r="A26" s="66">
        <v>1</v>
      </c>
      <c r="B26" s="676" t="s">
        <v>351</v>
      </c>
      <c r="C26" s="677"/>
      <c r="D26" s="66" t="s">
        <v>352</v>
      </c>
    </row>
    <row r="27" spans="1:4" ht="15.75" hidden="1" outlineLevel="1">
      <c r="A27" s="67" t="s">
        <v>353</v>
      </c>
      <c r="B27" s="65" t="s">
        <v>354</v>
      </c>
      <c r="C27" s="73">
        <f>'SR - ASG'!C27</f>
        <v>220</v>
      </c>
      <c r="D27" s="107">
        <f>D19/220*C27</f>
        <v>1314.09</v>
      </c>
    </row>
    <row r="28" spans="1:4" ht="15.75" hidden="1" outlineLevel="1">
      <c r="A28" s="67" t="s">
        <v>322</v>
      </c>
      <c r="B28" s="65" t="s">
        <v>355</v>
      </c>
      <c r="C28" s="31">
        <v>0</v>
      </c>
      <c r="D28" s="107">
        <f>C28*D27</f>
        <v>0</v>
      </c>
    </row>
    <row r="29" spans="1:4" ht="15.75" hidden="1" outlineLevel="1">
      <c r="A29" s="67" t="s">
        <v>325</v>
      </c>
      <c r="B29" s="65" t="s">
        <v>356</v>
      </c>
      <c r="C29" s="31">
        <v>0.4</v>
      </c>
      <c r="D29" s="107">
        <f>C29*D27</f>
        <v>525.64</v>
      </c>
    </row>
    <row r="30" spans="1:4" ht="15.75" hidden="1" outlineLevel="1">
      <c r="A30" s="67" t="s">
        <v>328</v>
      </c>
      <c r="B30" s="65" t="s">
        <v>357</v>
      </c>
      <c r="C30" s="159">
        <v>0</v>
      </c>
      <c r="D30" s="108">
        <f>SUM(D31:D32)</f>
        <v>0</v>
      </c>
    </row>
    <row r="31" spans="1:4" ht="15.75" hidden="1" outlineLevel="2">
      <c r="A31" s="80" t="s">
        <v>358</v>
      </c>
      <c r="B31" s="65" t="s">
        <v>359</v>
      </c>
      <c r="C31" s="81">
        <v>0.2</v>
      </c>
      <c r="D31" s="108">
        <f>(SUM(D27:D29)/C27)*C31*15*C30</f>
        <v>0</v>
      </c>
    </row>
    <row r="32" spans="1:4" ht="15.75" hidden="1" outlineLevel="2">
      <c r="A32" s="80" t="s">
        <v>360</v>
      </c>
      <c r="B32" s="65" t="s">
        <v>361</v>
      </c>
      <c r="C32" s="82">
        <f>C30*(60/52.5)/8</f>
        <v>0</v>
      </c>
      <c r="D32" s="108">
        <f>(SUM(D27:D29)/C27)*(C31)*15*C32</f>
        <v>0</v>
      </c>
    </row>
    <row r="33" spans="1:4" ht="15.75" hidden="1" outlineLevel="1">
      <c r="A33" s="67" t="s">
        <v>331</v>
      </c>
      <c r="B33" s="65" t="s">
        <v>362</v>
      </c>
      <c r="C33" s="31" t="s">
        <v>363</v>
      </c>
      <c r="D33" s="1">
        <f>SUM(D34:D37)</f>
        <v>0</v>
      </c>
    </row>
    <row r="34" spans="1:4" ht="15.75" hidden="1" outlineLevel="2">
      <c r="A34" s="83" t="s">
        <v>364</v>
      </c>
      <c r="B34" s="84" t="s">
        <v>365</v>
      </c>
      <c r="C34" s="85">
        <v>0</v>
      </c>
      <c r="D34" s="109">
        <f>(SUM($D$27:$D$29)/$C$27)*C34*1.5</f>
        <v>0</v>
      </c>
    </row>
    <row r="35" spans="1:4" ht="15.75" hidden="1" outlineLevel="2">
      <c r="A35" s="83" t="s">
        <v>366</v>
      </c>
      <c r="B35" s="86" t="s">
        <v>367</v>
      </c>
      <c r="C35" s="87">
        <v>0</v>
      </c>
      <c r="D35" s="109">
        <f>(SUM($D$27:$D$29)/$C$27)*C35*((60/52.5)*1.2*1.5)</f>
        <v>0</v>
      </c>
    </row>
    <row r="36" spans="1:4" ht="15.75" hidden="1" outlineLevel="2">
      <c r="A36" s="83" t="s">
        <v>368</v>
      </c>
      <c r="B36" s="84" t="s">
        <v>369</v>
      </c>
      <c r="C36" s="88">
        <f>C34*0.1429</f>
        <v>0</v>
      </c>
      <c r="D36" s="109">
        <f>(SUM($D$27:$D$29)/$C$27)*C36*2</f>
        <v>0</v>
      </c>
    </row>
    <row r="37" spans="1:4" ht="15.75" hidden="1" outlineLevel="2">
      <c r="A37" s="83" t="s">
        <v>370</v>
      </c>
      <c r="B37" s="84" t="s">
        <v>371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>
      <c r="A38" s="67" t="s">
        <v>334</v>
      </c>
      <c r="B38" s="58" t="s">
        <v>372</v>
      </c>
      <c r="C38" s="59">
        <v>0</v>
      </c>
      <c r="D38" s="110">
        <v>0</v>
      </c>
    </row>
    <row r="39" spans="1:4" ht="15.75" collapsed="1">
      <c r="A39" s="676" t="s">
        <v>373</v>
      </c>
      <c r="B39" s="678"/>
      <c r="C39" s="677"/>
      <c r="D39" s="111">
        <f>SUM(D27:D30,D33,D38)</f>
        <v>1839.73</v>
      </c>
    </row>
    <row r="40" spans="1:4" ht="15.75">
      <c r="A40" s="679"/>
      <c r="B40" s="679"/>
      <c r="C40" s="679"/>
      <c r="D40" s="679"/>
    </row>
    <row r="41" spans="1:4" ht="15.75" hidden="1" outlineLevel="1">
      <c r="A41" s="89" t="s">
        <v>374</v>
      </c>
      <c r="B41" s="112" t="s">
        <v>375</v>
      </c>
      <c r="C41" s="113" t="s">
        <v>376</v>
      </c>
      <c r="D41" s="113" t="s">
        <v>352</v>
      </c>
    </row>
    <row r="42" spans="1:4" ht="15.75" hidden="1" outlineLevel="1">
      <c r="A42" s="114" t="s">
        <v>353</v>
      </c>
      <c r="B42" s="30" t="s">
        <v>377</v>
      </c>
      <c r="C42" s="90">
        <v>0</v>
      </c>
      <c r="D42" s="115">
        <f>(SUM(D27)/$C$27)*C42*1.5</f>
        <v>0</v>
      </c>
    </row>
    <row r="43" spans="1:4" ht="15.75" hidden="1" outlineLevel="1">
      <c r="A43" s="116" t="s">
        <v>325</v>
      </c>
      <c r="B43" s="117" t="s">
        <v>378</v>
      </c>
      <c r="C43" s="118">
        <v>0</v>
      </c>
      <c r="D43" s="107">
        <f>C43*177</f>
        <v>0</v>
      </c>
    </row>
    <row r="44" spans="1:4" ht="15.75" hidden="1" outlineLevel="1">
      <c r="A44" s="67" t="s">
        <v>328</v>
      </c>
      <c r="B44" s="58" t="s">
        <v>372</v>
      </c>
      <c r="C44" s="59">
        <v>0</v>
      </c>
      <c r="D44" s="110">
        <v>0</v>
      </c>
    </row>
    <row r="45" spans="1:4" ht="15.75" collapsed="1">
      <c r="A45" s="663" t="s">
        <v>379</v>
      </c>
      <c r="B45" s="664"/>
      <c r="C45" s="33">
        <f>D45/D39</f>
        <v>0</v>
      </c>
      <c r="D45" s="119">
        <f>SUM(D42:D43)</f>
        <v>0</v>
      </c>
    </row>
    <row r="46" spans="1:4" ht="15.75">
      <c r="A46" s="665"/>
      <c r="B46" s="666"/>
      <c r="C46" s="666"/>
      <c r="D46" s="667"/>
    </row>
    <row r="47" spans="1:4" ht="15.75">
      <c r="A47" s="668" t="s">
        <v>380</v>
      </c>
      <c r="B47" s="669"/>
      <c r="C47" s="669"/>
      <c r="D47" s="670"/>
    </row>
    <row r="48" spans="1:4" ht="15.75" hidden="1" outlineLevel="1">
      <c r="A48" s="665"/>
      <c r="B48" s="666"/>
      <c r="C48" s="666"/>
      <c r="D48" s="667"/>
    </row>
    <row r="49" spans="1:4" ht="15.75" hidden="1" outlineLevel="1">
      <c r="A49" s="113" t="s">
        <v>381</v>
      </c>
      <c r="B49" s="112" t="s">
        <v>382</v>
      </c>
      <c r="C49" s="113" t="s">
        <v>383</v>
      </c>
      <c r="D49" s="113" t="s">
        <v>352</v>
      </c>
    </row>
    <row r="50" spans="1:4" ht="15.75" hidden="1" outlineLevel="2">
      <c r="A50" s="116" t="s">
        <v>353</v>
      </c>
      <c r="B50" s="117" t="s">
        <v>384</v>
      </c>
      <c r="C50" s="32">
        <f>1/12</f>
        <v>8.3299999999999999E-2</v>
      </c>
      <c r="D50" s="107">
        <f>C50*D39</f>
        <v>153.25</v>
      </c>
    </row>
    <row r="51" spans="1:4" ht="15.75" hidden="1" outlineLevel="2">
      <c r="A51" s="116" t="s">
        <v>322</v>
      </c>
      <c r="B51" s="117" t="s">
        <v>385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>
      <c r="A52" s="663" t="s">
        <v>176</v>
      </c>
      <c r="B52" s="664"/>
      <c r="C52" s="33">
        <f>SUM(C50:C51)</f>
        <v>0.1</v>
      </c>
      <c r="D52" s="119">
        <f>SUM(D50:D51)</f>
        <v>183.97</v>
      </c>
    </row>
    <row r="53" spans="1:4" ht="15.75" hidden="1" outlineLevel="1">
      <c r="A53" s="665"/>
      <c r="B53" s="666"/>
      <c r="C53" s="666"/>
      <c r="D53" s="667"/>
    </row>
    <row r="54" spans="1:4" ht="15.75" hidden="1" outlineLevel="1">
      <c r="A54" s="113" t="s">
        <v>386</v>
      </c>
      <c r="B54" s="120" t="s">
        <v>387</v>
      </c>
      <c r="C54" s="113" t="s">
        <v>383</v>
      </c>
      <c r="D54" s="121" t="s">
        <v>352</v>
      </c>
    </row>
    <row r="55" spans="1:4" ht="15.75" hidden="1" outlineLevel="2">
      <c r="A55" s="114" t="s">
        <v>353</v>
      </c>
      <c r="B55" s="34" t="s">
        <v>388</v>
      </c>
      <c r="C55" s="35">
        <v>0.2</v>
      </c>
      <c r="D55" s="107">
        <f t="shared" ref="D55:D62" si="0">C55*($D$39+$D$52)</f>
        <v>404.74</v>
      </c>
    </row>
    <row r="56" spans="1:4" ht="15.75" hidden="1" outlineLevel="2">
      <c r="A56" s="114" t="s">
        <v>322</v>
      </c>
      <c r="B56" s="34" t="s">
        <v>389</v>
      </c>
      <c r="C56" s="35">
        <v>2.5000000000000001E-2</v>
      </c>
      <c r="D56" s="107">
        <f t="shared" si="0"/>
        <v>50.59</v>
      </c>
    </row>
    <row r="57" spans="1:4" ht="15.75" hidden="1" outlineLevel="2">
      <c r="A57" s="114" t="s">
        <v>325</v>
      </c>
      <c r="B57" s="34" t="s">
        <v>390</v>
      </c>
      <c r="C57" s="68">
        <v>0.03</v>
      </c>
      <c r="D57" s="107">
        <f t="shared" si="0"/>
        <v>60.71</v>
      </c>
    </row>
    <row r="58" spans="1:4" ht="15.75" hidden="1" outlineLevel="2">
      <c r="A58" s="114" t="s">
        <v>328</v>
      </c>
      <c r="B58" s="34" t="s">
        <v>391</v>
      </c>
      <c r="C58" s="35">
        <v>1.4999999999999999E-2</v>
      </c>
      <c r="D58" s="107">
        <f t="shared" si="0"/>
        <v>30.36</v>
      </c>
    </row>
    <row r="59" spans="1:4" ht="15.75" hidden="1" outlineLevel="2">
      <c r="A59" s="114" t="s">
        <v>331</v>
      </c>
      <c r="B59" s="34" t="s">
        <v>392</v>
      </c>
      <c r="C59" s="35">
        <v>0.01</v>
      </c>
      <c r="D59" s="107">
        <f t="shared" si="0"/>
        <v>20.239999999999998</v>
      </c>
    </row>
    <row r="60" spans="1:4" ht="15.75" hidden="1" outlineLevel="2">
      <c r="A60" s="114" t="s">
        <v>334</v>
      </c>
      <c r="B60" s="34" t="s">
        <v>393</v>
      </c>
      <c r="C60" s="35">
        <v>6.0000000000000001E-3</v>
      </c>
      <c r="D60" s="107">
        <f t="shared" si="0"/>
        <v>12.14</v>
      </c>
    </row>
    <row r="61" spans="1:4" ht="15.75" hidden="1" outlineLevel="2">
      <c r="A61" s="114" t="s">
        <v>394</v>
      </c>
      <c r="B61" s="34" t="s">
        <v>395</v>
      </c>
      <c r="C61" s="35">
        <v>2E-3</v>
      </c>
      <c r="D61" s="107">
        <f t="shared" si="0"/>
        <v>4.05</v>
      </c>
    </row>
    <row r="62" spans="1:4" ht="15.75" hidden="1" outlineLevel="2">
      <c r="A62" s="114" t="s">
        <v>336</v>
      </c>
      <c r="B62" s="34" t="s">
        <v>396</v>
      </c>
      <c r="C62" s="35">
        <v>0.08</v>
      </c>
      <c r="D62" s="107">
        <f t="shared" si="0"/>
        <v>161.9</v>
      </c>
    </row>
    <row r="63" spans="1:4" ht="15.75" hidden="1" outlineLevel="1">
      <c r="A63" s="663" t="s">
        <v>176</v>
      </c>
      <c r="B63" s="664"/>
      <c r="C63" s="36">
        <f>SUM(C55:C62)</f>
        <v>0.36799999999999999</v>
      </c>
      <c r="D63" s="122">
        <f>SUM(D55:D62)</f>
        <v>744.73</v>
      </c>
    </row>
    <row r="64" spans="1:4" ht="15.75" hidden="1" outlineLevel="1">
      <c r="A64" s="665"/>
      <c r="B64" s="666"/>
      <c r="C64" s="666"/>
      <c r="D64" s="667"/>
    </row>
    <row r="65" spans="1:4" ht="15.75" hidden="1" outlineLevel="1">
      <c r="A65" s="113" t="s">
        <v>397</v>
      </c>
      <c r="B65" s="120" t="s">
        <v>398</v>
      </c>
      <c r="C65" s="113" t="s">
        <v>399</v>
      </c>
      <c r="D65" s="113" t="s">
        <v>352</v>
      </c>
    </row>
    <row r="66" spans="1:4" ht="15.75" hidden="1" outlineLevel="2">
      <c r="A66" s="114" t="s">
        <v>353</v>
      </c>
      <c r="B66" s="34" t="s">
        <v>400</v>
      </c>
      <c r="C66" s="123">
        <v>4.75</v>
      </c>
      <c r="D66" s="124">
        <f>IF(D67+D68&gt;0,(D67+D68),0)</f>
        <v>120.65</v>
      </c>
    </row>
    <row r="67" spans="1:4" ht="15.75" hidden="1" outlineLevel="3">
      <c r="A67" s="125" t="s">
        <v>401</v>
      </c>
      <c r="B67" s="34" t="s">
        <v>402</v>
      </c>
      <c r="C67" s="126">
        <v>21</v>
      </c>
      <c r="D67" s="127">
        <f>C66*C67*2</f>
        <v>199.5</v>
      </c>
    </row>
    <row r="68" spans="1:4" ht="15.75" hidden="1" outlineLevel="3">
      <c r="A68" s="125" t="s">
        <v>403</v>
      </c>
      <c r="B68" s="34" t="s">
        <v>404</v>
      </c>
      <c r="C68" s="128">
        <v>0.06</v>
      </c>
      <c r="D68" s="127">
        <f>-D27*C68</f>
        <v>-78.849999999999994</v>
      </c>
    </row>
    <row r="69" spans="1:4" ht="15.75" hidden="1" outlineLevel="2">
      <c r="A69" s="114" t="s">
        <v>322</v>
      </c>
      <c r="B69" s="34" t="s">
        <v>405</v>
      </c>
      <c r="C69" s="129">
        <f>'SR - ASG'!C69</f>
        <v>20.18</v>
      </c>
      <c r="D69" s="124">
        <f>D70+D71</f>
        <v>343.26</v>
      </c>
    </row>
    <row r="70" spans="1:4" ht="15.75" hidden="1" outlineLevel="3">
      <c r="A70" s="125" t="s">
        <v>406</v>
      </c>
      <c r="B70" s="34" t="s">
        <v>407</v>
      </c>
      <c r="C70" s="126">
        <v>21</v>
      </c>
      <c r="D70" s="127">
        <f>C69*C70</f>
        <v>423.78</v>
      </c>
    </row>
    <row r="71" spans="1:4" ht="15.75" hidden="1" outlineLevel="3">
      <c r="A71" s="125" t="s">
        <v>408</v>
      </c>
      <c r="B71" s="34" t="s">
        <v>409</v>
      </c>
      <c r="C71" s="130">
        <v>-0.19</v>
      </c>
      <c r="D71" s="127">
        <f>D70*C71</f>
        <v>-80.52</v>
      </c>
    </row>
    <row r="72" spans="1:4" ht="15.75" hidden="1" outlineLevel="2">
      <c r="A72" s="114" t="s">
        <v>325</v>
      </c>
      <c r="B72" s="77" t="s">
        <v>410</v>
      </c>
      <c r="C72" s="129">
        <v>17.32</v>
      </c>
      <c r="D72" s="132">
        <f>C72</f>
        <v>17.32</v>
      </c>
    </row>
    <row r="73" spans="1:4" ht="15.75" hidden="1" outlineLevel="2">
      <c r="A73" s="114" t="s">
        <v>328</v>
      </c>
      <c r="B73" s="78" t="s">
        <v>411</v>
      </c>
      <c r="C73" s="129">
        <f>140*3</f>
        <v>420</v>
      </c>
      <c r="D73" s="132">
        <f>C73*C152</f>
        <v>0.84</v>
      </c>
    </row>
    <row r="74" spans="1:4" ht="15.75" hidden="1" outlineLevel="2">
      <c r="A74" s="114" t="s">
        <v>331</v>
      </c>
      <c r="B74" s="77" t="s">
        <v>412</v>
      </c>
      <c r="C74" s="129">
        <v>21</v>
      </c>
      <c r="D74" s="132">
        <f>C74</f>
        <v>21</v>
      </c>
    </row>
    <row r="75" spans="1:4" ht="15.75" hidden="1" outlineLevel="2">
      <c r="A75" s="114" t="s">
        <v>334</v>
      </c>
      <c r="B75" s="77" t="s">
        <v>372</v>
      </c>
      <c r="C75" s="131">
        <v>0</v>
      </c>
      <c r="D75" s="132">
        <f>C75*D39</f>
        <v>0</v>
      </c>
    </row>
    <row r="76" spans="1:4" ht="15.75" hidden="1" outlineLevel="2">
      <c r="A76" s="114" t="s">
        <v>394</v>
      </c>
      <c r="B76" s="77" t="s">
        <v>372</v>
      </c>
      <c r="C76" s="129">
        <v>0</v>
      </c>
      <c r="D76" s="133">
        <f>C76</f>
        <v>0</v>
      </c>
    </row>
    <row r="77" spans="1:4" ht="15.75" hidden="1" outlineLevel="1">
      <c r="A77" s="663" t="s">
        <v>413</v>
      </c>
      <c r="B77" s="700"/>
      <c r="C77" s="664"/>
      <c r="D77" s="119">
        <f>SUM(D66,D69,D72:D76)</f>
        <v>503.07</v>
      </c>
    </row>
    <row r="78" spans="1:4" ht="15.75" hidden="1" outlineLevel="1">
      <c r="A78" s="665"/>
      <c r="B78" s="666"/>
      <c r="C78" s="666"/>
      <c r="D78" s="667"/>
    </row>
    <row r="79" spans="1:4" ht="15.75" hidden="1" outlineLevel="1">
      <c r="A79" s="701" t="s">
        <v>414</v>
      </c>
      <c r="B79" s="702"/>
      <c r="C79" s="113" t="s">
        <v>383</v>
      </c>
      <c r="D79" s="113" t="s">
        <v>352</v>
      </c>
    </row>
    <row r="80" spans="1:4" ht="15.75" hidden="1" outlineLevel="1">
      <c r="A80" s="114" t="s">
        <v>415</v>
      </c>
      <c r="B80" s="34" t="s">
        <v>382</v>
      </c>
      <c r="C80" s="37">
        <f>C52</f>
        <v>0.1</v>
      </c>
      <c r="D80" s="107">
        <f>D52</f>
        <v>183.97</v>
      </c>
    </row>
    <row r="81" spans="1:4" ht="15.75" hidden="1" outlineLevel="1">
      <c r="A81" s="114" t="s">
        <v>386</v>
      </c>
      <c r="B81" s="34" t="s">
        <v>387</v>
      </c>
      <c r="C81" s="37">
        <f>C63</f>
        <v>0.36799999999999999</v>
      </c>
      <c r="D81" s="107">
        <f>D63</f>
        <v>744.73</v>
      </c>
    </row>
    <row r="82" spans="1:4" ht="15.75" hidden="1" outlineLevel="1">
      <c r="A82" s="114" t="s">
        <v>416</v>
      </c>
      <c r="B82" s="34" t="s">
        <v>398</v>
      </c>
      <c r="C82" s="37">
        <f>D77/D39</f>
        <v>0.27339999999999998</v>
      </c>
      <c r="D82" s="107">
        <f>D77</f>
        <v>503.07</v>
      </c>
    </row>
    <row r="83" spans="1:4" ht="15.75" collapsed="1">
      <c r="A83" s="663" t="s">
        <v>176</v>
      </c>
      <c r="B83" s="700"/>
      <c r="C83" s="664"/>
      <c r="D83" s="119">
        <f>SUM(D80:D82)</f>
        <v>1431.77</v>
      </c>
    </row>
    <row r="84" spans="1:4" ht="15.75">
      <c r="A84" s="665"/>
      <c r="B84" s="666"/>
      <c r="C84" s="666"/>
      <c r="D84" s="667"/>
    </row>
    <row r="85" spans="1:4" ht="15.75">
      <c r="A85" s="694" t="s">
        <v>417</v>
      </c>
      <c r="B85" s="695"/>
      <c r="C85" s="695"/>
      <c r="D85" s="696"/>
    </row>
    <row r="86" spans="1:4" ht="15.75" hidden="1" outlineLevel="1">
      <c r="A86" s="665"/>
      <c r="B86" s="666"/>
      <c r="C86" s="666"/>
      <c r="D86" s="667"/>
    </row>
    <row r="87" spans="1:4" ht="15.75" hidden="1" outlineLevel="1">
      <c r="A87" s="66" t="s">
        <v>418</v>
      </c>
      <c r="B87" s="112" t="s">
        <v>419</v>
      </c>
      <c r="C87" s="113" t="s">
        <v>383</v>
      </c>
      <c r="D87" s="113" t="s">
        <v>352</v>
      </c>
    </row>
    <row r="88" spans="1:4" ht="15.75" hidden="1" outlineLevel="2">
      <c r="A88" s="38" t="s">
        <v>353</v>
      </c>
      <c r="B88" s="39" t="s">
        <v>420</v>
      </c>
      <c r="C88" s="38" t="s">
        <v>363</v>
      </c>
      <c r="D88" s="134">
        <f>IF(C99&gt;1,SUM(D89:D92)*2,SUM(D89:D92))</f>
        <v>2592.48</v>
      </c>
    </row>
    <row r="89" spans="1:4" ht="15.75" hidden="1" outlineLevel="3">
      <c r="A89" s="40" t="s">
        <v>421</v>
      </c>
      <c r="B89" s="41" t="s">
        <v>422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>
      <c r="A90" s="40" t="s">
        <v>423</v>
      </c>
      <c r="B90" s="41" t="s">
        <v>424</v>
      </c>
      <c r="C90" s="32">
        <f>1/12</f>
        <v>8.3299999999999999E-2</v>
      </c>
      <c r="D90" s="134">
        <f>C90*D89</f>
        <v>168.57</v>
      </c>
    </row>
    <row r="91" spans="1:4" ht="15.75" hidden="1" outlineLevel="3">
      <c r="A91" s="40" t="s">
        <v>425</v>
      </c>
      <c r="B91" s="41" t="s">
        <v>426</v>
      </c>
      <c r="C91" s="32">
        <f>(1/12)+(1/12/3)</f>
        <v>0.1111</v>
      </c>
      <c r="D91" s="135">
        <f>C91*D89</f>
        <v>224.83</v>
      </c>
    </row>
    <row r="92" spans="1:4" ht="15.75" hidden="1" outlineLevel="3">
      <c r="A92" s="40" t="s">
        <v>427</v>
      </c>
      <c r="B92" s="41" t="s">
        <v>428</v>
      </c>
      <c r="C92" s="42">
        <v>0.08</v>
      </c>
      <c r="D92" s="134">
        <f>SUM(D89:D90)*C92</f>
        <v>175.38</v>
      </c>
    </row>
    <row r="93" spans="1:4" ht="15.75" hidden="1" outlineLevel="2">
      <c r="A93" s="38" t="s">
        <v>322</v>
      </c>
      <c r="B93" s="39" t="s">
        <v>429</v>
      </c>
      <c r="C93" s="43">
        <v>0.4</v>
      </c>
      <c r="D93" s="134">
        <f>C93*D94</f>
        <v>1297.1300000000001</v>
      </c>
    </row>
    <row r="94" spans="1:4" ht="15.75" hidden="1" outlineLevel="3">
      <c r="A94" s="38" t="s">
        <v>430</v>
      </c>
      <c r="B94" s="39" t="s">
        <v>431</v>
      </c>
      <c r="C94" s="43">
        <f>C62</f>
        <v>0.08</v>
      </c>
      <c r="D94" s="134">
        <f>C94*D95</f>
        <v>3242.83</v>
      </c>
    </row>
    <row r="95" spans="1:4" ht="15.75" hidden="1" outlineLevel="3">
      <c r="A95" s="38" t="s">
        <v>432</v>
      </c>
      <c r="B95" s="44" t="s">
        <v>433</v>
      </c>
      <c r="C95" s="45" t="s">
        <v>363</v>
      </c>
      <c r="D95" s="135">
        <f>SUM(D96:D98)</f>
        <v>40535.379999999997</v>
      </c>
    </row>
    <row r="96" spans="1:4" ht="15.75" hidden="1" outlineLevel="3">
      <c r="A96" s="40" t="s">
        <v>434</v>
      </c>
      <c r="B96" s="41" t="s">
        <v>435</v>
      </c>
      <c r="C96" s="46">
        <f>C12-C98</f>
        <v>19</v>
      </c>
      <c r="D96" s="134">
        <f>D39*C96</f>
        <v>34954.870000000003</v>
      </c>
    </row>
    <row r="97" spans="1:4" ht="15.75" hidden="1" outlineLevel="3">
      <c r="A97" s="40" t="s">
        <v>436</v>
      </c>
      <c r="B97" s="41" t="s">
        <v>437</v>
      </c>
      <c r="C97" s="47">
        <f>C12/12</f>
        <v>1.7</v>
      </c>
      <c r="D97" s="134">
        <f>D39*C97</f>
        <v>3127.54</v>
      </c>
    </row>
    <row r="98" spans="1:4" ht="15.75" hidden="1" outlineLevel="3">
      <c r="A98" s="40" t="s">
        <v>438</v>
      </c>
      <c r="B98" s="41" t="s">
        <v>439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>
      <c r="A99" s="663" t="s">
        <v>176</v>
      </c>
      <c r="B99" s="664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>
      <c r="A100" s="697"/>
      <c r="B100" s="698"/>
      <c r="C100" s="698"/>
      <c r="D100" s="699"/>
    </row>
    <row r="101" spans="1:4" ht="15.75" hidden="1" outlineLevel="1">
      <c r="A101" s="66" t="s">
        <v>440</v>
      </c>
      <c r="B101" s="112" t="s">
        <v>441</v>
      </c>
      <c r="C101" s="113" t="s">
        <v>383</v>
      </c>
      <c r="D101" s="113" t="s">
        <v>352</v>
      </c>
    </row>
    <row r="102" spans="1:4" ht="15.75" hidden="1" outlineLevel="2">
      <c r="A102" s="38" t="s">
        <v>353</v>
      </c>
      <c r="B102" s="44" t="s">
        <v>442</v>
      </c>
      <c r="C102" s="48">
        <f>IF(C111&gt;1,(1/30*7)*2,(1/30*7))</f>
        <v>0.23330000000000001</v>
      </c>
      <c r="D102" s="135">
        <f>C102*SUM(D103:D107)</f>
        <v>801.12</v>
      </c>
    </row>
    <row r="103" spans="1:4" ht="15.75" hidden="1" outlineLevel="3">
      <c r="A103" s="40" t="s">
        <v>421</v>
      </c>
      <c r="B103" s="41" t="s">
        <v>443</v>
      </c>
      <c r="C103" s="38">
        <v>1</v>
      </c>
      <c r="D103" s="134">
        <f>D39</f>
        <v>1839.73</v>
      </c>
    </row>
    <row r="104" spans="1:4" ht="15.75" hidden="1" outlineLevel="3">
      <c r="A104" s="40" t="s">
        <v>423</v>
      </c>
      <c r="B104" s="41" t="s">
        <v>444</v>
      </c>
      <c r="C104" s="32">
        <f>1/12</f>
        <v>8.3299999999999999E-2</v>
      </c>
      <c r="D104" s="134">
        <f>C104*D103</f>
        <v>153.25</v>
      </c>
    </row>
    <row r="105" spans="1:4" ht="15.75" hidden="1" outlineLevel="3">
      <c r="A105" s="40" t="s">
        <v>425</v>
      </c>
      <c r="B105" s="41" t="s">
        <v>445</v>
      </c>
      <c r="C105" s="32">
        <f>(1/12)+(1/12/3)</f>
        <v>0.1111</v>
      </c>
      <c r="D105" s="134">
        <f>C105*D103</f>
        <v>204.39</v>
      </c>
    </row>
    <row r="106" spans="1:4" ht="15.75" hidden="1" outlineLevel="3">
      <c r="A106" s="40" t="s">
        <v>427</v>
      </c>
      <c r="B106" s="49" t="s">
        <v>446</v>
      </c>
      <c r="C106" s="50">
        <f>C63</f>
        <v>0.36799999999999999</v>
      </c>
      <c r="D106" s="135">
        <f>C106*(D103+D104)</f>
        <v>733.42</v>
      </c>
    </row>
    <row r="107" spans="1:4" ht="15.75" hidden="1" outlineLevel="3">
      <c r="A107" s="40" t="s">
        <v>447</v>
      </c>
      <c r="B107" s="49" t="s">
        <v>448</v>
      </c>
      <c r="C107" s="45">
        <v>1</v>
      </c>
      <c r="D107" s="135">
        <f>D77</f>
        <v>503.07</v>
      </c>
    </row>
    <row r="108" spans="1:4" ht="15.75" hidden="1" outlineLevel="2">
      <c r="A108" s="38" t="s">
        <v>322</v>
      </c>
      <c r="B108" s="39" t="s">
        <v>449</v>
      </c>
      <c r="C108" s="43">
        <v>0.4</v>
      </c>
      <c r="D108" s="134">
        <f>C108*D109</f>
        <v>1297.1300000000001</v>
      </c>
    </row>
    <row r="109" spans="1:4" ht="15.75" hidden="1" outlineLevel="2">
      <c r="A109" s="38" t="s">
        <v>430</v>
      </c>
      <c r="B109" s="39" t="s">
        <v>431</v>
      </c>
      <c r="C109" s="43">
        <f>C62</f>
        <v>0.08</v>
      </c>
      <c r="D109" s="134">
        <f>C109*D110</f>
        <v>3242.83</v>
      </c>
    </row>
    <row r="110" spans="1:4" ht="15.75" hidden="1" outlineLevel="2">
      <c r="A110" s="38" t="s">
        <v>432</v>
      </c>
      <c r="B110" s="44" t="s">
        <v>433</v>
      </c>
      <c r="C110" s="45" t="s">
        <v>363</v>
      </c>
      <c r="D110" s="135">
        <f>D95</f>
        <v>40535.379999999997</v>
      </c>
    </row>
    <row r="111" spans="1:4" ht="15.75" hidden="1" outlineLevel="1">
      <c r="A111" s="663" t="s">
        <v>176</v>
      </c>
      <c r="B111" s="664"/>
      <c r="C111" s="69">
        <f>'SR - ASG'!C111</f>
        <v>0.94450000000000001</v>
      </c>
      <c r="D111" s="119">
        <f>IF(C111&gt;1,D102+D108,(D102+D108)*C111)</f>
        <v>1981.8</v>
      </c>
    </row>
    <row r="112" spans="1:4" ht="15.75" hidden="1" outlineLevel="1">
      <c r="A112" s="697"/>
      <c r="B112" s="698"/>
      <c r="C112" s="698"/>
      <c r="D112" s="699"/>
    </row>
    <row r="113" spans="1:4" ht="15.75" hidden="1" outlineLevel="1">
      <c r="A113" s="66" t="s">
        <v>450</v>
      </c>
      <c r="B113" s="112" t="s">
        <v>451</v>
      </c>
      <c r="C113" s="113" t="s">
        <v>383</v>
      </c>
      <c r="D113" s="113" t="s">
        <v>352</v>
      </c>
    </row>
    <row r="114" spans="1:4" ht="15.75" hidden="1" outlineLevel="2">
      <c r="A114" s="114" t="s">
        <v>353</v>
      </c>
      <c r="B114" s="34" t="s">
        <v>452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>
      <c r="A115" s="114" t="s">
        <v>322</v>
      </c>
      <c r="B115" s="51" t="s">
        <v>453</v>
      </c>
      <c r="C115" s="37">
        <f>C114/3</f>
        <v>1.11E-2</v>
      </c>
      <c r="D115" s="137">
        <f>C115*D39</f>
        <v>20.420000000000002</v>
      </c>
    </row>
    <row r="116" spans="1:4" ht="15.75" hidden="1" outlineLevel="1">
      <c r="A116" s="663" t="s">
        <v>176</v>
      </c>
      <c r="B116" s="664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>
      <c r="A117" s="697"/>
      <c r="B117" s="698"/>
      <c r="C117" s="698"/>
      <c r="D117" s="699"/>
    </row>
    <row r="118" spans="1:4" ht="15.75" hidden="1" outlineLevel="1">
      <c r="A118" s="701" t="s">
        <v>454</v>
      </c>
      <c r="B118" s="702"/>
      <c r="C118" s="113" t="s">
        <v>383</v>
      </c>
      <c r="D118" s="113" t="s">
        <v>352</v>
      </c>
    </row>
    <row r="119" spans="1:4" ht="15.75" hidden="1" outlineLevel="1">
      <c r="A119" s="114" t="s">
        <v>418</v>
      </c>
      <c r="B119" s="34" t="s">
        <v>419</v>
      </c>
      <c r="C119" s="37">
        <f>C99</f>
        <v>5.5500000000000001E-2</v>
      </c>
      <c r="D119" s="107">
        <f>D99</f>
        <v>215.87</v>
      </c>
    </row>
    <row r="120" spans="1:4" ht="15.75" hidden="1" outlineLevel="1">
      <c r="A120" s="116" t="s">
        <v>440</v>
      </c>
      <c r="B120" s="34" t="s">
        <v>441</v>
      </c>
      <c r="C120" s="52">
        <f>C111</f>
        <v>0.94450000000000001</v>
      </c>
      <c r="D120" s="107">
        <f>D111</f>
        <v>1981.8</v>
      </c>
    </row>
    <row r="121" spans="1:4" ht="15.75" hidden="1" outlineLevel="1">
      <c r="A121" s="707" t="s">
        <v>455</v>
      </c>
      <c r="B121" s="707"/>
      <c r="C121" s="707"/>
      <c r="D121" s="138">
        <f>D119+D120</f>
        <v>2197.67</v>
      </c>
    </row>
    <row r="122" spans="1:4" ht="15.75" hidden="1" outlineLevel="1">
      <c r="A122" s="703" t="s">
        <v>456</v>
      </c>
      <c r="B122" s="704"/>
      <c r="C122" s="70">
        <f>'SR - ASG'!C122</f>
        <v>0.63570000000000004</v>
      </c>
      <c r="D122" s="61">
        <f>C122*D121</f>
        <v>1397.06</v>
      </c>
    </row>
    <row r="123" spans="1:4" ht="15.75" hidden="1" outlineLevel="1">
      <c r="A123" s="703" t="s">
        <v>457</v>
      </c>
      <c r="B123" s="70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>
      <c r="A124" s="705" t="s">
        <v>458</v>
      </c>
      <c r="B124" s="706"/>
      <c r="C124" s="74">
        <f>1/C12</f>
        <v>0.05</v>
      </c>
      <c r="D124" s="62">
        <f>(D122+D123)*C124</f>
        <v>69.75</v>
      </c>
    </row>
    <row r="125" spans="1:4" ht="15.75" hidden="1" outlineLevel="1">
      <c r="A125" s="116" t="s">
        <v>450</v>
      </c>
      <c r="B125" s="34" t="s">
        <v>459</v>
      </c>
      <c r="C125" s="52"/>
      <c r="D125" s="127">
        <f>D116</f>
        <v>81.680000000000007</v>
      </c>
    </row>
    <row r="126" spans="1:4" ht="15.75" collapsed="1">
      <c r="A126" s="663" t="s">
        <v>176</v>
      </c>
      <c r="B126" s="664"/>
      <c r="C126" s="33"/>
      <c r="D126" s="139">
        <f>D124+D125</f>
        <v>151.43</v>
      </c>
    </row>
    <row r="127" spans="1:4" ht="15.75">
      <c r="A127" s="665"/>
      <c r="B127" s="666"/>
      <c r="C127" s="666"/>
      <c r="D127" s="667"/>
    </row>
    <row r="128" spans="1:4" ht="15.75">
      <c r="A128" s="668" t="s">
        <v>460</v>
      </c>
      <c r="B128" s="669"/>
      <c r="C128" s="669"/>
      <c r="D128" s="670"/>
    </row>
    <row r="129" spans="1:4" ht="15.75" hidden="1" outlineLevel="1">
      <c r="A129" s="697"/>
      <c r="B129" s="698"/>
      <c r="C129" s="698"/>
      <c r="D129" s="699"/>
    </row>
    <row r="130" spans="1:4" ht="15.75" hidden="1" outlineLevel="1">
      <c r="A130" s="113" t="s">
        <v>461</v>
      </c>
      <c r="B130" s="120" t="s">
        <v>462</v>
      </c>
      <c r="C130" s="33" t="s">
        <v>383</v>
      </c>
      <c r="D130" s="113" t="s">
        <v>352</v>
      </c>
    </row>
    <row r="131" spans="1:4" ht="15.75" hidden="1" outlineLevel="2">
      <c r="A131" s="140" t="s">
        <v>353</v>
      </c>
      <c r="B131" s="91" t="s">
        <v>463</v>
      </c>
      <c r="C131" s="53">
        <f>IF(C12&gt;60,5/C12,IF(C12&gt;48,4/C12,IF(C12&gt;36,3/C12,IF(C12&gt;24,2/C12,IF(C12&gt;12,1/C12,0)))))</f>
        <v>0.05</v>
      </c>
      <c r="D131" s="136">
        <f>SUM(D132:D136)</f>
        <v>118.86</v>
      </c>
    </row>
    <row r="132" spans="1:4" ht="15.75" hidden="1" outlineLevel="3">
      <c r="A132" s="141" t="s">
        <v>464</v>
      </c>
      <c r="B132" s="92" t="s">
        <v>465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>
      <c r="A133" s="141" t="s">
        <v>466</v>
      </c>
      <c r="B133" s="92" t="s">
        <v>467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>
      <c r="A134" s="141" t="s">
        <v>468</v>
      </c>
      <c r="B134" s="92" t="s">
        <v>469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>
      <c r="A135" s="141" t="s">
        <v>470</v>
      </c>
      <c r="B135" s="92" t="s">
        <v>471</v>
      </c>
      <c r="C135" s="93">
        <f>C63</f>
        <v>0.36799999999999999</v>
      </c>
      <c r="D135" s="143">
        <f>SUM(D132:D134)*C131</f>
        <v>5.49</v>
      </c>
    </row>
    <row r="136" spans="1:4" ht="15.75" hidden="1" outlineLevel="3">
      <c r="A136" s="141" t="s">
        <v>472</v>
      </c>
      <c r="B136" s="92" t="s">
        <v>473</v>
      </c>
      <c r="C136" s="144">
        <f>D124</f>
        <v>69.75</v>
      </c>
      <c r="D136" s="143">
        <f>C136*C131</f>
        <v>3.49</v>
      </c>
    </row>
    <row r="137" spans="1:4" ht="15.75" hidden="1" outlineLevel="2">
      <c r="A137" s="114" t="s">
        <v>322</v>
      </c>
      <c r="B137" s="34" t="s">
        <v>474</v>
      </c>
      <c r="C137" s="94">
        <v>0</v>
      </c>
      <c r="D137" s="127">
        <f>$C$131*(D39)*(C137/3)</f>
        <v>0</v>
      </c>
    </row>
    <row r="138" spans="1:4" ht="15.75" hidden="1" outlineLevel="1">
      <c r="A138" s="663" t="s">
        <v>475</v>
      </c>
      <c r="B138" s="664"/>
      <c r="C138" s="33">
        <f>C131+(D137/D39)</f>
        <v>0.05</v>
      </c>
      <c r="D138" s="119">
        <f>SUM(D131:D137)</f>
        <v>237.72</v>
      </c>
    </row>
    <row r="139" spans="1:4" ht="15.75" hidden="1" outlineLevel="1">
      <c r="A139" s="697"/>
      <c r="B139" s="698"/>
      <c r="C139" s="698"/>
      <c r="D139" s="699"/>
    </row>
    <row r="140" spans="1:4" ht="15.75" hidden="1" outlineLevel="2">
      <c r="A140" s="710" t="s">
        <v>476</v>
      </c>
      <c r="B140" s="145" t="s">
        <v>435</v>
      </c>
      <c r="C140" s="95">
        <v>220</v>
      </c>
      <c r="D140" s="146">
        <f>D39</f>
        <v>1839.73</v>
      </c>
    </row>
    <row r="141" spans="1:4" ht="15.75" hidden="1" outlineLevel="2">
      <c r="A141" s="711"/>
      <c r="B141" s="145" t="s">
        <v>477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>
      <c r="A142" s="711"/>
      <c r="B142" s="145" t="s">
        <v>478</v>
      </c>
      <c r="C142" s="53">
        <f>C63</f>
        <v>0.36799999999999999</v>
      </c>
      <c r="D142" s="147">
        <f>(D140+D141)*C142</f>
        <v>808.63</v>
      </c>
    </row>
    <row r="143" spans="1:4" ht="15.75" hidden="1" outlineLevel="2">
      <c r="A143" s="711"/>
      <c r="B143" s="145" t="s">
        <v>479</v>
      </c>
      <c r="C143" s="53">
        <f>D143/D140</f>
        <v>0.27339999999999998</v>
      </c>
      <c r="D143" s="147">
        <f>D77</f>
        <v>503.07</v>
      </c>
    </row>
    <row r="144" spans="1:4" ht="15.75" hidden="1" outlineLevel="2">
      <c r="A144" s="712"/>
      <c r="B144" s="148" t="s">
        <v>480</v>
      </c>
      <c r="C144" s="53">
        <f>D144/D140</f>
        <v>3.7900000000000003E-2</v>
      </c>
      <c r="D144" s="147">
        <f>D124</f>
        <v>69.75</v>
      </c>
    </row>
    <row r="145" spans="1:4" ht="15.75" hidden="1" outlineLevel="2">
      <c r="A145" s="713" t="s">
        <v>481</v>
      </c>
      <c r="B145" s="714"/>
      <c r="C145" s="96">
        <f>D145/D140</f>
        <v>1.9453</v>
      </c>
      <c r="D145" s="149">
        <f>SUM(D140:D144)</f>
        <v>3578.82</v>
      </c>
    </row>
    <row r="146" spans="1:4" ht="15.75" hidden="1" outlineLevel="2">
      <c r="A146" s="715"/>
      <c r="B146" s="715"/>
      <c r="C146" s="715"/>
      <c r="D146" s="716"/>
    </row>
    <row r="147" spans="1:4" ht="15.75" hidden="1" outlineLevel="1">
      <c r="A147" s="113" t="s">
        <v>482</v>
      </c>
      <c r="B147" s="120" t="s">
        <v>483</v>
      </c>
      <c r="C147" s="33" t="s">
        <v>383</v>
      </c>
      <c r="D147" s="113" t="s">
        <v>352</v>
      </c>
    </row>
    <row r="148" spans="1:4" ht="15.75" hidden="1" outlineLevel="2">
      <c r="A148" s="114" t="s">
        <v>322</v>
      </c>
      <c r="B148" s="34" t="s">
        <v>484</v>
      </c>
      <c r="C148" s="79">
        <f>5/252</f>
        <v>1.9800000000000002E-2</v>
      </c>
      <c r="D148" s="136">
        <f>C148*$D$145</f>
        <v>70.86</v>
      </c>
    </row>
    <row r="149" spans="1:4" ht="15.75" hidden="1" outlineLevel="2">
      <c r="A149" s="114" t="s">
        <v>325</v>
      </c>
      <c r="B149" s="34" t="s">
        <v>485</v>
      </c>
      <c r="C149" s="79">
        <f>1.383/252</f>
        <v>5.4999999999999997E-3</v>
      </c>
      <c r="D149" s="136">
        <f>C149*$D$145</f>
        <v>19.68</v>
      </c>
    </row>
    <row r="150" spans="1:4" ht="15.75" hidden="1" outlineLevel="2">
      <c r="A150" s="114" t="s">
        <v>328</v>
      </c>
      <c r="B150" s="34" t="s">
        <v>486</v>
      </c>
      <c r="C150" s="79">
        <f>1.3892/252</f>
        <v>5.4999999999999997E-3</v>
      </c>
      <c r="D150" s="136">
        <f t="shared" ref="D150:D153" si="1">C150*$D$145</f>
        <v>19.68</v>
      </c>
    </row>
    <row r="151" spans="1:4" ht="15.75" hidden="1" outlineLevel="2">
      <c r="A151" s="114" t="s">
        <v>331</v>
      </c>
      <c r="B151" s="34" t="s">
        <v>487</v>
      </c>
      <c r="C151" s="79">
        <f>0.65/252</f>
        <v>2.5999999999999999E-3</v>
      </c>
      <c r="D151" s="136">
        <f t="shared" si="1"/>
        <v>9.3000000000000007</v>
      </c>
    </row>
    <row r="152" spans="1:4" ht="15.75" hidden="1" outlineLevel="2">
      <c r="A152" s="114" t="s">
        <v>334</v>
      </c>
      <c r="B152" s="34" t="s">
        <v>488</v>
      </c>
      <c r="C152" s="79">
        <f>0.5052/252</f>
        <v>2E-3</v>
      </c>
      <c r="D152" s="136">
        <f t="shared" si="1"/>
        <v>7.16</v>
      </c>
    </row>
    <row r="153" spans="1:4" ht="15.75" hidden="1" outlineLevel="2">
      <c r="A153" s="114" t="s">
        <v>353</v>
      </c>
      <c r="B153" s="63" t="s">
        <v>489</v>
      </c>
      <c r="C153" s="71">
        <f>0.2/252</f>
        <v>8.0000000000000004E-4</v>
      </c>
      <c r="D153" s="136">
        <f t="shared" si="1"/>
        <v>2.86</v>
      </c>
    </row>
    <row r="154" spans="1:4" ht="15.75" hidden="1" outlineLevel="1">
      <c r="A154" s="663" t="s">
        <v>475</v>
      </c>
      <c r="B154" s="664"/>
      <c r="C154" s="33">
        <f>SUM(C148:C153)</f>
        <v>3.6200000000000003E-2</v>
      </c>
      <c r="D154" s="119">
        <f>SUM(D148:D153)</f>
        <v>129.54</v>
      </c>
    </row>
    <row r="155" spans="1:4" ht="15.75" hidden="1" outlineLevel="1">
      <c r="A155" s="697"/>
      <c r="B155" s="698"/>
      <c r="C155" s="698"/>
      <c r="D155" s="699"/>
    </row>
    <row r="156" spans="1:4" ht="15.75" hidden="1" outlineLevel="1">
      <c r="A156" s="701" t="s">
        <v>490</v>
      </c>
      <c r="B156" s="708"/>
      <c r="C156" s="33" t="s">
        <v>491</v>
      </c>
      <c r="D156" s="113" t="s">
        <v>352</v>
      </c>
    </row>
    <row r="157" spans="1:4" ht="15.75" hidden="1" outlineLevel="2">
      <c r="A157" s="709" t="s">
        <v>492</v>
      </c>
      <c r="B157" s="145" t="s">
        <v>493</v>
      </c>
      <c r="C157" s="97">
        <f>C153</f>
        <v>8.0000000000000004E-4</v>
      </c>
      <c r="D157" s="150">
        <f>C157*-D140</f>
        <v>-1.47</v>
      </c>
    </row>
    <row r="158" spans="1:4" ht="15.75" hidden="1" outlineLevel="2">
      <c r="A158" s="709"/>
      <c r="B158" s="151" t="s">
        <v>494</v>
      </c>
      <c r="C158" s="98">
        <v>0</v>
      </c>
      <c r="D158" s="152">
        <f>C158*-(D140/220/24*5)</f>
        <v>0</v>
      </c>
    </row>
    <row r="159" spans="1:4" ht="15.75" hidden="1" outlineLevel="2">
      <c r="A159" s="709"/>
      <c r="B159" s="151" t="s">
        <v>495</v>
      </c>
      <c r="C159" s="98">
        <v>0</v>
      </c>
      <c r="D159" s="152">
        <f>C159*-D141</f>
        <v>0</v>
      </c>
    </row>
    <row r="160" spans="1:4" ht="15.75" hidden="1" outlineLevel="2">
      <c r="A160" s="709"/>
      <c r="B160" s="145" t="s">
        <v>496</v>
      </c>
      <c r="C160" s="97">
        <f>C154</f>
        <v>3.6200000000000003E-2</v>
      </c>
      <c r="D160" s="150">
        <f>C160*-D66</f>
        <v>-4.37</v>
      </c>
    </row>
    <row r="161" spans="1:4" ht="15.75" hidden="1" outlineLevel="2">
      <c r="A161" s="709"/>
      <c r="B161" s="145" t="s">
        <v>497</v>
      </c>
      <c r="C161" s="97">
        <f>C154</f>
        <v>3.6200000000000003E-2</v>
      </c>
      <c r="D161" s="150">
        <f>C161*-D69</f>
        <v>-12.43</v>
      </c>
    </row>
    <row r="162" spans="1:4" ht="15.75" hidden="1" outlineLevel="2">
      <c r="A162" s="709"/>
      <c r="B162" s="148" t="s">
        <v>498</v>
      </c>
      <c r="C162" s="97">
        <f>C153</f>
        <v>8.0000000000000004E-4</v>
      </c>
      <c r="D162" s="150">
        <f>C162*-D74</f>
        <v>-0.02</v>
      </c>
    </row>
    <row r="163" spans="1:4" ht="15.75" hidden="1" outlineLevel="2">
      <c r="A163" s="709"/>
      <c r="B163" s="148" t="s">
        <v>499</v>
      </c>
      <c r="C163" s="99">
        <f>C152</f>
        <v>2E-3</v>
      </c>
      <c r="D163" s="136">
        <f>C163*-SUM(D55:D61)</f>
        <v>-1.17</v>
      </c>
    </row>
    <row r="164" spans="1:4" ht="15.75" hidden="1" outlineLevel="2">
      <c r="A164" s="709"/>
      <c r="B164" s="145" t="s">
        <v>500</v>
      </c>
      <c r="C164" s="97">
        <f>C153</f>
        <v>8.0000000000000004E-4</v>
      </c>
      <c r="D164" s="150">
        <f>C164*-D142</f>
        <v>-0.65</v>
      </c>
    </row>
    <row r="165" spans="1:4" ht="15.75" hidden="1" outlineLevel="1">
      <c r="A165" s="663" t="s">
        <v>501</v>
      </c>
      <c r="B165" s="664"/>
      <c r="C165" s="33">
        <f>D165/D140</f>
        <v>-1.09E-2</v>
      </c>
      <c r="D165" s="119">
        <f>SUM(D157:D164)</f>
        <v>-20.11</v>
      </c>
    </row>
    <row r="166" spans="1:4" ht="15.75" hidden="1" outlineLevel="1">
      <c r="A166" s="697"/>
      <c r="B166" s="698"/>
      <c r="C166" s="698"/>
      <c r="D166" s="699"/>
    </row>
    <row r="167" spans="1:4" ht="15.75" hidden="1" outlineLevel="1">
      <c r="A167" s="663" t="s">
        <v>502</v>
      </c>
      <c r="B167" s="664"/>
      <c r="C167" s="33">
        <f>D167/D140</f>
        <v>5.9499999999999997E-2</v>
      </c>
      <c r="D167" s="119">
        <f>D154+D165</f>
        <v>109.43</v>
      </c>
    </row>
    <row r="168" spans="1:4" ht="15.75" hidden="1" outlineLevel="1">
      <c r="A168" s="697"/>
      <c r="B168" s="698"/>
      <c r="C168" s="698"/>
      <c r="D168" s="699"/>
    </row>
    <row r="169" spans="1:4" ht="15.75" hidden="1" outlineLevel="1">
      <c r="A169" s="701" t="s">
        <v>503</v>
      </c>
      <c r="B169" s="702"/>
      <c r="C169" s="113" t="s">
        <v>383</v>
      </c>
      <c r="D169" s="113" t="s">
        <v>352</v>
      </c>
    </row>
    <row r="170" spans="1:4" ht="15.75" hidden="1" outlineLevel="1">
      <c r="A170" s="114" t="s">
        <v>461</v>
      </c>
      <c r="B170" s="34" t="s">
        <v>462</v>
      </c>
      <c r="C170" s="37"/>
      <c r="D170" s="153">
        <f>D138</f>
        <v>237.72</v>
      </c>
    </row>
    <row r="171" spans="1:4" ht="15.75" hidden="1" outlineLevel="1">
      <c r="A171" s="114" t="s">
        <v>482</v>
      </c>
      <c r="B171" s="34" t="s">
        <v>483</v>
      </c>
      <c r="C171" s="37"/>
      <c r="D171" s="153">
        <f>D167</f>
        <v>109.43</v>
      </c>
    </row>
    <row r="172" spans="1:4" ht="15.75" collapsed="1">
      <c r="A172" s="663" t="s">
        <v>176</v>
      </c>
      <c r="B172" s="700"/>
      <c r="C172" s="664"/>
      <c r="D172" s="122">
        <f>SUM(D170:D171)</f>
        <v>347.15</v>
      </c>
    </row>
    <row r="173" spans="1:4" ht="15.75">
      <c r="A173" s="697"/>
      <c r="B173" s="698"/>
      <c r="C173" s="698"/>
      <c r="D173" s="699"/>
    </row>
    <row r="174" spans="1:4" ht="15.75">
      <c r="A174" s="668" t="s">
        <v>504</v>
      </c>
      <c r="B174" s="669"/>
      <c r="C174" s="669"/>
      <c r="D174" s="670"/>
    </row>
    <row r="175" spans="1:4" ht="15.75" hidden="1" outlineLevel="1">
      <c r="A175" s="697"/>
      <c r="B175" s="698"/>
      <c r="C175" s="698"/>
      <c r="D175" s="699"/>
    </row>
    <row r="176" spans="1:4" ht="15.75" hidden="1" outlineLevel="1">
      <c r="A176" s="66">
        <v>5</v>
      </c>
      <c r="B176" s="663" t="s">
        <v>505</v>
      </c>
      <c r="C176" s="664"/>
      <c r="D176" s="113" t="s">
        <v>352</v>
      </c>
    </row>
    <row r="177" spans="1:4" ht="15.75" hidden="1" outlineLevel="1">
      <c r="A177" s="114" t="s">
        <v>353</v>
      </c>
      <c r="B177" s="717" t="s">
        <v>506</v>
      </c>
      <c r="C177" s="718"/>
      <c r="D177" s="136">
        <f>INSUMOS!H14</f>
        <v>25.55</v>
      </c>
    </row>
    <row r="178" spans="1:4" ht="15.75" hidden="1" outlineLevel="1">
      <c r="A178" s="114" t="s">
        <v>322</v>
      </c>
      <c r="B178" s="717" t="s">
        <v>541</v>
      </c>
      <c r="C178" s="718"/>
      <c r="D178" s="154">
        <f>INSUMOS!H34</f>
        <v>20.63</v>
      </c>
    </row>
    <row r="179" spans="1:4" ht="15.75" hidden="1" outlineLevel="1">
      <c r="A179" s="114" t="s">
        <v>325</v>
      </c>
      <c r="B179" s="649" t="s">
        <v>508</v>
      </c>
      <c r="C179" s="650"/>
      <c r="D179" s="154">
        <f>MATERIAIS!K109</f>
        <v>417.38</v>
      </c>
    </row>
    <row r="180" spans="1:4" ht="15.75" hidden="1" outlineLevel="1">
      <c r="A180" s="114" t="s">
        <v>328</v>
      </c>
      <c r="B180" s="649" t="s">
        <v>509</v>
      </c>
      <c r="C180" s="650"/>
      <c r="D180" s="154">
        <f>EQUIPAMENTOS!L111</f>
        <v>33.700000000000003</v>
      </c>
    </row>
    <row r="181" spans="1:4" ht="15.75" hidden="1" outlineLevel="1">
      <c r="A181" s="114" t="s">
        <v>331</v>
      </c>
      <c r="B181" s="651" t="s">
        <v>372</v>
      </c>
      <c r="C181" s="652"/>
      <c r="D181" s="133">
        <v>0</v>
      </c>
    </row>
    <row r="182" spans="1:4" ht="15.75" hidden="1" outlineLevel="1">
      <c r="A182" s="114" t="s">
        <v>334</v>
      </c>
      <c r="B182" s="651" t="s">
        <v>372</v>
      </c>
      <c r="C182" s="652"/>
      <c r="D182" s="133">
        <v>0</v>
      </c>
    </row>
    <row r="183" spans="1:4" ht="15.75" collapsed="1">
      <c r="A183" s="663" t="s">
        <v>176</v>
      </c>
      <c r="B183" s="700"/>
      <c r="C183" s="664"/>
      <c r="D183" s="119">
        <f>SUM(D177:D181)</f>
        <v>497.26</v>
      </c>
    </row>
    <row r="184" spans="1:4" ht="15.75">
      <c r="A184" s="665"/>
      <c r="B184" s="666"/>
      <c r="C184" s="666"/>
      <c r="D184" s="667"/>
    </row>
    <row r="185" spans="1:4" ht="15.75">
      <c r="A185" s="723" t="s">
        <v>510</v>
      </c>
      <c r="B185" s="723"/>
      <c r="C185" s="723"/>
      <c r="D185" s="155">
        <f>D39+D83+D126+D172+D183</f>
        <v>4267.34</v>
      </c>
    </row>
    <row r="186" spans="1:4" ht="15.75">
      <c r="A186" s="679"/>
      <c r="B186" s="679"/>
      <c r="C186" s="679"/>
      <c r="D186" s="679"/>
    </row>
    <row r="187" spans="1:4" ht="15.75">
      <c r="A187" s="724" t="s">
        <v>511</v>
      </c>
      <c r="B187" s="724"/>
      <c r="C187" s="724"/>
      <c r="D187" s="724"/>
    </row>
    <row r="188" spans="1:4" ht="15.75" hidden="1" outlineLevel="1">
      <c r="A188" s="725"/>
      <c r="B188" s="726"/>
      <c r="C188" s="726"/>
      <c r="D188" s="727"/>
    </row>
    <row r="189" spans="1:4" ht="15.75" hidden="1" outlineLevel="1">
      <c r="A189" s="66">
        <v>6</v>
      </c>
      <c r="B189" s="120" t="s">
        <v>512</v>
      </c>
      <c r="C189" s="113" t="s">
        <v>383</v>
      </c>
      <c r="D189" s="113" t="s">
        <v>352</v>
      </c>
    </row>
    <row r="190" spans="1:4" ht="15.75" hidden="1" outlineLevel="1">
      <c r="A190" s="114" t="s">
        <v>353</v>
      </c>
      <c r="B190" s="34" t="s">
        <v>513</v>
      </c>
      <c r="C190" s="72">
        <f>'SR - ASG'!C189</f>
        <v>2.6499999999999999E-2</v>
      </c>
      <c r="D190" s="108">
        <f>C190*D185</f>
        <v>113.08</v>
      </c>
    </row>
    <row r="191" spans="1:4" ht="15.75" hidden="1" outlineLevel="1">
      <c r="A191" s="719" t="s">
        <v>514</v>
      </c>
      <c r="B191" s="720"/>
      <c r="C191" s="722"/>
      <c r="D191" s="108">
        <f>D185+D190</f>
        <v>4380.42</v>
      </c>
    </row>
    <row r="192" spans="1:4" ht="15.75" hidden="1" outlineLevel="1">
      <c r="A192" s="114" t="s">
        <v>322</v>
      </c>
      <c r="B192" s="34" t="s">
        <v>515</v>
      </c>
      <c r="C192" s="72">
        <f>'SR - ASG'!C191</f>
        <v>0.1087</v>
      </c>
      <c r="D192" s="108">
        <f>C192*D191</f>
        <v>476.15</v>
      </c>
    </row>
    <row r="193" spans="1:4" ht="15.75" hidden="1" outlineLevel="1">
      <c r="A193" s="719" t="s">
        <v>514</v>
      </c>
      <c r="B193" s="720"/>
      <c r="C193" s="720"/>
      <c r="D193" s="108">
        <f>D192+D191</f>
        <v>4856.57</v>
      </c>
    </row>
    <row r="194" spans="1:4" ht="15.75" hidden="1" outlineLevel="1">
      <c r="A194" s="114" t="s">
        <v>325</v>
      </c>
      <c r="B194" s="649" t="s">
        <v>516</v>
      </c>
      <c r="C194" s="721"/>
      <c r="D194" s="650"/>
    </row>
    <row r="195" spans="1:4" ht="15.75" hidden="1" outlineLevel="1">
      <c r="A195" s="156"/>
      <c r="B195" s="65" t="s">
        <v>517</v>
      </c>
      <c r="C195" s="72">
        <v>6.4999999999999997E-3</v>
      </c>
      <c r="D195" s="108">
        <f>(D193/(1-C198)*C195)</f>
        <v>33.46</v>
      </c>
    </row>
    <row r="196" spans="1:4" ht="15.75" hidden="1" outlineLevel="1">
      <c r="A196" s="156"/>
      <c r="B196" s="65" t="s">
        <v>518</v>
      </c>
      <c r="C196" s="72">
        <v>0.03</v>
      </c>
      <c r="D196" s="108">
        <f>(D193/(1-C198)*C196)</f>
        <v>154.41999999999999</v>
      </c>
    </row>
    <row r="197" spans="1:4" ht="15.75" hidden="1" outlineLevel="1">
      <c r="A197" s="156"/>
      <c r="B197" s="65" t="s">
        <v>555</v>
      </c>
      <c r="C197" s="54">
        <v>0.02</v>
      </c>
      <c r="D197" s="108">
        <f>(D193/(1-C198)*C197)</f>
        <v>102.95</v>
      </c>
    </row>
    <row r="198" spans="1:4" ht="15.75" hidden="1" outlineLevel="1">
      <c r="A198" s="719" t="s">
        <v>520</v>
      </c>
      <c r="B198" s="722"/>
      <c r="C198" s="55">
        <f>SUM(C195:C197)</f>
        <v>5.6500000000000002E-2</v>
      </c>
      <c r="D198" s="108">
        <f>SUM(D195:D197)</f>
        <v>290.83</v>
      </c>
    </row>
    <row r="199" spans="1:4" ht="15.75" collapsed="1">
      <c r="A199" s="663" t="s">
        <v>176</v>
      </c>
      <c r="B199" s="664"/>
      <c r="C199" s="56">
        <f>(1+C190)*(1+C192)*(1/(1-C198))-1</f>
        <v>0.20619999999999999</v>
      </c>
      <c r="D199" s="111">
        <f>SUM(D198+D190+D192)</f>
        <v>880.06</v>
      </c>
    </row>
    <row r="200" spans="1:4" ht="15.75">
      <c r="A200" s="665"/>
      <c r="B200" s="666"/>
      <c r="C200" s="666"/>
      <c r="D200" s="667"/>
    </row>
    <row r="201" spans="1:4" ht="15.75">
      <c r="A201" s="676" t="s">
        <v>521</v>
      </c>
      <c r="B201" s="678"/>
      <c r="C201" s="677"/>
      <c r="D201" s="57" t="s">
        <v>352</v>
      </c>
    </row>
    <row r="202" spans="1:4" ht="15.75">
      <c r="A202" s="661" t="s">
        <v>522</v>
      </c>
      <c r="B202" s="728"/>
      <c r="C202" s="728"/>
      <c r="D202" s="662"/>
    </row>
    <row r="203" spans="1:4" ht="15.75">
      <c r="A203" s="67" t="s">
        <v>353</v>
      </c>
      <c r="B203" s="661" t="s">
        <v>523</v>
      </c>
      <c r="C203" s="662"/>
      <c r="D203" s="107">
        <f>D39</f>
        <v>1839.73</v>
      </c>
    </row>
    <row r="204" spans="1:4" ht="15.75">
      <c r="A204" s="67" t="s">
        <v>322</v>
      </c>
      <c r="B204" s="661" t="s">
        <v>524</v>
      </c>
      <c r="C204" s="662"/>
      <c r="D204" s="107">
        <f>D83</f>
        <v>1431.77</v>
      </c>
    </row>
    <row r="205" spans="1:4" ht="15.75">
      <c r="A205" s="67" t="s">
        <v>325</v>
      </c>
      <c r="B205" s="661" t="s">
        <v>525</v>
      </c>
      <c r="C205" s="662"/>
      <c r="D205" s="107">
        <f>D126</f>
        <v>151.43</v>
      </c>
    </row>
    <row r="206" spans="1:4" ht="15.75">
      <c r="A206" s="67" t="s">
        <v>328</v>
      </c>
      <c r="B206" s="661" t="s">
        <v>526</v>
      </c>
      <c r="C206" s="662"/>
      <c r="D206" s="107">
        <f>D172</f>
        <v>347.15</v>
      </c>
    </row>
    <row r="207" spans="1:4" ht="15.75">
      <c r="A207" s="67" t="s">
        <v>331</v>
      </c>
      <c r="B207" s="661" t="s">
        <v>527</v>
      </c>
      <c r="C207" s="662"/>
      <c r="D207" s="107">
        <f>D183</f>
        <v>497.26</v>
      </c>
    </row>
    <row r="208" spans="1:4" ht="15.75">
      <c r="A208" s="738" t="s">
        <v>528</v>
      </c>
      <c r="B208" s="739"/>
      <c r="C208" s="740"/>
      <c r="D208" s="107">
        <f>SUM(D203:D207)</f>
        <v>4267.34</v>
      </c>
    </row>
    <row r="209" spans="1:4" ht="15.75">
      <c r="A209" s="67" t="s">
        <v>529</v>
      </c>
      <c r="B209" s="661" t="s">
        <v>530</v>
      </c>
      <c r="C209" s="662"/>
      <c r="D209" s="107">
        <f>D199</f>
        <v>880.06</v>
      </c>
    </row>
    <row r="210" spans="1:4" ht="15.75">
      <c r="A210" s="676" t="s">
        <v>531</v>
      </c>
      <c r="B210" s="678"/>
      <c r="C210" s="677"/>
      <c r="D210" s="157">
        <f xml:space="preserve"> D208+D209</f>
        <v>5147.3999999999996</v>
      </c>
    </row>
    <row r="211" spans="1:4" ht="15.75">
      <c r="A211" s="27"/>
      <c r="B211" s="27"/>
      <c r="C211" s="27"/>
      <c r="D211" s="27"/>
    </row>
    <row r="212" spans="1:4" ht="15.75" thickBot="1">
      <c r="A212" s="20"/>
      <c r="B212" s="20"/>
      <c r="C212" s="20"/>
      <c r="D212" s="20"/>
    </row>
    <row r="213" spans="1:4" ht="15.75">
      <c r="A213" s="646" t="s">
        <v>532</v>
      </c>
      <c r="B213" s="647"/>
      <c r="C213" s="647"/>
      <c r="D213" s="648"/>
    </row>
    <row r="214" spans="1:4" ht="31.5">
      <c r="A214" s="175" t="s">
        <v>533</v>
      </c>
      <c r="B214" s="176" t="s">
        <v>534</v>
      </c>
      <c r="C214" s="177" t="s">
        <v>535</v>
      </c>
      <c r="D214" s="178" t="s">
        <v>536</v>
      </c>
    </row>
    <row r="215" spans="1:4" ht="16.5" thickBot="1">
      <c r="A215" s="179">
        <v>4</v>
      </c>
      <c r="B215" s="182">
        <f>1/(C11/A215)</f>
        <v>1.1333435333999999E-3</v>
      </c>
      <c r="C215" s="180">
        <f>D210</f>
        <v>5147.3999999999996</v>
      </c>
      <c r="D215" s="184">
        <f>C215*B215</f>
        <v>5.8337725039999997</v>
      </c>
    </row>
  </sheetData>
  <mergeCells count="108">
    <mergeCell ref="A208:C208"/>
    <mergeCell ref="B209:C209"/>
    <mergeCell ref="A210:C210"/>
    <mergeCell ref="A202:D202"/>
    <mergeCell ref="B203:C203"/>
    <mergeCell ref="B204:C204"/>
    <mergeCell ref="B205:C205"/>
    <mergeCell ref="B206:C206"/>
    <mergeCell ref="B207:C207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C11:D11"/>
    <mergeCell ref="C12:D12"/>
    <mergeCell ref="A13:D13"/>
    <mergeCell ref="A14:D14"/>
    <mergeCell ref="A15:D15"/>
    <mergeCell ref="C16:D16"/>
    <mergeCell ref="A213:D213"/>
    <mergeCell ref="B180:C180"/>
    <mergeCell ref="B181:C181"/>
    <mergeCell ref="A5:D5"/>
    <mergeCell ref="C6:D6"/>
    <mergeCell ref="C7:D7"/>
    <mergeCell ref="C8:D8"/>
    <mergeCell ref="C9:D9"/>
    <mergeCell ref="C10:D10"/>
    <mergeCell ref="B20:C20"/>
    <mergeCell ref="B21:C21"/>
    <mergeCell ref="B22:C22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1C835-985C-4B2E-BDBA-4AC6CDEDC78C}">
  <sheetPr codeName="Planilha14">
    <pageSetUpPr fitToPage="1"/>
  </sheetPr>
  <dimension ref="A1:D215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>
      <c r="A1" s="680" t="s">
        <v>313</v>
      </c>
      <c r="B1" s="680"/>
      <c r="C1" s="680"/>
      <c r="D1" s="680"/>
    </row>
    <row r="2" spans="1:4" ht="15.75">
      <c r="A2" s="681" t="s">
        <v>314</v>
      </c>
      <c r="B2" s="681"/>
      <c r="C2" s="682" t="s">
        <v>315</v>
      </c>
      <c r="D2" s="683"/>
    </row>
    <row r="3" spans="1:4" ht="15.75">
      <c r="A3" s="681" t="s">
        <v>316</v>
      </c>
      <c r="B3" s="681"/>
      <c r="C3" s="682" t="s">
        <v>317</v>
      </c>
      <c r="D3" s="683"/>
    </row>
    <row r="4" spans="1:4" ht="15.75">
      <c r="A4" s="653"/>
      <c r="B4" s="653"/>
      <c r="C4" s="653"/>
      <c r="D4" s="653"/>
    </row>
    <row r="5" spans="1:4" ht="15.75">
      <c r="A5" s="653" t="s">
        <v>318</v>
      </c>
      <c r="B5" s="653"/>
      <c r="C5" s="653"/>
      <c r="D5" s="653"/>
    </row>
    <row r="6" spans="1:4" ht="15.75">
      <c r="A6" s="67" t="s">
        <v>319</v>
      </c>
      <c r="B6" s="65" t="s">
        <v>320</v>
      </c>
      <c r="C6" s="654" t="s">
        <v>321</v>
      </c>
      <c r="D6" s="655"/>
    </row>
    <row r="7" spans="1:4" ht="15.75">
      <c r="A7" s="67" t="s">
        <v>322</v>
      </c>
      <c r="B7" s="65" t="s">
        <v>323</v>
      </c>
      <c r="C7" s="656" t="s">
        <v>556</v>
      </c>
      <c r="D7" s="656"/>
    </row>
    <row r="8" spans="1:4" ht="15.75">
      <c r="A8" s="28" t="s">
        <v>325</v>
      </c>
      <c r="B8" s="29" t="s">
        <v>326</v>
      </c>
      <c r="C8" s="736" t="s">
        <v>327</v>
      </c>
      <c r="D8" s="737"/>
    </row>
    <row r="9" spans="1:4" ht="15.75">
      <c r="A9" s="67" t="s">
        <v>328</v>
      </c>
      <c r="B9" s="65" t="s">
        <v>329</v>
      </c>
      <c r="C9" s="659" t="s">
        <v>330</v>
      </c>
      <c r="D9" s="660"/>
    </row>
    <row r="10" spans="1:4" ht="15.75">
      <c r="A10" s="67" t="s">
        <v>331</v>
      </c>
      <c r="B10" s="65" t="s">
        <v>332</v>
      </c>
      <c r="C10" s="659" t="s">
        <v>333</v>
      </c>
      <c r="D10" s="660"/>
    </row>
    <row r="11" spans="1:4" ht="15.75">
      <c r="A11" s="67" t="s">
        <v>334</v>
      </c>
      <c r="B11" s="65" t="s">
        <v>335</v>
      </c>
      <c r="C11" s="686">
        <f>Resumo!F11</f>
        <v>4257.58</v>
      </c>
      <c r="D11" s="687"/>
    </row>
    <row r="12" spans="1:4" ht="15.75">
      <c r="A12" s="67" t="s">
        <v>394</v>
      </c>
      <c r="B12" s="65" t="s">
        <v>337</v>
      </c>
      <c r="C12" s="688">
        <f>Resumo!I5</f>
        <v>20</v>
      </c>
      <c r="D12" s="675"/>
    </row>
    <row r="13" spans="1:4" ht="15.75">
      <c r="A13" s="689"/>
      <c r="B13" s="690"/>
      <c r="C13" s="690"/>
      <c r="D13" s="690"/>
    </row>
    <row r="14" spans="1:4" ht="15.75">
      <c r="A14" s="691" t="s">
        <v>338</v>
      </c>
      <c r="B14" s="692"/>
      <c r="C14" s="692"/>
      <c r="D14" s="693"/>
    </row>
    <row r="15" spans="1:4" ht="15.75">
      <c r="A15" s="656" t="s">
        <v>339</v>
      </c>
      <c r="B15" s="656"/>
      <c r="C15" s="656"/>
      <c r="D15" s="656"/>
    </row>
    <row r="16" spans="1:4" ht="15.75">
      <c r="A16" s="67">
        <v>1</v>
      </c>
      <c r="B16" s="65" t="s">
        <v>340</v>
      </c>
      <c r="C16" s="659" t="s">
        <v>341</v>
      </c>
      <c r="D16" s="660" t="s">
        <v>62</v>
      </c>
    </row>
    <row r="17" spans="1:4" ht="15.75">
      <c r="A17" s="67">
        <v>2</v>
      </c>
      <c r="B17" s="30" t="s">
        <v>342</v>
      </c>
      <c r="C17" s="684" t="s">
        <v>343</v>
      </c>
      <c r="D17" s="685"/>
    </row>
    <row r="18" spans="1:4" ht="15.75">
      <c r="A18" s="656" t="s">
        <v>344</v>
      </c>
      <c r="B18" s="656"/>
      <c r="C18" s="656"/>
      <c r="D18" s="656"/>
    </row>
    <row r="19" spans="1:4" ht="15.75">
      <c r="A19" s="67">
        <v>3</v>
      </c>
      <c r="B19" s="661" t="s">
        <v>345</v>
      </c>
      <c r="C19" s="662"/>
      <c r="D19" s="106">
        <v>1314.09</v>
      </c>
    </row>
    <row r="20" spans="1:4" ht="15.75">
      <c r="A20" s="67">
        <v>4</v>
      </c>
      <c r="B20" s="661" t="s">
        <v>346</v>
      </c>
      <c r="C20" s="662"/>
      <c r="D20" s="158">
        <v>220</v>
      </c>
    </row>
    <row r="21" spans="1:4" ht="15.75">
      <c r="A21" s="67">
        <v>5</v>
      </c>
      <c r="B21" s="661" t="s">
        <v>347</v>
      </c>
      <c r="C21" s="662"/>
      <c r="D21" s="75" t="s">
        <v>348</v>
      </c>
    </row>
    <row r="22" spans="1:4" ht="15.75">
      <c r="A22" s="67">
        <v>6</v>
      </c>
      <c r="B22" s="661" t="s">
        <v>349</v>
      </c>
      <c r="C22" s="662"/>
      <c r="D22" s="76">
        <v>44562</v>
      </c>
    </row>
    <row r="23" spans="1:4" ht="15.75">
      <c r="A23" s="659"/>
      <c r="B23" s="671"/>
      <c r="C23" s="671"/>
      <c r="D23" s="660"/>
    </row>
    <row r="24" spans="1:4" ht="15.75">
      <c r="A24" s="672" t="s">
        <v>350</v>
      </c>
      <c r="B24" s="672"/>
      <c r="C24" s="672"/>
      <c r="D24" s="672"/>
    </row>
    <row r="25" spans="1:4" ht="15.75">
      <c r="A25" s="673"/>
      <c r="B25" s="674"/>
      <c r="C25" s="674"/>
      <c r="D25" s="675"/>
    </row>
    <row r="26" spans="1:4" ht="15.75">
      <c r="A26" s="66">
        <v>1</v>
      </c>
      <c r="B26" s="676" t="s">
        <v>351</v>
      </c>
      <c r="C26" s="677"/>
      <c r="D26" s="66" t="s">
        <v>352</v>
      </c>
    </row>
    <row r="27" spans="1:4" ht="15.75" hidden="1" outlineLevel="1">
      <c r="A27" s="67" t="s">
        <v>353</v>
      </c>
      <c r="B27" s="65" t="s">
        <v>354</v>
      </c>
      <c r="C27" s="73">
        <f>'SR - ASG'!C27</f>
        <v>220</v>
      </c>
      <c r="D27" s="107">
        <f>D19/220*C27</f>
        <v>1314.09</v>
      </c>
    </row>
    <row r="28" spans="1:4" ht="15.75" hidden="1" outlineLevel="1">
      <c r="A28" s="67" t="s">
        <v>322</v>
      </c>
      <c r="B28" s="65" t="s">
        <v>557</v>
      </c>
      <c r="C28" s="31">
        <v>0</v>
      </c>
      <c r="D28" s="107">
        <f>C28*D27</f>
        <v>0</v>
      </c>
    </row>
    <row r="29" spans="1:4" ht="15.75" hidden="1" outlineLevel="1">
      <c r="A29" s="67" t="s">
        <v>325</v>
      </c>
      <c r="B29" s="65" t="s">
        <v>356</v>
      </c>
      <c r="C29" s="31">
        <v>0.4</v>
      </c>
      <c r="D29" s="107">
        <f>C29*D27</f>
        <v>525.64</v>
      </c>
    </row>
    <row r="30" spans="1:4" ht="15.75" hidden="1" outlineLevel="1">
      <c r="A30" s="67" t="s">
        <v>328</v>
      </c>
      <c r="B30" s="65" t="s">
        <v>357</v>
      </c>
      <c r="C30" s="159">
        <v>0</v>
      </c>
      <c r="D30" s="108">
        <f>SUM(D31:D32)</f>
        <v>0</v>
      </c>
    </row>
    <row r="31" spans="1:4" ht="15.75" hidden="1" outlineLevel="2">
      <c r="A31" s="80" t="s">
        <v>358</v>
      </c>
      <c r="B31" s="65" t="s">
        <v>359</v>
      </c>
      <c r="C31" s="81">
        <v>0.2</v>
      </c>
      <c r="D31" s="108">
        <f>(SUM(D27:D29)/C27)*C31*15*C30</f>
        <v>0</v>
      </c>
    </row>
    <row r="32" spans="1:4" ht="15.75" hidden="1" outlineLevel="2">
      <c r="A32" s="80" t="s">
        <v>360</v>
      </c>
      <c r="B32" s="65" t="s">
        <v>361</v>
      </c>
      <c r="C32" s="82">
        <f>C30*(60/52.5)/8</f>
        <v>0</v>
      </c>
      <c r="D32" s="108">
        <f>(SUM(D27:D29)/C27)*(C31)*15*C32</f>
        <v>0</v>
      </c>
    </row>
    <row r="33" spans="1:4" ht="15.75" hidden="1" outlineLevel="1">
      <c r="A33" s="67" t="s">
        <v>331</v>
      </c>
      <c r="B33" s="65" t="s">
        <v>362</v>
      </c>
      <c r="C33" s="31" t="s">
        <v>363</v>
      </c>
      <c r="D33" s="1">
        <f>SUM(D34:D37)</f>
        <v>0</v>
      </c>
    </row>
    <row r="34" spans="1:4" ht="15.75" hidden="1" outlineLevel="2">
      <c r="A34" s="83" t="s">
        <v>364</v>
      </c>
      <c r="B34" s="84" t="s">
        <v>365</v>
      </c>
      <c r="C34" s="85">
        <v>0</v>
      </c>
      <c r="D34" s="109">
        <f>(SUM($D$27:$D$29)/$C$27)*C34*1.5</f>
        <v>0</v>
      </c>
    </row>
    <row r="35" spans="1:4" ht="15.75" hidden="1" outlineLevel="2">
      <c r="A35" s="83" t="s">
        <v>366</v>
      </c>
      <c r="B35" s="86" t="s">
        <v>367</v>
      </c>
      <c r="C35" s="87">
        <v>0</v>
      </c>
      <c r="D35" s="109">
        <f>(SUM($D$27:$D$29)/$C$27)*C35*((60/52.5)*1.2*1.5)</f>
        <v>0</v>
      </c>
    </row>
    <row r="36" spans="1:4" ht="15.75" hidden="1" outlineLevel="2">
      <c r="A36" s="83" t="s">
        <v>368</v>
      </c>
      <c r="B36" s="84" t="s">
        <v>369</v>
      </c>
      <c r="C36" s="88">
        <f>C34*0.1429</f>
        <v>0</v>
      </c>
      <c r="D36" s="109">
        <f>(SUM($D$27:$D$29)/$C$27)*C36*2</f>
        <v>0</v>
      </c>
    </row>
    <row r="37" spans="1:4" ht="15.75" hidden="1" outlineLevel="2">
      <c r="A37" s="83" t="s">
        <v>370</v>
      </c>
      <c r="B37" s="84" t="s">
        <v>371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>
      <c r="A38" s="67" t="s">
        <v>334</v>
      </c>
      <c r="B38" s="58" t="s">
        <v>372</v>
      </c>
      <c r="C38" s="59">
        <v>0</v>
      </c>
      <c r="D38" s="110">
        <v>0</v>
      </c>
    </row>
    <row r="39" spans="1:4" ht="15.75" collapsed="1">
      <c r="A39" s="676" t="s">
        <v>373</v>
      </c>
      <c r="B39" s="678"/>
      <c r="C39" s="677"/>
      <c r="D39" s="111">
        <f>SUM(D27:D30,D33,D38)</f>
        <v>1839.73</v>
      </c>
    </row>
    <row r="40" spans="1:4" ht="15.75">
      <c r="A40" s="679"/>
      <c r="B40" s="679"/>
      <c r="C40" s="679"/>
      <c r="D40" s="679"/>
    </row>
    <row r="41" spans="1:4" ht="15.75" hidden="1" outlineLevel="1">
      <c r="A41" s="89" t="s">
        <v>374</v>
      </c>
      <c r="B41" s="112" t="s">
        <v>375</v>
      </c>
      <c r="C41" s="113" t="s">
        <v>376</v>
      </c>
      <c r="D41" s="113" t="s">
        <v>352</v>
      </c>
    </row>
    <row r="42" spans="1:4" ht="15.75" hidden="1" outlineLevel="1">
      <c r="A42" s="114" t="s">
        <v>353</v>
      </c>
      <c r="B42" s="30" t="s">
        <v>377</v>
      </c>
      <c r="C42" s="90">
        <v>0</v>
      </c>
      <c r="D42" s="115">
        <f>(SUM(D27)/$C$27)*C42*1.5</f>
        <v>0</v>
      </c>
    </row>
    <row r="43" spans="1:4" ht="15.75" hidden="1" outlineLevel="1">
      <c r="A43" s="116" t="s">
        <v>325</v>
      </c>
      <c r="B43" s="117" t="s">
        <v>378</v>
      </c>
      <c r="C43" s="118">
        <v>0</v>
      </c>
      <c r="D43" s="107">
        <f>C43*177</f>
        <v>0</v>
      </c>
    </row>
    <row r="44" spans="1:4" ht="15.75" hidden="1" outlineLevel="1">
      <c r="A44" s="67" t="s">
        <v>328</v>
      </c>
      <c r="B44" s="58" t="s">
        <v>372</v>
      </c>
      <c r="C44" s="59">
        <v>0</v>
      </c>
      <c r="D44" s="110">
        <v>0</v>
      </c>
    </row>
    <row r="45" spans="1:4" ht="15.75" collapsed="1">
      <c r="A45" s="663" t="s">
        <v>379</v>
      </c>
      <c r="B45" s="664"/>
      <c r="C45" s="33">
        <f>D45/D39</f>
        <v>0</v>
      </c>
      <c r="D45" s="119">
        <f>SUM(D42:D43)</f>
        <v>0</v>
      </c>
    </row>
    <row r="46" spans="1:4" ht="15.75">
      <c r="A46" s="665"/>
      <c r="B46" s="666"/>
      <c r="C46" s="666"/>
      <c r="D46" s="667"/>
    </row>
    <row r="47" spans="1:4" ht="15.75">
      <c r="A47" s="668" t="s">
        <v>380</v>
      </c>
      <c r="B47" s="669"/>
      <c r="C47" s="669"/>
      <c r="D47" s="670"/>
    </row>
    <row r="48" spans="1:4" ht="15.75" hidden="1" outlineLevel="1">
      <c r="A48" s="665"/>
      <c r="B48" s="666"/>
      <c r="C48" s="666"/>
      <c r="D48" s="667"/>
    </row>
    <row r="49" spans="1:4" ht="15.75" hidden="1" outlineLevel="1">
      <c r="A49" s="113" t="s">
        <v>381</v>
      </c>
      <c r="B49" s="112" t="s">
        <v>382</v>
      </c>
      <c r="C49" s="113" t="s">
        <v>383</v>
      </c>
      <c r="D49" s="113" t="s">
        <v>352</v>
      </c>
    </row>
    <row r="50" spans="1:4" ht="15.75" hidden="1" outlineLevel="2">
      <c r="A50" s="116" t="s">
        <v>353</v>
      </c>
      <c r="B50" s="117" t="s">
        <v>384</v>
      </c>
      <c r="C50" s="32">
        <f>1/12</f>
        <v>8.3299999999999999E-2</v>
      </c>
      <c r="D50" s="107">
        <f>C50*D39</f>
        <v>153.25</v>
      </c>
    </row>
    <row r="51" spans="1:4" ht="15.75" hidden="1" outlineLevel="2">
      <c r="A51" s="116" t="s">
        <v>322</v>
      </c>
      <c r="B51" s="117" t="s">
        <v>385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>
      <c r="A52" s="663" t="s">
        <v>176</v>
      </c>
      <c r="B52" s="664"/>
      <c r="C52" s="33">
        <f>SUM(C50:C51)</f>
        <v>0.1</v>
      </c>
      <c r="D52" s="119">
        <f>SUM(D50:D51)</f>
        <v>183.97</v>
      </c>
    </row>
    <row r="53" spans="1:4" ht="15.75" hidden="1" outlineLevel="1">
      <c r="A53" s="665"/>
      <c r="B53" s="666"/>
      <c r="C53" s="666"/>
      <c r="D53" s="667"/>
    </row>
    <row r="54" spans="1:4" ht="15.75" hidden="1" outlineLevel="1">
      <c r="A54" s="113" t="s">
        <v>386</v>
      </c>
      <c r="B54" s="120" t="s">
        <v>387</v>
      </c>
      <c r="C54" s="113" t="s">
        <v>383</v>
      </c>
      <c r="D54" s="121" t="s">
        <v>352</v>
      </c>
    </row>
    <row r="55" spans="1:4" ht="15.75" hidden="1" outlineLevel="2">
      <c r="A55" s="114" t="s">
        <v>353</v>
      </c>
      <c r="B55" s="34" t="s">
        <v>388</v>
      </c>
      <c r="C55" s="35">
        <v>0.2</v>
      </c>
      <c r="D55" s="107">
        <f t="shared" ref="D55:D62" si="0">C55*($D$39+$D$52)</f>
        <v>404.74</v>
      </c>
    </row>
    <row r="56" spans="1:4" ht="15.75" hidden="1" outlineLevel="2">
      <c r="A56" s="114" t="s">
        <v>322</v>
      </c>
      <c r="B56" s="34" t="s">
        <v>389</v>
      </c>
      <c r="C56" s="35">
        <v>2.5000000000000001E-2</v>
      </c>
      <c r="D56" s="107">
        <f t="shared" si="0"/>
        <v>50.59</v>
      </c>
    </row>
    <row r="57" spans="1:4" ht="15.75" hidden="1" outlineLevel="2">
      <c r="A57" s="114" t="s">
        <v>325</v>
      </c>
      <c r="B57" s="34" t="s">
        <v>390</v>
      </c>
      <c r="C57" s="68">
        <v>0.03</v>
      </c>
      <c r="D57" s="107">
        <f t="shared" si="0"/>
        <v>60.71</v>
      </c>
    </row>
    <row r="58" spans="1:4" ht="15.75" hidden="1" outlineLevel="2">
      <c r="A58" s="114" t="s">
        <v>328</v>
      </c>
      <c r="B58" s="34" t="s">
        <v>391</v>
      </c>
      <c r="C58" s="35">
        <v>1.4999999999999999E-2</v>
      </c>
      <c r="D58" s="107">
        <f t="shared" si="0"/>
        <v>30.36</v>
      </c>
    </row>
    <row r="59" spans="1:4" ht="15.75" hidden="1" outlineLevel="2">
      <c r="A59" s="114" t="s">
        <v>331</v>
      </c>
      <c r="B59" s="34" t="s">
        <v>392</v>
      </c>
      <c r="C59" s="35">
        <v>0.01</v>
      </c>
      <c r="D59" s="107">
        <f t="shared" si="0"/>
        <v>20.239999999999998</v>
      </c>
    </row>
    <row r="60" spans="1:4" ht="15.75" hidden="1" outlineLevel="2">
      <c r="A60" s="114" t="s">
        <v>334</v>
      </c>
      <c r="B60" s="34" t="s">
        <v>393</v>
      </c>
      <c r="C60" s="35">
        <v>6.0000000000000001E-3</v>
      </c>
      <c r="D60" s="107">
        <f t="shared" si="0"/>
        <v>12.14</v>
      </c>
    </row>
    <row r="61" spans="1:4" ht="15.75" hidden="1" outlineLevel="2">
      <c r="A61" s="114" t="s">
        <v>394</v>
      </c>
      <c r="B61" s="34" t="s">
        <v>395</v>
      </c>
      <c r="C61" s="35">
        <v>2E-3</v>
      </c>
      <c r="D61" s="107">
        <f t="shared" si="0"/>
        <v>4.05</v>
      </c>
    </row>
    <row r="62" spans="1:4" ht="15.75" hidden="1" outlineLevel="2">
      <c r="A62" s="114" t="s">
        <v>336</v>
      </c>
      <c r="B62" s="34" t="s">
        <v>396</v>
      </c>
      <c r="C62" s="35">
        <v>0.08</v>
      </c>
      <c r="D62" s="107">
        <f t="shared" si="0"/>
        <v>161.9</v>
      </c>
    </row>
    <row r="63" spans="1:4" ht="15.75" hidden="1" outlineLevel="1">
      <c r="A63" s="663" t="s">
        <v>176</v>
      </c>
      <c r="B63" s="664"/>
      <c r="C63" s="36">
        <f>SUM(C55:C62)</f>
        <v>0.36799999999999999</v>
      </c>
      <c r="D63" s="122">
        <f>SUM(D55:D62)</f>
        <v>744.73</v>
      </c>
    </row>
    <row r="64" spans="1:4" ht="15.75" hidden="1" outlineLevel="1">
      <c r="A64" s="665"/>
      <c r="B64" s="666"/>
      <c r="C64" s="666"/>
      <c r="D64" s="667"/>
    </row>
    <row r="65" spans="1:4" ht="15.75" hidden="1" outlineLevel="1">
      <c r="A65" s="113" t="s">
        <v>397</v>
      </c>
      <c r="B65" s="120" t="s">
        <v>398</v>
      </c>
      <c r="C65" s="113" t="s">
        <v>399</v>
      </c>
      <c r="D65" s="113" t="s">
        <v>352</v>
      </c>
    </row>
    <row r="66" spans="1:4" ht="15.75" hidden="1" outlineLevel="2">
      <c r="A66" s="114" t="s">
        <v>353</v>
      </c>
      <c r="B66" s="34" t="s">
        <v>400</v>
      </c>
      <c r="C66" s="123">
        <v>3.75</v>
      </c>
      <c r="D66" s="124">
        <f>IF(D67+D68&gt;0,(D67+D68),0)</f>
        <v>78.650000000000006</v>
      </c>
    </row>
    <row r="67" spans="1:4" ht="15.75" hidden="1" outlineLevel="3">
      <c r="A67" s="125" t="s">
        <v>401</v>
      </c>
      <c r="B67" s="34" t="s">
        <v>402</v>
      </c>
      <c r="C67" s="126">
        <v>21</v>
      </c>
      <c r="D67" s="127">
        <f>C66*C67*2</f>
        <v>157.5</v>
      </c>
    </row>
    <row r="68" spans="1:4" ht="15.75" hidden="1" outlineLevel="3">
      <c r="A68" s="125" t="s">
        <v>403</v>
      </c>
      <c r="B68" s="34" t="s">
        <v>404</v>
      </c>
      <c r="C68" s="128">
        <v>0.06</v>
      </c>
      <c r="D68" s="127">
        <f>-D27*C68</f>
        <v>-78.849999999999994</v>
      </c>
    </row>
    <row r="69" spans="1:4" ht="15.75" hidden="1" outlineLevel="2">
      <c r="A69" s="114" t="s">
        <v>322</v>
      </c>
      <c r="B69" s="34" t="s">
        <v>405</v>
      </c>
      <c r="C69" s="129">
        <f>'SR - ASG'!C69</f>
        <v>20.18</v>
      </c>
      <c r="D69" s="124">
        <f>D70+D71</f>
        <v>343.26</v>
      </c>
    </row>
    <row r="70" spans="1:4" ht="15.75" hidden="1" outlineLevel="3">
      <c r="A70" s="125" t="s">
        <v>406</v>
      </c>
      <c r="B70" s="34" t="s">
        <v>407</v>
      </c>
      <c r="C70" s="126">
        <v>21</v>
      </c>
      <c r="D70" s="127">
        <f>C69*C70</f>
        <v>423.78</v>
      </c>
    </row>
    <row r="71" spans="1:4" ht="15.75" hidden="1" outlineLevel="3">
      <c r="A71" s="125" t="s">
        <v>408</v>
      </c>
      <c r="B71" s="34" t="s">
        <v>409</v>
      </c>
      <c r="C71" s="130">
        <v>-0.19</v>
      </c>
      <c r="D71" s="127">
        <f>D70*C71</f>
        <v>-80.52</v>
      </c>
    </row>
    <row r="72" spans="1:4" ht="15.75" hidden="1" outlineLevel="2">
      <c r="A72" s="114" t="s">
        <v>325</v>
      </c>
      <c r="B72" s="77" t="s">
        <v>410</v>
      </c>
      <c r="C72" s="129">
        <v>17.32</v>
      </c>
      <c r="D72" s="132">
        <f>C72</f>
        <v>17.32</v>
      </c>
    </row>
    <row r="73" spans="1:4" ht="15.75" hidden="1" outlineLevel="2">
      <c r="A73" s="114" t="s">
        <v>328</v>
      </c>
      <c r="B73" s="78" t="s">
        <v>411</v>
      </c>
      <c r="C73" s="129">
        <f>140*3</f>
        <v>420</v>
      </c>
      <c r="D73" s="132">
        <f>C73*C152</f>
        <v>0.84</v>
      </c>
    </row>
    <row r="74" spans="1:4" ht="15.75" hidden="1" outlineLevel="2">
      <c r="A74" s="114" t="s">
        <v>331</v>
      </c>
      <c r="B74" s="77" t="s">
        <v>412</v>
      </c>
      <c r="C74" s="129">
        <v>21</v>
      </c>
      <c r="D74" s="132">
        <f>C74</f>
        <v>21</v>
      </c>
    </row>
    <row r="75" spans="1:4" ht="15.75" hidden="1" outlineLevel="2">
      <c r="A75" s="114" t="s">
        <v>334</v>
      </c>
      <c r="B75" s="77" t="s">
        <v>372</v>
      </c>
      <c r="C75" s="131">
        <v>0</v>
      </c>
      <c r="D75" s="132">
        <f>C75*D39</f>
        <v>0</v>
      </c>
    </row>
    <row r="76" spans="1:4" ht="15.75" hidden="1" outlineLevel="2">
      <c r="A76" s="114" t="s">
        <v>394</v>
      </c>
      <c r="B76" s="77" t="s">
        <v>372</v>
      </c>
      <c r="C76" s="129">
        <v>0</v>
      </c>
      <c r="D76" s="133">
        <f>C76</f>
        <v>0</v>
      </c>
    </row>
    <row r="77" spans="1:4" ht="15.75" hidden="1" outlineLevel="1">
      <c r="A77" s="663" t="s">
        <v>413</v>
      </c>
      <c r="B77" s="700"/>
      <c r="C77" s="664"/>
      <c r="D77" s="119">
        <f>SUM(D66,D69,D72:D76)</f>
        <v>461.07</v>
      </c>
    </row>
    <row r="78" spans="1:4" ht="15.75" hidden="1" outlineLevel="1">
      <c r="A78" s="665"/>
      <c r="B78" s="666"/>
      <c r="C78" s="666"/>
      <c r="D78" s="667"/>
    </row>
    <row r="79" spans="1:4" ht="15.75" hidden="1" outlineLevel="1">
      <c r="A79" s="701" t="s">
        <v>414</v>
      </c>
      <c r="B79" s="702"/>
      <c r="C79" s="113" t="s">
        <v>383</v>
      </c>
      <c r="D79" s="113" t="s">
        <v>352</v>
      </c>
    </row>
    <row r="80" spans="1:4" ht="15.75" hidden="1" outlineLevel="1">
      <c r="A80" s="114" t="s">
        <v>415</v>
      </c>
      <c r="B80" s="34" t="s">
        <v>382</v>
      </c>
      <c r="C80" s="37">
        <f>C52</f>
        <v>0.1</v>
      </c>
      <c r="D80" s="107">
        <f>D52</f>
        <v>183.97</v>
      </c>
    </row>
    <row r="81" spans="1:4" ht="15.75" hidden="1" outlineLevel="1">
      <c r="A81" s="114" t="s">
        <v>386</v>
      </c>
      <c r="B81" s="34" t="s">
        <v>387</v>
      </c>
      <c r="C81" s="37">
        <f>C63</f>
        <v>0.36799999999999999</v>
      </c>
      <c r="D81" s="107">
        <f>D63</f>
        <v>744.73</v>
      </c>
    </row>
    <row r="82" spans="1:4" ht="15.75" hidden="1" outlineLevel="1">
      <c r="A82" s="114" t="s">
        <v>416</v>
      </c>
      <c r="B82" s="34" t="s">
        <v>398</v>
      </c>
      <c r="C82" s="37">
        <f>D77/D39</f>
        <v>0.25059999999999999</v>
      </c>
      <c r="D82" s="107">
        <f>D77</f>
        <v>461.07</v>
      </c>
    </row>
    <row r="83" spans="1:4" ht="15.75" collapsed="1">
      <c r="A83" s="663" t="s">
        <v>176</v>
      </c>
      <c r="B83" s="700"/>
      <c r="C83" s="664"/>
      <c r="D83" s="119">
        <f>SUM(D80:D82)</f>
        <v>1389.77</v>
      </c>
    </row>
    <row r="84" spans="1:4" ht="15.75">
      <c r="A84" s="665"/>
      <c r="B84" s="666"/>
      <c r="C84" s="666"/>
      <c r="D84" s="667"/>
    </row>
    <row r="85" spans="1:4" ht="15.75">
      <c r="A85" s="694" t="s">
        <v>417</v>
      </c>
      <c r="B85" s="695"/>
      <c r="C85" s="695"/>
      <c r="D85" s="696"/>
    </row>
    <row r="86" spans="1:4" ht="15.75" hidden="1" outlineLevel="1">
      <c r="A86" s="665"/>
      <c r="B86" s="666"/>
      <c r="C86" s="666"/>
      <c r="D86" s="667"/>
    </row>
    <row r="87" spans="1:4" ht="15.75" hidden="1" outlineLevel="1">
      <c r="A87" s="66" t="s">
        <v>418</v>
      </c>
      <c r="B87" s="112" t="s">
        <v>419</v>
      </c>
      <c r="C87" s="113" t="s">
        <v>383</v>
      </c>
      <c r="D87" s="113" t="s">
        <v>352</v>
      </c>
    </row>
    <row r="88" spans="1:4" ht="15.75" hidden="1" outlineLevel="2">
      <c r="A88" s="38" t="s">
        <v>353</v>
      </c>
      <c r="B88" s="39" t="s">
        <v>420</v>
      </c>
      <c r="C88" s="38" t="s">
        <v>363</v>
      </c>
      <c r="D88" s="134">
        <f>IF(C99&gt;1,SUM(D89:D92)*2,SUM(D89:D92))</f>
        <v>2592.48</v>
      </c>
    </row>
    <row r="89" spans="1:4" ht="15.75" hidden="1" outlineLevel="3">
      <c r="A89" s="40" t="s">
        <v>421</v>
      </c>
      <c r="B89" s="41" t="s">
        <v>422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>
      <c r="A90" s="40" t="s">
        <v>423</v>
      </c>
      <c r="B90" s="41" t="s">
        <v>424</v>
      </c>
      <c r="C90" s="32">
        <f>1/12</f>
        <v>8.3299999999999999E-2</v>
      </c>
      <c r="D90" s="134">
        <f>C90*D89</f>
        <v>168.57</v>
      </c>
    </row>
    <row r="91" spans="1:4" ht="15.75" hidden="1" outlineLevel="3">
      <c r="A91" s="40" t="s">
        <v>425</v>
      </c>
      <c r="B91" s="41" t="s">
        <v>426</v>
      </c>
      <c r="C91" s="32">
        <f>(1/12)+(1/12/3)</f>
        <v>0.1111</v>
      </c>
      <c r="D91" s="135">
        <f>C91*D89</f>
        <v>224.83</v>
      </c>
    </row>
    <row r="92" spans="1:4" ht="15.75" hidden="1" outlineLevel="3">
      <c r="A92" s="40" t="s">
        <v>427</v>
      </c>
      <c r="B92" s="41" t="s">
        <v>428</v>
      </c>
      <c r="C92" s="42">
        <v>0.08</v>
      </c>
      <c r="D92" s="134">
        <f>SUM(D89:D90)*C92</f>
        <v>175.38</v>
      </c>
    </row>
    <row r="93" spans="1:4" ht="15.75" hidden="1" outlineLevel="2">
      <c r="A93" s="38" t="s">
        <v>322</v>
      </c>
      <c r="B93" s="39" t="s">
        <v>429</v>
      </c>
      <c r="C93" s="43">
        <v>0.4</v>
      </c>
      <c r="D93" s="134">
        <f>C93*D94</f>
        <v>1297.1300000000001</v>
      </c>
    </row>
    <row r="94" spans="1:4" ht="15.75" hidden="1" outlineLevel="3">
      <c r="A94" s="38" t="s">
        <v>430</v>
      </c>
      <c r="B94" s="39" t="s">
        <v>431</v>
      </c>
      <c r="C94" s="43">
        <f>C62</f>
        <v>0.08</v>
      </c>
      <c r="D94" s="134">
        <f>C94*D95</f>
        <v>3242.83</v>
      </c>
    </row>
    <row r="95" spans="1:4" ht="15.75" hidden="1" outlineLevel="3">
      <c r="A95" s="38" t="s">
        <v>432</v>
      </c>
      <c r="B95" s="44" t="s">
        <v>433</v>
      </c>
      <c r="C95" s="45" t="s">
        <v>363</v>
      </c>
      <c r="D95" s="135">
        <f>SUM(D96:D98)</f>
        <v>40535.379999999997</v>
      </c>
    </row>
    <row r="96" spans="1:4" ht="15.75" hidden="1" outlineLevel="3">
      <c r="A96" s="40" t="s">
        <v>434</v>
      </c>
      <c r="B96" s="41" t="s">
        <v>435</v>
      </c>
      <c r="C96" s="46">
        <f>C12-C98</f>
        <v>19</v>
      </c>
      <c r="D96" s="134">
        <f>D39*C96</f>
        <v>34954.870000000003</v>
      </c>
    </row>
    <row r="97" spans="1:4" ht="15.75" hidden="1" outlineLevel="3">
      <c r="A97" s="40" t="s">
        <v>436</v>
      </c>
      <c r="B97" s="41" t="s">
        <v>437</v>
      </c>
      <c r="C97" s="47">
        <f>C12/12</f>
        <v>1.7</v>
      </c>
      <c r="D97" s="134">
        <f>D39*C97</f>
        <v>3127.54</v>
      </c>
    </row>
    <row r="98" spans="1:4" ht="15.75" hidden="1" outlineLevel="3">
      <c r="A98" s="40" t="s">
        <v>438</v>
      </c>
      <c r="B98" s="41" t="s">
        <v>439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>
      <c r="A99" s="663" t="s">
        <v>176</v>
      </c>
      <c r="B99" s="664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>
      <c r="A100" s="697"/>
      <c r="B100" s="698"/>
      <c r="C100" s="698"/>
      <c r="D100" s="699"/>
    </row>
    <row r="101" spans="1:4" ht="15.75" hidden="1" outlineLevel="1">
      <c r="A101" s="66" t="s">
        <v>440</v>
      </c>
      <c r="B101" s="112" t="s">
        <v>441</v>
      </c>
      <c r="C101" s="113" t="s">
        <v>383</v>
      </c>
      <c r="D101" s="113" t="s">
        <v>352</v>
      </c>
    </row>
    <row r="102" spans="1:4" ht="15.75" hidden="1" outlineLevel="2">
      <c r="A102" s="38" t="s">
        <v>353</v>
      </c>
      <c r="B102" s="44" t="s">
        <v>442</v>
      </c>
      <c r="C102" s="48">
        <f>IF(C111&gt;1,(1/30*7)*2,(1/30*7))</f>
        <v>0.23330000000000001</v>
      </c>
      <c r="D102" s="135">
        <f>C102*SUM(D103:D107)</f>
        <v>791.32</v>
      </c>
    </row>
    <row r="103" spans="1:4" ht="15.75" hidden="1" outlineLevel="3">
      <c r="A103" s="40" t="s">
        <v>421</v>
      </c>
      <c r="B103" s="41" t="s">
        <v>443</v>
      </c>
      <c r="C103" s="38">
        <v>1</v>
      </c>
      <c r="D103" s="134">
        <f>D39</f>
        <v>1839.73</v>
      </c>
    </row>
    <row r="104" spans="1:4" ht="15.75" hidden="1" outlineLevel="3">
      <c r="A104" s="40" t="s">
        <v>423</v>
      </c>
      <c r="B104" s="41" t="s">
        <v>444</v>
      </c>
      <c r="C104" s="32">
        <f>1/12</f>
        <v>8.3299999999999999E-2</v>
      </c>
      <c r="D104" s="134">
        <f>C104*D103</f>
        <v>153.25</v>
      </c>
    </row>
    <row r="105" spans="1:4" ht="15.75" hidden="1" outlineLevel="3">
      <c r="A105" s="40" t="s">
        <v>425</v>
      </c>
      <c r="B105" s="41" t="s">
        <v>445</v>
      </c>
      <c r="C105" s="32">
        <f>(1/12)+(1/12/3)</f>
        <v>0.1111</v>
      </c>
      <c r="D105" s="134">
        <f>C105*D103</f>
        <v>204.39</v>
      </c>
    </row>
    <row r="106" spans="1:4" ht="15.75" hidden="1" outlineLevel="3">
      <c r="A106" s="40" t="s">
        <v>427</v>
      </c>
      <c r="B106" s="49" t="s">
        <v>446</v>
      </c>
      <c r="C106" s="50">
        <f>C63</f>
        <v>0.36799999999999999</v>
      </c>
      <c r="D106" s="135">
        <f>C106*(D103+D104)</f>
        <v>733.42</v>
      </c>
    </row>
    <row r="107" spans="1:4" ht="15.75" hidden="1" outlineLevel="3">
      <c r="A107" s="40" t="s">
        <v>447</v>
      </c>
      <c r="B107" s="49" t="s">
        <v>448</v>
      </c>
      <c r="C107" s="45">
        <v>1</v>
      </c>
      <c r="D107" s="135">
        <f>D77</f>
        <v>461.07</v>
      </c>
    </row>
    <row r="108" spans="1:4" ht="15.75" hidden="1" outlineLevel="2">
      <c r="A108" s="38" t="s">
        <v>322</v>
      </c>
      <c r="B108" s="39" t="s">
        <v>449</v>
      </c>
      <c r="C108" s="43">
        <v>0.4</v>
      </c>
      <c r="D108" s="134">
        <f>C108*D109</f>
        <v>1297.1300000000001</v>
      </c>
    </row>
    <row r="109" spans="1:4" ht="15.75" hidden="1" outlineLevel="2">
      <c r="A109" s="38" t="s">
        <v>430</v>
      </c>
      <c r="B109" s="39" t="s">
        <v>431</v>
      </c>
      <c r="C109" s="43">
        <f>C62</f>
        <v>0.08</v>
      </c>
      <c r="D109" s="134">
        <f>C109*D110</f>
        <v>3242.83</v>
      </c>
    </row>
    <row r="110" spans="1:4" ht="15.75" hidden="1" outlineLevel="2">
      <c r="A110" s="38" t="s">
        <v>432</v>
      </c>
      <c r="B110" s="44" t="s">
        <v>433</v>
      </c>
      <c r="C110" s="45" t="s">
        <v>363</v>
      </c>
      <c r="D110" s="135">
        <f>D95</f>
        <v>40535.379999999997</v>
      </c>
    </row>
    <row r="111" spans="1:4" ht="15.75" hidden="1" outlineLevel="1">
      <c r="A111" s="663" t="s">
        <v>176</v>
      </c>
      <c r="B111" s="664"/>
      <c r="C111" s="69">
        <f>'SR - ASG'!C111</f>
        <v>0.94450000000000001</v>
      </c>
      <c r="D111" s="119">
        <f>IF(C111&gt;1,D102+D108,(D102+D108)*C111)</f>
        <v>1972.54</v>
      </c>
    </row>
    <row r="112" spans="1:4" ht="15.75" hidden="1" outlineLevel="1">
      <c r="A112" s="697"/>
      <c r="B112" s="698"/>
      <c r="C112" s="698"/>
      <c r="D112" s="699"/>
    </row>
    <row r="113" spans="1:4" ht="15.75" hidden="1" outlineLevel="1">
      <c r="A113" s="66" t="s">
        <v>450</v>
      </c>
      <c r="B113" s="112" t="s">
        <v>451</v>
      </c>
      <c r="C113" s="113" t="s">
        <v>383</v>
      </c>
      <c r="D113" s="113" t="s">
        <v>352</v>
      </c>
    </row>
    <row r="114" spans="1:4" ht="15.75" hidden="1" outlineLevel="2">
      <c r="A114" s="114" t="s">
        <v>353</v>
      </c>
      <c r="B114" s="34" t="s">
        <v>452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>
      <c r="A115" s="114" t="s">
        <v>322</v>
      </c>
      <c r="B115" s="51" t="s">
        <v>453</v>
      </c>
      <c r="C115" s="37">
        <f>C114/3</f>
        <v>1.11E-2</v>
      </c>
      <c r="D115" s="137">
        <f>C115*D39</f>
        <v>20.420000000000002</v>
      </c>
    </row>
    <row r="116" spans="1:4" ht="15.75" hidden="1" outlineLevel="1">
      <c r="A116" s="663" t="s">
        <v>176</v>
      </c>
      <c r="B116" s="664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>
      <c r="A117" s="697"/>
      <c r="B117" s="698"/>
      <c r="C117" s="698"/>
      <c r="D117" s="699"/>
    </row>
    <row r="118" spans="1:4" ht="15.75" hidden="1" outlineLevel="1">
      <c r="A118" s="701" t="s">
        <v>454</v>
      </c>
      <c r="B118" s="702"/>
      <c r="C118" s="113" t="s">
        <v>383</v>
      </c>
      <c r="D118" s="113" t="s">
        <v>352</v>
      </c>
    </row>
    <row r="119" spans="1:4" ht="15.75" hidden="1" outlineLevel="1">
      <c r="A119" s="114" t="s">
        <v>418</v>
      </c>
      <c r="B119" s="34" t="s">
        <v>419</v>
      </c>
      <c r="C119" s="37">
        <f>C99</f>
        <v>5.5500000000000001E-2</v>
      </c>
      <c r="D119" s="107">
        <f>D99</f>
        <v>215.87</v>
      </c>
    </row>
    <row r="120" spans="1:4" ht="15.75" hidden="1" outlineLevel="1">
      <c r="A120" s="116" t="s">
        <v>440</v>
      </c>
      <c r="B120" s="34" t="s">
        <v>441</v>
      </c>
      <c r="C120" s="52">
        <f>C111</f>
        <v>0.94450000000000001</v>
      </c>
      <c r="D120" s="107">
        <f>D111</f>
        <v>1972.54</v>
      </c>
    </row>
    <row r="121" spans="1:4" ht="15.75" hidden="1" outlineLevel="1">
      <c r="A121" s="707" t="s">
        <v>455</v>
      </c>
      <c r="B121" s="707"/>
      <c r="C121" s="707"/>
      <c r="D121" s="138">
        <f>D119+D120</f>
        <v>2188.41</v>
      </c>
    </row>
    <row r="122" spans="1:4" ht="15.75" hidden="1" outlineLevel="1">
      <c r="A122" s="703" t="s">
        <v>456</v>
      </c>
      <c r="B122" s="704"/>
      <c r="C122" s="70">
        <f>'SR - ASG'!C122</f>
        <v>0.63570000000000004</v>
      </c>
      <c r="D122" s="61">
        <f>C122*D121</f>
        <v>1391.17</v>
      </c>
    </row>
    <row r="123" spans="1:4" ht="15.75" hidden="1" outlineLevel="1">
      <c r="A123" s="703" t="s">
        <v>457</v>
      </c>
      <c r="B123" s="70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>
      <c r="A124" s="705" t="s">
        <v>458</v>
      </c>
      <c r="B124" s="706"/>
      <c r="C124" s="74">
        <f>1/C12</f>
        <v>0.05</v>
      </c>
      <c r="D124" s="62">
        <f>(D122+D123)*C124</f>
        <v>69.45</v>
      </c>
    </row>
    <row r="125" spans="1:4" ht="15.75" hidden="1" outlineLevel="1">
      <c r="A125" s="116" t="s">
        <v>450</v>
      </c>
      <c r="B125" s="34" t="s">
        <v>459</v>
      </c>
      <c r="C125" s="52"/>
      <c r="D125" s="127">
        <f>D116</f>
        <v>81.680000000000007</v>
      </c>
    </row>
    <row r="126" spans="1:4" ht="15.75" collapsed="1">
      <c r="A126" s="663" t="s">
        <v>176</v>
      </c>
      <c r="B126" s="664"/>
      <c r="C126" s="33"/>
      <c r="D126" s="139">
        <f>D124+D125</f>
        <v>151.13</v>
      </c>
    </row>
    <row r="127" spans="1:4" ht="15.75">
      <c r="A127" s="665"/>
      <c r="B127" s="666"/>
      <c r="C127" s="666"/>
      <c r="D127" s="667"/>
    </row>
    <row r="128" spans="1:4" ht="15.75">
      <c r="A128" s="668" t="s">
        <v>460</v>
      </c>
      <c r="B128" s="669"/>
      <c r="C128" s="669"/>
      <c r="D128" s="670"/>
    </row>
    <row r="129" spans="1:4" ht="15.75" hidden="1" outlineLevel="1">
      <c r="A129" s="697"/>
      <c r="B129" s="698"/>
      <c r="C129" s="698"/>
      <c r="D129" s="699"/>
    </row>
    <row r="130" spans="1:4" ht="15.75" hidden="1" outlineLevel="1">
      <c r="A130" s="113" t="s">
        <v>461</v>
      </c>
      <c r="B130" s="120" t="s">
        <v>462</v>
      </c>
      <c r="C130" s="33" t="s">
        <v>383</v>
      </c>
      <c r="D130" s="113" t="s">
        <v>352</v>
      </c>
    </row>
    <row r="131" spans="1:4" ht="15.75" hidden="1" outlineLevel="2">
      <c r="A131" s="140" t="s">
        <v>353</v>
      </c>
      <c r="B131" s="91" t="s">
        <v>463</v>
      </c>
      <c r="C131" s="53">
        <f>IF(C12&gt;60,5/C12,IF(C12&gt;48,4/C12,IF(C12&gt;36,3/C12,IF(C12&gt;24,2/C12,IF(C12&gt;12,1/C12,0)))))</f>
        <v>0.05</v>
      </c>
      <c r="D131" s="136">
        <f>SUM(D132:D136)</f>
        <v>118.84</v>
      </c>
    </row>
    <row r="132" spans="1:4" ht="15.75" hidden="1" outlineLevel="3">
      <c r="A132" s="141" t="s">
        <v>464</v>
      </c>
      <c r="B132" s="92" t="s">
        <v>465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>
      <c r="A133" s="141" t="s">
        <v>466</v>
      </c>
      <c r="B133" s="92" t="s">
        <v>467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>
      <c r="A134" s="141" t="s">
        <v>468</v>
      </c>
      <c r="B134" s="92" t="s">
        <v>469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>
      <c r="A135" s="141" t="s">
        <v>470</v>
      </c>
      <c r="B135" s="92" t="s">
        <v>471</v>
      </c>
      <c r="C135" s="93">
        <f>C63</f>
        <v>0.36799999999999999</v>
      </c>
      <c r="D135" s="143">
        <f>SUM(D132:D134)*C131</f>
        <v>5.49</v>
      </c>
    </row>
    <row r="136" spans="1:4" ht="15.75" hidden="1" outlineLevel="3">
      <c r="A136" s="141" t="s">
        <v>472</v>
      </c>
      <c r="B136" s="92" t="s">
        <v>473</v>
      </c>
      <c r="C136" s="144">
        <f>D124</f>
        <v>69.45</v>
      </c>
      <c r="D136" s="143">
        <f>C136*C131</f>
        <v>3.47</v>
      </c>
    </row>
    <row r="137" spans="1:4" ht="15.75" hidden="1" outlineLevel="2">
      <c r="A137" s="114" t="s">
        <v>322</v>
      </c>
      <c r="B137" s="34" t="s">
        <v>474</v>
      </c>
      <c r="C137" s="94">
        <v>0</v>
      </c>
      <c r="D137" s="127">
        <f>$C$131*(D39)*(C137/3)</f>
        <v>0</v>
      </c>
    </row>
    <row r="138" spans="1:4" ht="15.75" hidden="1" outlineLevel="1">
      <c r="A138" s="663" t="s">
        <v>475</v>
      </c>
      <c r="B138" s="664"/>
      <c r="C138" s="33">
        <f>C131+(D137/D39)</f>
        <v>0.05</v>
      </c>
      <c r="D138" s="119">
        <f>SUM(D131:D137)</f>
        <v>237.68</v>
      </c>
    </row>
    <row r="139" spans="1:4" ht="15.75" hidden="1" outlineLevel="1">
      <c r="A139" s="697"/>
      <c r="B139" s="698"/>
      <c r="C139" s="698"/>
      <c r="D139" s="699"/>
    </row>
    <row r="140" spans="1:4" ht="15.75" hidden="1" outlineLevel="2">
      <c r="A140" s="710" t="s">
        <v>476</v>
      </c>
      <c r="B140" s="145" t="s">
        <v>435</v>
      </c>
      <c r="C140" s="95">
        <v>220</v>
      </c>
      <c r="D140" s="146">
        <f>D39</f>
        <v>1839.73</v>
      </c>
    </row>
    <row r="141" spans="1:4" ht="15.75" hidden="1" outlineLevel="2">
      <c r="A141" s="711"/>
      <c r="B141" s="145" t="s">
        <v>477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>
      <c r="A142" s="711"/>
      <c r="B142" s="145" t="s">
        <v>478</v>
      </c>
      <c r="C142" s="53">
        <f>C63</f>
        <v>0.36799999999999999</v>
      </c>
      <c r="D142" s="147">
        <f>(D140+D141)*C142</f>
        <v>808.63</v>
      </c>
    </row>
    <row r="143" spans="1:4" ht="15.75" hidden="1" outlineLevel="2">
      <c r="A143" s="711"/>
      <c r="B143" s="145" t="s">
        <v>479</v>
      </c>
      <c r="C143" s="53">
        <f>D143/D140</f>
        <v>0.25059999999999999</v>
      </c>
      <c r="D143" s="147">
        <f>D77</f>
        <v>461.07</v>
      </c>
    </row>
    <row r="144" spans="1:4" ht="15.75" hidden="1" outlineLevel="2">
      <c r="A144" s="712"/>
      <c r="B144" s="148" t="s">
        <v>480</v>
      </c>
      <c r="C144" s="53">
        <f>D144/D140</f>
        <v>3.78E-2</v>
      </c>
      <c r="D144" s="147">
        <f>D124</f>
        <v>69.45</v>
      </c>
    </row>
    <row r="145" spans="1:4" ht="15.75" hidden="1" outlineLevel="2">
      <c r="A145" s="713" t="s">
        <v>481</v>
      </c>
      <c r="B145" s="714"/>
      <c r="C145" s="96">
        <f>D145/D140</f>
        <v>1.9222999999999999</v>
      </c>
      <c r="D145" s="149">
        <f>SUM(D140:D144)</f>
        <v>3536.52</v>
      </c>
    </row>
    <row r="146" spans="1:4" ht="15.75" hidden="1" outlineLevel="2">
      <c r="A146" s="715"/>
      <c r="B146" s="715"/>
      <c r="C146" s="715"/>
      <c r="D146" s="716"/>
    </row>
    <row r="147" spans="1:4" ht="15.75" hidden="1" outlineLevel="1">
      <c r="A147" s="113" t="s">
        <v>482</v>
      </c>
      <c r="B147" s="120" t="s">
        <v>483</v>
      </c>
      <c r="C147" s="33" t="s">
        <v>383</v>
      </c>
      <c r="D147" s="113" t="s">
        <v>352</v>
      </c>
    </row>
    <row r="148" spans="1:4" ht="15.75" hidden="1" outlineLevel="2">
      <c r="A148" s="114" t="s">
        <v>322</v>
      </c>
      <c r="B148" s="34" t="s">
        <v>484</v>
      </c>
      <c r="C148" s="79">
        <f>5/252</f>
        <v>1.9800000000000002E-2</v>
      </c>
      <c r="D148" s="136">
        <f>C148*$D$145</f>
        <v>70.02</v>
      </c>
    </row>
    <row r="149" spans="1:4" ht="15.75" hidden="1" outlineLevel="2">
      <c r="A149" s="114" t="s">
        <v>325</v>
      </c>
      <c r="B149" s="34" t="s">
        <v>485</v>
      </c>
      <c r="C149" s="79">
        <f>1.383/252</f>
        <v>5.4999999999999997E-3</v>
      </c>
      <c r="D149" s="136">
        <f>C149*$D$145</f>
        <v>19.45</v>
      </c>
    </row>
    <row r="150" spans="1:4" ht="15.75" hidden="1" outlineLevel="2">
      <c r="A150" s="114" t="s">
        <v>328</v>
      </c>
      <c r="B150" s="34" t="s">
        <v>486</v>
      </c>
      <c r="C150" s="79">
        <f>1.3892/252</f>
        <v>5.4999999999999997E-3</v>
      </c>
      <c r="D150" s="136">
        <f t="shared" ref="D150:D153" si="1">C150*$D$145</f>
        <v>19.45</v>
      </c>
    </row>
    <row r="151" spans="1:4" ht="15.75" hidden="1" outlineLevel="2">
      <c r="A151" s="114" t="s">
        <v>331</v>
      </c>
      <c r="B151" s="34" t="s">
        <v>487</v>
      </c>
      <c r="C151" s="79">
        <f>0.65/252</f>
        <v>2.5999999999999999E-3</v>
      </c>
      <c r="D151" s="136">
        <f t="shared" si="1"/>
        <v>9.19</v>
      </c>
    </row>
    <row r="152" spans="1:4" ht="15.75" hidden="1" outlineLevel="2">
      <c r="A152" s="114" t="s">
        <v>334</v>
      </c>
      <c r="B152" s="34" t="s">
        <v>488</v>
      </c>
      <c r="C152" s="79">
        <f>0.5052/252</f>
        <v>2E-3</v>
      </c>
      <c r="D152" s="136">
        <f t="shared" si="1"/>
        <v>7.07</v>
      </c>
    </row>
    <row r="153" spans="1:4" ht="15.75" hidden="1" outlineLevel="2">
      <c r="A153" s="114" t="s">
        <v>353</v>
      </c>
      <c r="B153" s="63" t="s">
        <v>489</v>
      </c>
      <c r="C153" s="71">
        <f>0.2/252</f>
        <v>8.0000000000000004E-4</v>
      </c>
      <c r="D153" s="136">
        <f t="shared" si="1"/>
        <v>2.83</v>
      </c>
    </row>
    <row r="154" spans="1:4" ht="15.75" hidden="1" outlineLevel="1">
      <c r="A154" s="663" t="s">
        <v>475</v>
      </c>
      <c r="B154" s="664"/>
      <c r="C154" s="33">
        <f>SUM(C148:C153)</f>
        <v>3.6200000000000003E-2</v>
      </c>
      <c r="D154" s="119">
        <f>SUM(D148:D153)</f>
        <v>128.01</v>
      </c>
    </row>
    <row r="155" spans="1:4" ht="15.75" hidden="1" outlineLevel="1">
      <c r="A155" s="697"/>
      <c r="B155" s="698"/>
      <c r="C155" s="698"/>
      <c r="D155" s="699"/>
    </row>
    <row r="156" spans="1:4" ht="15.75" hidden="1" outlineLevel="1">
      <c r="A156" s="701" t="s">
        <v>490</v>
      </c>
      <c r="B156" s="708"/>
      <c r="C156" s="33" t="s">
        <v>491</v>
      </c>
      <c r="D156" s="113" t="s">
        <v>352</v>
      </c>
    </row>
    <row r="157" spans="1:4" ht="15.75" hidden="1" outlineLevel="2">
      <c r="A157" s="709" t="s">
        <v>492</v>
      </c>
      <c r="B157" s="145" t="s">
        <v>493</v>
      </c>
      <c r="C157" s="97">
        <f>C153</f>
        <v>8.0000000000000004E-4</v>
      </c>
      <c r="D157" s="150">
        <f>C157*-D140</f>
        <v>-1.47</v>
      </c>
    </row>
    <row r="158" spans="1:4" ht="15.75" hidden="1" outlineLevel="2">
      <c r="A158" s="709"/>
      <c r="B158" s="151" t="s">
        <v>494</v>
      </c>
      <c r="C158" s="98">
        <v>0</v>
      </c>
      <c r="D158" s="152">
        <f>C158*-(D140/220/24*5)</f>
        <v>0</v>
      </c>
    </row>
    <row r="159" spans="1:4" ht="15.75" hidden="1" outlineLevel="2">
      <c r="A159" s="709"/>
      <c r="B159" s="151" t="s">
        <v>495</v>
      </c>
      <c r="C159" s="98">
        <v>0</v>
      </c>
      <c r="D159" s="152">
        <f>C159*-D141</f>
        <v>0</v>
      </c>
    </row>
    <row r="160" spans="1:4" ht="15.75" hidden="1" outlineLevel="2">
      <c r="A160" s="709"/>
      <c r="B160" s="145" t="s">
        <v>496</v>
      </c>
      <c r="C160" s="97">
        <f>C154</f>
        <v>3.6200000000000003E-2</v>
      </c>
      <c r="D160" s="150">
        <f>C160*-D66</f>
        <v>-2.85</v>
      </c>
    </row>
    <row r="161" spans="1:4" ht="15.75" hidden="1" outlineLevel="2">
      <c r="A161" s="709"/>
      <c r="B161" s="145" t="s">
        <v>497</v>
      </c>
      <c r="C161" s="97">
        <f>C154</f>
        <v>3.6200000000000003E-2</v>
      </c>
      <c r="D161" s="150">
        <f>C161*-D69</f>
        <v>-12.43</v>
      </c>
    </row>
    <row r="162" spans="1:4" ht="15.75" hidden="1" outlineLevel="2">
      <c r="A162" s="709"/>
      <c r="B162" s="148" t="s">
        <v>498</v>
      </c>
      <c r="C162" s="97">
        <f>C153</f>
        <v>8.0000000000000004E-4</v>
      </c>
      <c r="D162" s="150">
        <f>C162*-D74</f>
        <v>-0.02</v>
      </c>
    </row>
    <row r="163" spans="1:4" ht="15.75" hidden="1" outlineLevel="2">
      <c r="A163" s="709"/>
      <c r="B163" s="148" t="s">
        <v>499</v>
      </c>
      <c r="C163" s="99">
        <f>C152</f>
        <v>2E-3</v>
      </c>
      <c r="D163" s="136">
        <f>C163*-SUM(D55:D61)</f>
        <v>-1.17</v>
      </c>
    </row>
    <row r="164" spans="1:4" ht="15.75" hidden="1" outlineLevel="2">
      <c r="A164" s="709"/>
      <c r="B164" s="145" t="s">
        <v>500</v>
      </c>
      <c r="C164" s="97">
        <f>C153</f>
        <v>8.0000000000000004E-4</v>
      </c>
      <c r="D164" s="150">
        <f>C164*-D142</f>
        <v>-0.65</v>
      </c>
    </row>
    <row r="165" spans="1:4" ht="15.75" hidden="1" outlineLevel="1">
      <c r="A165" s="663" t="s">
        <v>501</v>
      </c>
      <c r="B165" s="664"/>
      <c r="C165" s="33">
        <f>D165/D140</f>
        <v>-1.01E-2</v>
      </c>
      <c r="D165" s="119">
        <f>SUM(D157:D164)</f>
        <v>-18.59</v>
      </c>
    </row>
    <row r="166" spans="1:4" ht="15.75" hidden="1" outlineLevel="1">
      <c r="A166" s="697"/>
      <c r="B166" s="698"/>
      <c r="C166" s="698"/>
      <c r="D166" s="699"/>
    </row>
    <row r="167" spans="1:4" ht="15.75" hidden="1" outlineLevel="1">
      <c r="A167" s="663" t="s">
        <v>502</v>
      </c>
      <c r="B167" s="664"/>
      <c r="C167" s="33">
        <f>D167/D140</f>
        <v>5.9499999999999997E-2</v>
      </c>
      <c r="D167" s="119">
        <f>D154+D165</f>
        <v>109.42</v>
      </c>
    </row>
    <row r="168" spans="1:4" ht="15.75" hidden="1" outlineLevel="1">
      <c r="A168" s="697"/>
      <c r="B168" s="698"/>
      <c r="C168" s="698"/>
      <c r="D168" s="699"/>
    </row>
    <row r="169" spans="1:4" ht="15.75" hidden="1" outlineLevel="1">
      <c r="A169" s="701" t="s">
        <v>503</v>
      </c>
      <c r="B169" s="702"/>
      <c r="C169" s="113" t="s">
        <v>383</v>
      </c>
      <c r="D169" s="113" t="s">
        <v>352</v>
      </c>
    </row>
    <row r="170" spans="1:4" ht="15.75" hidden="1" outlineLevel="1">
      <c r="A170" s="114" t="s">
        <v>461</v>
      </c>
      <c r="B170" s="34" t="s">
        <v>462</v>
      </c>
      <c r="C170" s="37"/>
      <c r="D170" s="153">
        <f>D138</f>
        <v>237.68</v>
      </c>
    </row>
    <row r="171" spans="1:4" ht="15.75" hidden="1" outlineLevel="1">
      <c r="A171" s="114" t="s">
        <v>482</v>
      </c>
      <c r="B171" s="34" t="s">
        <v>483</v>
      </c>
      <c r="C171" s="37"/>
      <c r="D171" s="153">
        <f>D167</f>
        <v>109.42</v>
      </c>
    </row>
    <row r="172" spans="1:4" ht="15.75" collapsed="1">
      <c r="A172" s="663" t="s">
        <v>176</v>
      </c>
      <c r="B172" s="700"/>
      <c r="C172" s="664"/>
      <c r="D172" s="122">
        <f>SUM(D170:D171)</f>
        <v>347.1</v>
      </c>
    </row>
    <row r="173" spans="1:4" ht="15.75">
      <c r="A173" s="697"/>
      <c r="B173" s="698"/>
      <c r="C173" s="698"/>
      <c r="D173" s="699"/>
    </row>
    <row r="174" spans="1:4" ht="15.75">
      <c r="A174" s="668" t="s">
        <v>504</v>
      </c>
      <c r="B174" s="669"/>
      <c r="C174" s="669"/>
      <c r="D174" s="670"/>
    </row>
    <row r="175" spans="1:4" ht="15.75" hidden="1" outlineLevel="1">
      <c r="A175" s="697"/>
      <c r="B175" s="698"/>
      <c r="C175" s="698"/>
      <c r="D175" s="699"/>
    </row>
    <row r="176" spans="1:4" ht="15.75" hidden="1" outlineLevel="1">
      <c r="A176" s="66">
        <v>5</v>
      </c>
      <c r="B176" s="663" t="s">
        <v>505</v>
      </c>
      <c r="C176" s="664"/>
      <c r="D176" s="113" t="s">
        <v>352</v>
      </c>
    </row>
    <row r="177" spans="1:4" ht="15.75" hidden="1" outlineLevel="1">
      <c r="A177" s="114" t="s">
        <v>353</v>
      </c>
      <c r="B177" s="717" t="s">
        <v>506</v>
      </c>
      <c r="C177" s="718"/>
      <c r="D177" s="136">
        <f>INSUMOS!H14</f>
        <v>25.55</v>
      </c>
    </row>
    <row r="178" spans="1:4" ht="15.75" hidden="1" outlineLevel="1">
      <c r="A178" s="114" t="s">
        <v>322</v>
      </c>
      <c r="B178" s="717" t="s">
        <v>541</v>
      </c>
      <c r="C178" s="718"/>
      <c r="D178" s="154">
        <f>INSUMOS!H35</f>
        <v>26.74</v>
      </c>
    </row>
    <row r="179" spans="1:4" ht="15.75" hidden="1" outlineLevel="1">
      <c r="A179" s="114" t="s">
        <v>325</v>
      </c>
      <c r="B179" s="649" t="s">
        <v>508</v>
      </c>
      <c r="C179" s="650"/>
      <c r="D179" s="154">
        <f>MATERIAIS!N109</f>
        <v>629.73</v>
      </c>
    </row>
    <row r="180" spans="1:4" ht="15.75" hidden="1" outlineLevel="1">
      <c r="A180" s="114" t="s">
        <v>328</v>
      </c>
      <c r="B180" s="649" t="s">
        <v>509</v>
      </c>
      <c r="C180" s="650"/>
      <c r="D180" s="154">
        <f>EQUIPAMENTOS!O111</f>
        <v>36.729999999999997</v>
      </c>
    </row>
    <row r="181" spans="1:4" ht="15.75" hidden="1" outlineLevel="1">
      <c r="A181" s="114" t="s">
        <v>331</v>
      </c>
      <c r="B181" s="651" t="s">
        <v>372</v>
      </c>
      <c r="C181" s="652"/>
      <c r="D181" s="133">
        <v>0</v>
      </c>
    </row>
    <row r="182" spans="1:4" ht="15.75" hidden="1" outlineLevel="1">
      <c r="A182" s="114" t="s">
        <v>334</v>
      </c>
      <c r="B182" s="651" t="s">
        <v>372</v>
      </c>
      <c r="C182" s="652"/>
      <c r="D182" s="133">
        <v>0</v>
      </c>
    </row>
    <row r="183" spans="1:4" ht="15.75" collapsed="1">
      <c r="A183" s="663" t="s">
        <v>176</v>
      </c>
      <c r="B183" s="700"/>
      <c r="C183" s="664"/>
      <c r="D183" s="119">
        <f>SUM(D177:D181)</f>
        <v>718.75</v>
      </c>
    </row>
    <row r="184" spans="1:4" ht="15.75">
      <c r="A184" s="665"/>
      <c r="B184" s="666"/>
      <c r="C184" s="666"/>
      <c r="D184" s="667"/>
    </row>
    <row r="185" spans="1:4" ht="15.75">
      <c r="A185" s="723" t="s">
        <v>510</v>
      </c>
      <c r="B185" s="723"/>
      <c r="C185" s="723"/>
      <c r="D185" s="155">
        <f>D39+D83+D126+D172+D183</f>
        <v>4446.4799999999996</v>
      </c>
    </row>
    <row r="186" spans="1:4" ht="15.75">
      <c r="A186" s="679"/>
      <c r="B186" s="679"/>
      <c r="C186" s="679"/>
      <c r="D186" s="679"/>
    </row>
    <row r="187" spans="1:4" ht="15.75">
      <c r="A187" s="724" t="s">
        <v>511</v>
      </c>
      <c r="B187" s="724"/>
      <c r="C187" s="724"/>
      <c r="D187" s="724"/>
    </row>
    <row r="188" spans="1:4" ht="15.75" hidden="1" outlineLevel="1">
      <c r="A188" s="725"/>
      <c r="B188" s="726"/>
      <c r="C188" s="726"/>
      <c r="D188" s="727"/>
    </row>
    <row r="189" spans="1:4" ht="15.75" hidden="1" outlineLevel="1">
      <c r="A189" s="66">
        <v>6</v>
      </c>
      <c r="B189" s="120" t="s">
        <v>512</v>
      </c>
      <c r="C189" s="113" t="s">
        <v>383</v>
      </c>
      <c r="D189" s="113" t="s">
        <v>352</v>
      </c>
    </row>
    <row r="190" spans="1:4" ht="15.75" hidden="1" outlineLevel="1">
      <c r="A190" s="114" t="s">
        <v>353</v>
      </c>
      <c r="B190" s="34" t="s">
        <v>513</v>
      </c>
      <c r="C190" s="72">
        <f>'SR - ASG'!C189</f>
        <v>2.6499999999999999E-2</v>
      </c>
      <c r="D190" s="108">
        <f>C190*D185</f>
        <v>117.83</v>
      </c>
    </row>
    <row r="191" spans="1:4" ht="15.75" hidden="1" outlineLevel="1">
      <c r="A191" s="719" t="s">
        <v>514</v>
      </c>
      <c r="B191" s="720"/>
      <c r="C191" s="722"/>
      <c r="D191" s="108">
        <f>D185+D190</f>
        <v>4564.3100000000004</v>
      </c>
    </row>
    <row r="192" spans="1:4" ht="15.75" hidden="1" outlineLevel="1">
      <c r="A192" s="114" t="s">
        <v>322</v>
      </c>
      <c r="B192" s="34" t="s">
        <v>515</v>
      </c>
      <c r="C192" s="72">
        <f>'SR - ASG'!C191</f>
        <v>0.1087</v>
      </c>
      <c r="D192" s="108">
        <f>C192*D191</f>
        <v>496.14</v>
      </c>
    </row>
    <row r="193" spans="1:4" ht="15.75" hidden="1" outlineLevel="1">
      <c r="A193" s="719" t="s">
        <v>514</v>
      </c>
      <c r="B193" s="720"/>
      <c r="C193" s="720"/>
      <c r="D193" s="108">
        <f>D192+D191</f>
        <v>5060.45</v>
      </c>
    </row>
    <row r="194" spans="1:4" ht="15.75" hidden="1" outlineLevel="1">
      <c r="A194" s="114" t="s">
        <v>325</v>
      </c>
      <c r="B194" s="649" t="s">
        <v>516</v>
      </c>
      <c r="C194" s="721"/>
      <c r="D194" s="650"/>
    </row>
    <row r="195" spans="1:4" ht="15.75" hidden="1" outlineLevel="1">
      <c r="A195" s="156"/>
      <c r="B195" s="65" t="s">
        <v>517</v>
      </c>
      <c r="C195" s="72">
        <v>6.4999999999999997E-3</v>
      </c>
      <c r="D195" s="108">
        <f>(D193/(1-C198)*C195)</f>
        <v>35.24</v>
      </c>
    </row>
    <row r="196" spans="1:4" ht="15.75" hidden="1" outlineLevel="1">
      <c r="A196" s="156"/>
      <c r="B196" s="65" t="s">
        <v>518</v>
      </c>
      <c r="C196" s="72">
        <v>0.03</v>
      </c>
      <c r="D196" s="108">
        <f>(D193/(1-C198)*C196)</f>
        <v>162.63</v>
      </c>
    </row>
    <row r="197" spans="1:4" ht="15.75" hidden="1" outlineLevel="1">
      <c r="A197" s="156"/>
      <c r="B197" s="65" t="s">
        <v>558</v>
      </c>
      <c r="C197" s="54">
        <v>0.03</v>
      </c>
      <c r="D197" s="108">
        <f>(D193/(1-C198)*C197)</f>
        <v>162.63</v>
      </c>
    </row>
    <row r="198" spans="1:4" ht="15.75" hidden="1" outlineLevel="1">
      <c r="A198" s="719" t="s">
        <v>520</v>
      </c>
      <c r="B198" s="722"/>
      <c r="C198" s="55">
        <f>SUM(C195:C197)</f>
        <v>6.6500000000000004E-2</v>
      </c>
      <c r="D198" s="108">
        <f>SUM(D195:D197)</f>
        <v>360.5</v>
      </c>
    </row>
    <row r="199" spans="1:4" ht="15.75" collapsed="1">
      <c r="A199" s="663" t="s">
        <v>176</v>
      </c>
      <c r="B199" s="664"/>
      <c r="C199" s="56">
        <f>(1+C190)*(1+C192)*(1/(1-C198))-1</f>
        <v>0.21920000000000001</v>
      </c>
      <c r="D199" s="111">
        <f>SUM(D198+D190+D192)</f>
        <v>974.47</v>
      </c>
    </row>
    <row r="200" spans="1:4" ht="15.75">
      <c r="A200" s="665"/>
      <c r="B200" s="666"/>
      <c r="C200" s="666"/>
      <c r="D200" s="667"/>
    </row>
    <row r="201" spans="1:4" ht="15.75">
      <c r="A201" s="676" t="s">
        <v>521</v>
      </c>
      <c r="B201" s="678"/>
      <c r="C201" s="677"/>
      <c r="D201" s="57" t="s">
        <v>352</v>
      </c>
    </row>
    <row r="202" spans="1:4" ht="15.75">
      <c r="A202" s="661" t="s">
        <v>522</v>
      </c>
      <c r="B202" s="728"/>
      <c r="C202" s="728"/>
      <c r="D202" s="662"/>
    </row>
    <row r="203" spans="1:4" ht="15.75">
      <c r="A203" s="67" t="s">
        <v>353</v>
      </c>
      <c r="B203" s="661" t="s">
        <v>523</v>
      </c>
      <c r="C203" s="662"/>
      <c r="D203" s="107">
        <f>D39</f>
        <v>1839.73</v>
      </c>
    </row>
    <row r="204" spans="1:4" ht="15.75">
      <c r="A204" s="67" t="s">
        <v>322</v>
      </c>
      <c r="B204" s="661" t="s">
        <v>524</v>
      </c>
      <c r="C204" s="662"/>
      <c r="D204" s="107">
        <f>D83</f>
        <v>1389.77</v>
      </c>
    </row>
    <row r="205" spans="1:4" ht="15.75">
      <c r="A205" s="67" t="s">
        <v>325</v>
      </c>
      <c r="B205" s="661" t="s">
        <v>525</v>
      </c>
      <c r="C205" s="662"/>
      <c r="D205" s="107">
        <f>D126</f>
        <v>151.13</v>
      </c>
    </row>
    <row r="206" spans="1:4" ht="15.75">
      <c r="A206" s="67" t="s">
        <v>328</v>
      </c>
      <c r="B206" s="661" t="s">
        <v>526</v>
      </c>
      <c r="C206" s="662"/>
      <c r="D206" s="107">
        <f>D172</f>
        <v>347.1</v>
      </c>
    </row>
    <row r="207" spans="1:4" ht="15.75">
      <c r="A207" s="67" t="s">
        <v>331</v>
      </c>
      <c r="B207" s="661" t="s">
        <v>527</v>
      </c>
      <c r="C207" s="662"/>
      <c r="D207" s="107">
        <f>D183</f>
        <v>718.75</v>
      </c>
    </row>
    <row r="208" spans="1:4" ht="15.75">
      <c r="A208" s="738" t="s">
        <v>528</v>
      </c>
      <c r="B208" s="739"/>
      <c r="C208" s="740"/>
      <c r="D208" s="107">
        <f>SUM(D203:D207)</f>
        <v>4446.4799999999996</v>
      </c>
    </row>
    <row r="209" spans="1:4" ht="15.75">
      <c r="A209" s="67" t="s">
        <v>529</v>
      </c>
      <c r="B209" s="661" t="s">
        <v>530</v>
      </c>
      <c r="C209" s="662"/>
      <c r="D209" s="107">
        <f>D199</f>
        <v>974.47</v>
      </c>
    </row>
    <row r="210" spans="1:4" ht="15.75">
      <c r="A210" s="676" t="s">
        <v>531</v>
      </c>
      <c r="B210" s="678"/>
      <c r="C210" s="677"/>
      <c r="D210" s="157">
        <f xml:space="preserve"> D208+D209</f>
        <v>5420.95</v>
      </c>
    </row>
    <row r="211" spans="1:4" ht="15.75">
      <c r="A211" s="27"/>
      <c r="B211" s="27"/>
      <c r="C211" s="27"/>
      <c r="D211" s="27"/>
    </row>
    <row r="212" spans="1:4" ht="15.75" thickBot="1">
      <c r="A212" s="20"/>
      <c r="B212" s="20"/>
      <c r="C212" s="20"/>
      <c r="D212" s="20"/>
    </row>
    <row r="213" spans="1:4" ht="15.75">
      <c r="A213" s="646" t="s">
        <v>532</v>
      </c>
      <c r="B213" s="647"/>
      <c r="C213" s="647"/>
      <c r="D213" s="648"/>
    </row>
    <row r="214" spans="1:4" ht="31.5">
      <c r="A214" s="175" t="s">
        <v>533</v>
      </c>
      <c r="B214" s="176" t="s">
        <v>534</v>
      </c>
      <c r="C214" s="177" t="s">
        <v>535</v>
      </c>
      <c r="D214" s="178" t="s">
        <v>536</v>
      </c>
    </row>
    <row r="215" spans="1:4" ht="16.5" thickBot="1">
      <c r="A215" s="179">
        <v>3</v>
      </c>
      <c r="B215" s="182">
        <f>1/(C11/A215)</f>
        <v>7.0462563240000005E-4</v>
      </c>
      <c r="C215" s="180">
        <f>D210</f>
        <v>5420.95</v>
      </c>
      <c r="D215" s="184">
        <f>C215*B215</f>
        <v>3.8197403219999999</v>
      </c>
    </row>
  </sheetData>
  <mergeCells count="108">
    <mergeCell ref="A208:C208"/>
    <mergeCell ref="B209:C209"/>
    <mergeCell ref="A210:C210"/>
    <mergeCell ref="A202:D202"/>
    <mergeCell ref="B203:C203"/>
    <mergeCell ref="B204:C204"/>
    <mergeCell ref="B205:C205"/>
    <mergeCell ref="B206:C206"/>
    <mergeCell ref="B207:C207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C11:D11"/>
    <mergeCell ref="C12:D12"/>
    <mergeCell ref="A13:D13"/>
    <mergeCell ref="A14:D14"/>
    <mergeCell ref="A15:D15"/>
    <mergeCell ref="C16:D16"/>
    <mergeCell ref="A213:D213"/>
    <mergeCell ref="B180:C180"/>
    <mergeCell ref="B181:C181"/>
    <mergeCell ref="A5:D5"/>
    <mergeCell ref="C6:D6"/>
    <mergeCell ref="C7:D7"/>
    <mergeCell ref="C8:D8"/>
    <mergeCell ref="C9:D9"/>
    <mergeCell ref="C10:D10"/>
    <mergeCell ref="B20:C20"/>
    <mergeCell ref="B21:C21"/>
    <mergeCell ref="B22:C22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9A23A-0DF5-44B9-8984-32CB8FA9CEBF}">
  <sheetPr codeName="Planilha15">
    <pageSetUpPr fitToPage="1"/>
  </sheetPr>
  <dimension ref="A1:D215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>
      <c r="A1" s="680" t="s">
        <v>313</v>
      </c>
      <c r="B1" s="680"/>
      <c r="C1" s="680"/>
      <c r="D1" s="680"/>
    </row>
    <row r="2" spans="1:4" ht="15.75">
      <c r="A2" s="681" t="s">
        <v>314</v>
      </c>
      <c r="B2" s="681"/>
      <c r="C2" s="682" t="s">
        <v>315</v>
      </c>
      <c r="D2" s="683"/>
    </row>
    <row r="3" spans="1:4" ht="15.75">
      <c r="A3" s="681" t="s">
        <v>316</v>
      </c>
      <c r="B3" s="681"/>
      <c r="C3" s="682" t="s">
        <v>317</v>
      </c>
      <c r="D3" s="683"/>
    </row>
    <row r="4" spans="1:4" ht="15.75">
      <c r="A4" s="653"/>
      <c r="B4" s="653"/>
      <c r="C4" s="653"/>
      <c r="D4" s="653"/>
    </row>
    <row r="5" spans="1:4" ht="15.75">
      <c r="A5" s="653" t="s">
        <v>318</v>
      </c>
      <c r="B5" s="653"/>
      <c r="C5" s="653"/>
      <c r="D5" s="653"/>
    </row>
    <row r="6" spans="1:4" ht="15.75">
      <c r="A6" s="67" t="s">
        <v>319</v>
      </c>
      <c r="B6" s="65" t="s">
        <v>320</v>
      </c>
      <c r="C6" s="654" t="s">
        <v>321</v>
      </c>
      <c r="D6" s="655"/>
    </row>
    <row r="7" spans="1:4" ht="15.75">
      <c r="A7" s="67" t="s">
        <v>322</v>
      </c>
      <c r="B7" s="65" t="s">
        <v>323</v>
      </c>
      <c r="C7" s="656" t="s">
        <v>559</v>
      </c>
      <c r="D7" s="656"/>
    </row>
    <row r="8" spans="1:4" ht="15.75">
      <c r="A8" s="28" t="s">
        <v>325</v>
      </c>
      <c r="B8" s="29" t="s">
        <v>326</v>
      </c>
      <c r="C8" s="736" t="s">
        <v>327</v>
      </c>
      <c r="D8" s="737"/>
    </row>
    <row r="9" spans="1:4" ht="15.75">
      <c r="A9" s="67" t="s">
        <v>328</v>
      </c>
      <c r="B9" s="65" t="s">
        <v>329</v>
      </c>
      <c r="C9" s="659" t="s">
        <v>330</v>
      </c>
      <c r="D9" s="660"/>
    </row>
    <row r="10" spans="1:4" ht="15.75">
      <c r="A10" s="67" t="s">
        <v>331</v>
      </c>
      <c r="B10" s="65" t="s">
        <v>332</v>
      </c>
      <c r="C10" s="659" t="s">
        <v>333</v>
      </c>
      <c r="D10" s="660"/>
    </row>
    <row r="11" spans="1:4" ht="15.75">
      <c r="A11" s="67" t="s">
        <v>334</v>
      </c>
      <c r="B11" s="65" t="s">
        <v>335</v>
      </c>
      <c r="C11" s="686">
        <f>Resumo!F12</f>
        <v>3307.94</v>
      </c>
      <c r="D11" s="687"/>
    </row>
    <row r="12" spans="1:4" ht="15.75">
      <c r="A12" s="67" t="s">
        <v>394</v>
      </c>
      <c r="B12" s="65" t="s">
        <v>337</v>
      </c>
      <c r="C12" s="688">
        <f>Resumo!I5</f>
        <v>20</v>
      </c>
      <c r="D12" s="675"/>
    </row>
    <row r="13" spans="1:4" ht="15.75">
      <c r="A13" s="689"/>
      <c r="B13" s="690"/>
      <c r="C13" s="690"/>
      <c r="D13" s="690"/>
    </row>
    <row r="14" spans="1:4" ht="15.75">
      <c r="A14" s="691" t="s">
        <v>338</v>
      </c>
      <c r="B14" s="692"/>
      <c r="C14" s="692"/>
      <c r="D14" s="693"/>
    </row>
    <row r="15" spans="1:4" ht="15.75">
      <c r="A15" s="656" t="s">
        <v>339</v>
      </c>
      <c r="B15" s="656"/>
      <c r="C15" s="656"/>
      <c r="D15" s="656"/>
    </row>
    <row r="16" spans="1:4" ht="15.75">
      <c r="A16" s="67">
        <v>1</v>
      </c>
      <c r="B16" s="65" t="s">
        <v>340</v>
      </c>
      <c r="C16" s="659" t="s">
        <v>341</v>
      </c>
      <c r="D16" s="660" t="s">
        <v>62</v>
      </c>
    </row>
    <row r="17" spans="1:4" ht="15.75">
      <c r="A17" s="67">
        <v>2</v>
      </c>
      <c r="B17" s="30" t="s">
        <v>342</v>
      </c>
      <c r="C17" s="684" t="s">
        <v>343</v>
      </c>
      <c r="D17" s="685"/>
    </row>
    <row r="18" spans="1:4" ht="15.75">
      <c r="A18" s="656" t="s">
        <v>344</v>
      </c>
      <c r="B18" s="656"/>
      <c r="C18" s="656"/>
      <c r="D18" s="656"/>
    </row>
    <row r="19" spans="1:4" ht="15.75">
      <c r="A19" s="67">
        <v>3</v>
      </c>
      <c r="B19" s="661" t="s">
        <v>345</v>
      </c>
      <c r="C19" s="662"/>
      <c r="D19" s="106">
        <v>1314.09</v>
      </c>
    </row>
    <row r="20" spans="1:4" ht="15.75">
      <c r="A20" s="67">
        <v>4</v>
      </c>
      <c r="B20" s="661" t="s">
        <v>346</v>
      </c>
      <c r="C20" s="662"/>
      <c r="D20" s="158">
        <v>220</v>
      </c>
    </row>
    <row r="21" spans="1:4" ht="15.75">
      <c r="A21" s="67">
        <v>5</v>
      </c>
      <c r="B21" s="661" t="s">
        <v>347</v>
      </c>
      <c r="C21" s="662"/>
      <c r="D21" s="75" t="s">
        <v>348</v>
      </c>
    </row>
    <row r="22" spans="1:4" ht="15.75">
      <c r="A22" s="67">
        <v>6</v>
      </c>
      <c r="B22" s="661" t="s">
        <v>349</v>
      </c>
      <c r="C22" s="662"/>
      <c r="D22" s="76">
        <v>44562</v>
      </c>
    </row>
    <row r="23" spans="1:4" ht="15.75">
      <c r="A23" s="659"/>
      <c r="B23" s="671"/>
      <c r="C23" s="671"/>
      <c r="D23" s="660"/>
    </row>
    <row r="24" spans="1:4" ht="15.75">
      <c r="A24" s="672" t="s">
        <v>350</v>
      </c>
      <c r="B24" s="672"/>
      <c r="C24" s="672"/>
      <c r="D24" s="672"/>
    </row>
    <row r="25" spans="1:4" ht="15.75">
      <c r="A25" s="673"/>
      <c r="B25" s="674"/>
      <c r="C25" s="674"/>
      <c r="D25" s="675"/>
    </row>
    <row r="26" spans="1:4" ht="15.75">
      <c r="A26" s="66">
        <v>1</v>
      </c>
      <c r="B26" s="676" t="s">
        <v>351</v>
      </c>
      <c r="C26" s="677"/>
      <c r="D26" s="66" t="s">
        <v>352</v>
      </c>
    </row>
    <row r="27" spans="1:4" ht="15.75" hidden="1" outlineLevel="1">
      <c r="A27" s="67" t="s">
        <v>353</v>
      </c>
      <c r="B27" s="65" t="s">
        <v>354</v>
      </c>
      <c r="C27" s="73">
        <f>'SR - ASG'!C27</f>
        <v>220</v>
      </c>
      <c r="D27" s="107">
        <f>D19/220*C27</f>
        <v>1314.09</v>
      </c>
    </row>
    <row r="28" spans="1:4" ht="15.75" hidden="1" outlineLevel="1">
      <c r="A28" s="67" t="s">
        <v>322</v>
      </c>
      <c r="B28" s="65" t="s">
        <v>557</v>
      </c>
      <c r="C28" s="31">
        <v>0</v>
      </c>
      <c r="D28" s="107">
        <f>C28*D27</f>
        <v>0</v>
      </c>
    </row>
    <row r="29" spans="1:4" ht="15.75" hidden="1" outlineLevel="1">
      <c r="A29" s="67" t="s">
        <v>325</v>
      </c>
      <c r="B29" s="65" t="s">
        <v>356</v>
      </c>
      <c r="C29" s="31">
        <v>0.4</v>
      </c>
      <c r="D29" s="107">
        <f>C29*D27</f>
        <v>525.64</v>
      </c>
    </row>
    <row r="30" spans="1:4" ht="15.75" hidden="1" outlineLevel="1">
      <c r="A30" s="67" t="s">
        <v>328</v>
      </c>
      <c r="B30" s="65" t="s">
        <v>357</v>
      </c>
      <c r="C30" s="159">
        <v>0</v>
      </c>
      <c r="D30" s="108">
        <f>SUM(D31:D32)</f>
        <v>0</v>
      </c>
    </row>
    <row r="31" spans="1:4" ht="15.75" hidden="1" outlineLevel="2">
      <c r="A31" s="80" t="s">
        <v>358</v>
      </c>
      <c r="B31" s="65" t="s">
        <v>359</v>
      </c>
      <c r="C31" s="81">
        <v>0.2</v>
      </c>
      <c r="D31" s="108">
        <f>(SUM(D27:D29)/C27)*C31*15*C30</f>
        <v>0</v>
      </c>
    </row>
    <row r="32" spans="1:4" ht="15.75" hidden="1" outlineLevel="2">
      <c r="A32" s="80" t="s">
        <v>360</v>
      </c>
      <c r="B32" s="65" t="s">
        <v>361</v>
      </c>
      <c r="C32" s="82">
        <f>C30*(60/52.5)/8</f>
        <v>0</v>
      </c>
      <c r="D32" s="108">
        <f>(SUM(D27:D29)/C27)*(C31)*15*C32</f>
        <v>0</v>
      </c>
    </row>
    <row r="33" spans="1:4" ht="15.75" hidden="1" outlineLevel="1">
      <c r="A33" s="67" t="s">
        <v>331</v>
      </c>
      <c r="B33" s="65" t="s">
        <v>362</v>
      </c>
      <c r="C33" s="31" t="s">
        <v>363</v>
      </c>
      <c r="D33" s="1">
        <f>SUM(D34:D37)</f>
        <v>0</v>
      </c>
    </row>
    <row r="34" spans="1:4" ht="15.75" hidden="1" outlineLevel="2">
      <c r="A34" s="83" t="s">
        <v>364</v>
      </c>
      <c r="B34" s="84" t="s">
        <v>365</v>
      </c>
      <c r="C34" s="85">
        <v>0</v>
      </c>
      <c r="D34" s="109">
        <f>(SUM($D$27:$D$29)/$C$27)*C34*1.5</f>
        <v>0</v>
      </c>
    </row>
    <row r="35" spans="1:4" ht="15.75" hidden="1" outlineLevel="2">
      <c r="A35" s="83" t="s">
        <v>366</v>
      </c>
      <c r="B35" s="86" t="s">
        <v>367</v>
      </c>
      <c r="C35" s="87">
        <v>0</v>
      </c>
      <c r="D35" s="109">
        <f>(SUM($D$27:$D$29)/$C$27)*C35*((60/52.5)*1.2*1.5)</f>
        <v>0</v>
      </c>
    </row>
    <row r="36" spans="1:4" ht="15.75" hidden="1" outlineLevel="2">
      <c r="A36" s="83" t="s">
        <v>368</v>
      </c>
      <c r="B36" s="84" t="s">
        <v>369</v>
      </c>
      <c r="C36" s="88">
        <f>C34*0.1429</f>
        <v>0</v>
      </c>
      <c r="D36" s="109">
        <f>(SUM($D$27:$D$29)/$C$27)*C36*2</f>
        <v>0</v>
      </c>
    </row>
    <row r="37" spans="1:4" ht="15.75" hidden="1" outlineLevel="2">
      <c r="A37" s="83" t="s">
        <v>370</v>
      </c>
      <c r="B37" s="84" t="s">
        <v>371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>
      <c r="A38" s="67" t="s">
        <v>334</v>
      </c>
      <c r="B38" s="58" t="s">
        <v>372</v>
      </c>
      <c r="C38" s="59">
        <v>0</v>
      </c>
      <c r="D38" s="110">
        <v>0</v>
      </c>
    </row>
    <row r="39" spans="1:4" ht="15.75" collapsed="1">
      <c r="A39" s="676" t="s">
        <v>373</v>
      </c>
      <c r="B39" s="678"/>
      <c r="C39" s="677"/>
      <c r="D39" s="111">
        <f>SUM(D27:D30,D33,D38)</f>
        <v>1839.73</v>
      </c>
    </row>
    <row r="40" spans="1:4" ht="15.75">
      <c r="A40" s="679"/>
      <c r="B40" s="679"/>
      <c r="C40" s="679"/>
      <c r="D40" s="679"/>
    </row>
    <row r="41" spans="1:4" ht="15.75" hidden="1" outlineLevel="1">
      <c r="A41" s="89" t="s">
        <v>374</v>
      </c>
      <c r="B41" s="112" t="s">
        <v>375</v>
      </c>
      <c r="C41" s="113" t="s">
        <v>376</v>
      </c>
      <c r="D41" s="113" t="s">
        <v>352</v>
      </c>
    </row>
    <row r="42" spans="1:4" ht="15.75" hidden="1" outlineLevel="1">
      <c r="A42" s="114" t="s">
        <v>353</v>
      </c>
      <c r="B42" s="30" t="s">
        <v>377</v>
      </c>
      <c r="C42" s="90">
        <v>0</v>
      </c>
      <c r="D42" s="115">
        <f>(SUM(D27)/$C$27)*C42*1.5</f>
        <v>0</v>
      </c>
    </row>
    <row r="43" spans="1:4" ht="15.75" hidden="1" outlineLevel="1">
      <c r="A43" s="116" t="s">
        <v>325</v>
      </c>
      <c r="B43" s="117" t="s">
        <v>378</v>
      </c>
      <c r="C43" s="118">
        <v>0</v>
      </c>
      <c r="D43" s="107">
        <f>C43*177</f>
        <v>0</v>
      </c>
    </row>
    <row r="44" spans="1:4" ht="15.75" hidden="1" outlineLevel="1">
      <c r="A44" s="67" t="s">
        <v>328</v>
      </c>
      <c r="B44" s="58" t="s">
        <v>372</v>
      </c>
      <c r="C44" s="59">
        <v>0</v>
      </c>
      <c r="D44" s="110">
        <v>0</v>
      </c>
    </row>
    <row r="45" spans="1:4" ht="15.75" collapsed="1">
      <c r="A45" s="663" t="s">
        <v>379</v>
      </c>
      <c r="B45" s="664"/>
      <c r="C45" s="33">
        <f>D45/D39</f>
        <v>0</v>
      </c>
      <c r="D45" s="119">
        <f>SUM(D42:D43)</f>
        <v>0</v>
      </c>
    </row>
    <row r="46" spans="1:4" ht="15.75">
      <c r="A46" s="665"/>
      <c r="B46" s="666"/>
      <c r="C46" s="666"/>
      <c r="D46" s="667"/>
    </row>
    <row r="47" spans="1:4" ht="15.75">
      <c r="A47" s="668" t="s">
        <v>380</v>
      </c>
      <c r="B47" s="669"/>
      <c r="C47" s="669"/>
      <c r="D47" s="670"/>
    </row>
    <row r="48" spans="1:4" ht="15.75" hidden="1" outlineLevel="1">
      <c r="A48" s="665"/>
      <c r="B48" s="666"/>
      <c r="C48" s="666"/>
      <c r="D48" s="667"/>
    </row>
    <row r="49" spans="1:4" ht="15.75" hidden="1" outlineLevel="1">
      <c r="A49" s="113" t="s">
        <v>381</v>
      </c>
      <c r="B49" s="112" t="s">
        <v>382</v>
      </c>
      <c r="C49" s="113" t="s">
        <v>383</v>
      </c>
      <c r="D49" s="113" t="s">
        <v>352</v>
      </c>
    </row>
    <row r="50" spans="1:4" ht="15.75" hidden="1" outlineLevel="2">
      <c r="A50" s="116" t="s">
        <v>353</v>
      </c>
      <c r="B50" s="117" t="s">
        <v>384</v>
      </c>
      <c r="C50" s="32">
        <f>1/12</f>
        <v>8.3299999999999999E-2</v>
      </c>
      <c r="D50" s="107">
        <f>C50*D39</f>
        <v>153.25</v>
      </c>
    </row>
    <row r="51" spans="1:4" ht="15.75" hidden="1" outlineLevel="2">
      <c r="A51" s="116" t="s">
        <v>322</v>
      </c>
      <c r="B51" s="117" t="s">
        <v>385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>
      <c r="A52" s="663" t="s">
        <v>176</v>
      </c>
      <c r="B52" s="664"/>
      <c r="C52" s="33">
        <f>SUM(C50:C51)</f>
        <v>0.1</v>
      </c>
      <c r="D52" s="119">
        <f>SUM(D50:D51)</f>
        <v>183.97</v>
      </c>
    </row>
    <row r="53" spans="1:4" ht="15.75" hidden="1" outlineLevel="1">
      <c r="A53" s="665"/>
      <c r="B53" s="666"/>
      <c r="C53" s="666"/>
      <c r="D53" s="667"/>
    </row>
    <row r="54" spans="1:4" ht="15.75" hidden="1" outlineLevel="1">
      <c r="A54" s="113" t="s">
        <v>386</v>
      </c>
      <c r="B54" s="120" t="s">
        <v>387</v>
      </c>
      <c r="C54" s="113" t="s">
        <v>383</v>
      </c>
      <c r="D54" s="121" t="s">
        <v>352</v>
      </c>
    </row>
    <row r="55" spans="1:4" ht="15.75" hidden="1" outlineLevel="2">
      <c r="A55" s="114" t="s">
        <v>353</v>
      </c>
      <c r="B55" s="34" t="s">
        <v>388</v>
      </c>
      <c r="C55" s="35">
        <v>0.2</v>
      </c>
      <c r="D55" s="107">
        <f t="shared" ref="D55:D62" si="0">C55*($D$39+$D$52)</f>
        <v>404.74</v>
      </c>
    </row>
    <row r="56" spans="1:4" ht="15.75" hidden="1" outlineLevel="2">
      <c r="A56" s="114" t="s">
        <v>322</v>
      </c>
      <c r="B56" s="34" t="s">
        <v>389</v>
      </c>
      <c r="C56" s="35">
        <v>2.5000000000000001E-2</v>
      </c>
      <c r="D56" s="107">
        <f t="shared" si="0"/>
        <v>50.59</v>
      </c>
    </row>
    <row r="57" spans="1:4" ht="15.75" hidden="1" outlineLevel="2">
      <c r="A57" s="114" t="s">
        <v>325</v>
      </c>
      <c r="B57" s="34" t="s">
        <v>390</v>
      </c>
      <c r="C57" s="68">
        <v>0.03</v>
      </c>
      <c r="D57" s="107">
        <f t="shared" si="0"/>
        <v>60.71</v>
      </c>
    </row>
    <row r="58" spans="1:4" ht="15.75" hidden="1" outlineLevel="2">
      <c r="A58" s="114" t="s">
        <v>328</v>
      </c>
      <c r="B58" s="34" t="s">
        <v>391</v>
      </c>
      <c r="C58" s="35">
        <v>1.4999999999999999E-2</v>
      </c>
      <c r="D58" s="107">
        <f t="shared" si="0"/>
        <v>30.36</v>
      </c>
    </row>
    <row r="59" spans="1:4" ht="15.75" hidden="1" outlineLevel="2">
      <c r="A59" s="114" t="s">
        <v>331</v>
      </c>
      <c r="B59" s="34" t="s">
        <v>392</v>
      </c>
      <c r="C59" s="35">
        <v>0.01</v>
      </c>
      <c r="D59" s="107">
        <f t="shared" si="0"/>
        <v>20.239999999999998</v>
      </c>
    </row>
    <row r="60" spans="1:4" ht="15.75" hidden="1" outlineLevel="2">
      <c r="A60" s="114" t="s">
        <v>334</v>
      </c>
      <c r="B60" s="34" t="s">
        <v>393</v>
      </c>
      <c r="C60" s="35">
        <v>6.0000000000000001E-3</v>
      </c>
      <c r="D60" s="107">
        <f t="shared" si="0"/>
        <v>12.14</v>
      </c>
    </row>
    <row r="61" spans="1:4" ht="15.75" hidden="1" outlineLevel="2">
      <c r="A61" s="114" t="s">
        <v>394</v>
      </c>
      <c r="B61" s="34" t="s">
        <v>395</v>
      </c>
      <c r="C61" s="35">
        <v>2E-3</v>
      </c>
      <c r="D61" s="107">
        <f t="shared" si="0"/>
        <v>4.05</v>
      </c>
    </row>
    <row r="62" spans="1:4" ht="15.75" hidden="1" outlineLevel="2">
      <c r="A62" s="114" t="s">
        <v>336</v>
      </c>
      <c r="B62" s="34" t="s">
        <v>396</v>
      </c>
      <c r="C62" s="35">
        <v>0.08</v>
      </c>
      <c r="D62" s="107">
        <f t="shared" si="0"/>
        <v>161.9</v>
      </c>
    </row>
    <row r="63" spans="1:4" ht="15.75" hidden="1" outlineLevel="1">
      <c r="A63" s="663" t="s">
        <v>176</v>
      </c>
      <c r="B63" s="664"/>
      <c r="C63" s="36">
        <f>SUM(C55:C62)</f>
        <v>0.36799999999999999</v>
      </c>
      <c r="D63" s="122">
        <f>SUM(D55:D62)</f>
        <v>744.73</v>
      </c>
    </row>
    <row r="64" spans="1:4" ht="15.75" hidden="1" outlineLevel="1">
      <c r="A64" s="665"/>
      <c r="B64" s="666"/>
      <c r="C64" s="666"/>
      <c r="D64" s="667"/>
    </row>
    <row r="65" spans="1:4" ht="15.75" hidden="1" outlineLevel="1">
      <c r="A65" s="113" t="s">
        <v>397</v>
      </c>
      <c r="B65" s="120" t="s">
        <v>398</v>
      </c>
      <c r="C65" s="113" t="s">
        <v>399</v>
      </c>
      <c r="D65" s="113" t="s">
        <v>352</v>
      </c>
    </row>
    <row r="66" spans="1:4" ht="15.75" hidden="1" outlineLevel="2">
      <c r="A66" s="114" t="s">
        <v>353</v>
      </c>
      <c r="B66" s="34" t="s">
        <v>400</v>
      </c>
      <c r="C66" s="123">
        <v>4.4000000000000004</v>
      </c>
      <c r="D66" s="124">
        <f>IF(D67+D68&gt;0,(D67+D68),0)</f>
        <v>105.95</v>
      </c>
    </row>
    <row r="67" spans="1:4" ht="15.75" hidden="1" outlineLevel="3">
      <c r="A67" s="125" t="s">
        <v>401</v>
      </c>
      <c r="B67" s="34" t="s">
        <v>402</v>
      </c>
      <c r="C67" s="126">
        <v>21</v>
      </c>
      <c r="D67" s="127">
        <f>C66*C67*2</f>
        <v>184.8</v>
      </c>
    </row>
    <row r="68" spans="1:4" ht="15.75" hidden="1" outlineLevel="3">
      <c r="A68" s="125" t="s">
        <v>403</v>
      </c>
      <c r="B68" s="34" t="s">
        <v>404</v>
      </c>
      <c r="C68" s="128">
        <v>0.06</v>
      </c>
      <c r="D68" s="127">
        <f>-D27*C68</f>
        <v>-78.849999999999994</v>
      </c>
    </row>
    <row r="69" spans="1:4" ht="15.75" hidden="1" outlineLevel="2">
      <c r="A69" s="114" t="s">
        <v>322</v>
      </c>
      <c r="B69" s="34" t="s">
        <v>405</v>
      </c>
      <c r="C69" s="129">
        <f>'SR - ASG'!C69</f>
        <v>20.18</v>
      </c>
      <c r="D69" s="124">
        <f>D70+D71</f>
        <v>343.26</v>
      </c>
    </row>
    <row r="70" spans="1:4" ht="15.75" hidden="1" outlineLevel="3">
      <c r="A70" s="125" t="s">
        <v>406</v>
      </c>
      <c r="B70" s="34" t="s">
        <v>407</v>
      </c>
      <c r="C70" s="126">
        <v>21</v>
      </c>
      <c r="D70" s="127">
        <f>C69*C70</f>
        <v>423.78</v>
      </c>
    </row>
    <row r="71" spans="1:4" ht="15.75" hidden="1" outlineLevel="3">
      <c r="A71" s="125" t="s">
        <v>408</v>
      </c>
      <c r="B71" s="34" t="s">
        <v>409</v>
      </c>
      <c r="C71" s="130">
        <v>-0.19</v>
      </c>
      <c r="D71" s="127">
        <f>D70*C71</f>
        <v>-80.52</v>
      </c>
    </row>
    <row r="72" spans="1:4" ht="15.75" hidden="1" outlineLevel="2">
      <c r="A72" s="114" t="s">
        <v>325</v>
      </c>
      <c r="B72" s="77" t="s">
        <v>410</v>
      </c>
      <c r="C72" s="129">
        <v>17.32</v>
      </c>
      <c r="D72" s="132">
        <f>C72</f>
        <v>17.32</v>
      </c>
    </row>
    <row r="73" spans="1:4" ht="15.75" hidden="1" outlineLevel="2">
      <c r="A73" s="114" t="s">
        <v>328</v>
      </c>
      <c r="B73" s="78" t="s">
        <v>411</v>
      </c>
      <c r="C73" s="129">
        <f>140*3</f>
        <v>420</v>
      </c>
      <c r="D73" s="132">
        <f>C73*C152</f>
        <v>0.84</v>
      </c>
    </row>
    <row r="74" spans="1:4" ht="15.75" hidden="1" outlineLevel="2">
      <c r="A74" s="114" t="s">
        <v>331</v>
      </c>
      <c r="B74" s="77" t="s">
        <v>412</v>
      </c>
      <c r="C74" s="129">
        <v>21</v>
      </c>
      <c r="D74" s="132">
        <f>C74</f>
        <v>21</v>
      </c>
    </row>
    <row r="75" spans="1:4" ht="15.75" hidden="1" outlineLevel="2">
      <c r="A75" s="114" t="s">
        <v>334</v>
      </c>
      <c r="B75" s="77" t="s">
        <v>372</v>
      </c>
      <c r="C75" s="131">
        <v>0</v>
      </c>
      <c r="D75" s="132">
        <f>C75*D39</f>
        <v>0</v>
      </c>
    </row>
    <row r="76" spans="1:4" ht="15.75" hidden="1" outlineLevel="2">
      <c r="A76" s="114" t="s">
        <v>394</v>
      </c>
      <c r="B76" s="77" t="s">
        <v>372</v>
      </c>
      <c r="C76" s="129">
        <v>0</v>
      </c>
      <c r="D76" s="133">
        <f>C76</f>
        <v>0</v>
      </c>
    </row>
    <row r="77" spans="1:4" ht="15.75" hidden="1" outlineLevel="1">
      <c r="A77" s="663" t="s">
        <v>413</v>
      </c>
      <c r="B77" s="700"/>
      <c r="C77" s="664"/>
      <c r="D77" s="119">
        <f>SUM(D66,D69,D72:D76)</f>
        <v>488.37</v>
      </c>
    </row>
    <row r="78" spans="1:4" ht="15.75" hidden="1" outlineLevel="1">
      <c r="A78" s="665"/>
      <c r="B78" s="666"/>
      <c r="C78" s="666"/>
      <c r="D78" s="667"/>
    </row>
    <row r="79" spans="1:4" ht="15.75" hidden="1" outlineLevel="1">
      <c r="A79" s="701" t="s">
        <v>414</v>
      </c>
      <c r="B79" s="702"/>
      <c r="C79" s="113" t="s">
        <v>383</v>
      </c>
      <c r="D79" s="113" t="s">
        <v>352</v>
      </c>
    </row>
    <row r="80" spans="1:4" ht="15.75" hidden="1" outlineLevel="1">
      <c r="A80" s="114" t="s">
        <v>415</v>
      </c>
      <c r="B80" s="34" t="s">
        <v>382</v>
      </c>
      <c r="C80" s="37">
        <f>C52</f>
        <v>0.1</v>
      </c>
      <c r="D80" s="107">
        <f>D52</f>
        <v>183.97</v>
      </c>
    </row>
    <row r="81" spans="1:4" ht="15.75" hidden="1" outlineLevel="1">
      <c r="A81" s="114" t="s">
        <v>386</v>
      </c>
      <c r="B81" s="34" t="s">
        <v>387</v>
      </c>
      <c r="C81" s="37">
        <f>C63</f>
        <v>0.36799999999999999</v>
      </c>
      <c r="D81" s="107">
        <f>D63</f>
        <v>744.73</v>
      </c>
    </row>
    <row r="82" spans="1:4" ht="15.75" hidden="1" outlineLevel="1">
      <c r="A82" s="114" t="s">
        <v>416</v>
      </c>
      <c r="B82" s="34" t="s">
        <v>398</v>
      </c>
      <c r="C82" s="37">
        <f>D77/D39</f>
        <v>0.26550000000000001</v>
      </c>
      <c r="D82" s="107">
        <f>D77</f>
        <v>488.37</v>
      </c>
    </row>
    <row r="83" spans="1:4" ht="15.75" collapsed="1">
      <c r="A83" s="663" t="s">
        <v>176</v>
      </c>
      <c r="B83" s="700"/>
      <c r="C83" s="664"/>
      <c r="D83" s="119">
        <f>SUM(D80:D82)</f>
        <v>1417.07</v>
      </c>
    </row>
    <row r="84" spans="1:4" ht="15.75">
      <c r="A84" s="665"/>
      <c r="B84" s="666"/>
      <c r="C84" s="666"/>
      <c r="D84" s="667"/>
    </row>
    <row r="85" spans="1:4" ht="15.75">
      <c r="A85" s="694" t="s">
        <v>417</v>
      </c>
      <c r="B85" s="695"/>
      <c r="C85" s="695"/>
      <c r="D85" s="696"/>
    </row>
    <row r="86" spans="1:4" ht="15.75" hidden="1" outlineLevel="1">
      <c r="A86" s="665"/>
      <c r="B86" s="666"/>
      <c r="C86" s="666"/>
      <c r="D86" s="667"/>
    </row>
    <row r="87" spans="1:4" ht="15.75" hidden="1" outlineLevel="1">
      <c r="A87" s="66" t="s">
        <v>418</v>
      </c>
      <c r="B87" s="112" t="s">
        <v>419</v>
      </c>
      <c r="C87" s="113" t="s">
        <v>383</v>
      </c>
      <c r="D87" s="113" t="s">
        <v>352</v>
      </c>
    </row>
    <row r="88" spans="1:4" ht="15.75" hidden="1" outlineLevel="2">
      <c r="A88" s="38" t="s">
        <v>353</v>
      </c>
      <c r="B88" s="39" t="s">
        <v>420</v>
      </c>
      <c r="C88" s="38" t="s">
        <v>363</v>
      </c>
      <c r="D88" s="134">
        <f>IF(C99&gt;1,SUM(D89:D92)*2,SUM(D89:D92))</f>
        <v>2592.48</v>
      </c>
    </row>
    <row r="89" spans="1:4" ht="15.75" hidden="1" outlineLevel="3">
      <c r="A89" s="40" t="s">
        <v>421</v>
      </c>
      <c r="B89" s="41" t="s">
        <v>422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>
      <c r="A90" s="40" t="s">
        <v>423</v>
      </c>
      <c r="B90" s="41" t="s">
        <v>424</v>
      </c>
      <c r="C90" s="32">
        <f>1/12</f>
        <v>8.3299999999999999E-2</v>
      </c>
      <c r="D90" s="134">
        <f>C90*D89</f>
        <v>168.57</v>
      </c>
    </row>
    <row r="91" spans="1:4" ht="15.75" hidden="1" outlineLevel="3">
      <c r="A91" s="40" t="s">
        <v>425</v>
      </c>
      <c r="B91" s="41" t="s">
        <v>426</v>
      </c>
      <c r="C91" s="32">
        <f>(1/12)+(1/12/3)</f>
        <v>0.1111</v>
      </c>
      <c r="D91" s="135">
        <f>C91*D89</f>
        <v>224.83</v>
      </c>
    </row>
    <row r="92" spans="1:4" ht="15.75" hidden="1" outlineLevel="3">
      <c r="A92" s="40" t="s">
        <v>427</v>
      </c>
      <c r="B92" s="41" t="s">
        <v>428</v>
      </c>
      <c r="C92" s="42">
        <v>0.08</v>
      </c>
      <c r="D92" s="134">
        <f>SUM(D89:D90)*C92</f>
        <v>175.38</v>
      </c>
    </row>
    <row r="93" spans="1:4" ht="15.75" hidden="1" outlineLevel="2">
      <c r="A93" s="38" t="s">
        <v>322</v>
      </c>
      <c r="B93" s="39" t="s">
        <v>429</v>
      </c>
      <c r="C93" s="43">
        <v>0.4</v>
      </c>
      <c r="D93" s="134">
        <f>C93*D94</f>
        <v>1297.1300000000001</v>
      </c>
    </row>
    <row r="94" spans="1:4" ht="15.75" hidden="1" outlineLevel="3">
      <c r="A94" s="38" t="s">
        <v>430</v>
      </c>
      <c r="B94" s="39" t="s">
        <v>431</v>
      </c>
      <c r="C94" s="43">
        <f>C62</f>
        <v>0.08</v>
      </c>
      <c r="D94" s="134">
        <f>C94*D95</f>
        <v>3242.83</v>
      </c>
    </row>
    <row r="95" spans="1:4" ht="15.75" hidden="1" outlineLevel="3">
      <c r="A95" s="38" t="s">
        <v>432</v>
      </c>
      <c r="B95" s="44" t="s">
        <v>433</v>
      </c>
      <c r="C95" s="45" t="s">
        <v>363</v>
      </c>
      <c r="D95" s="135">
        <f>SUM(D96:D98)</f>
        <v>40535.379999999997</v>
      </c>
    </row>
    <row r="96" spans="1:4" ht="15.75" hidden="1" outlineLevel="3">
      <c r="A96" s="40" t="s">
        <v>434</v>
      </c>
      <c r="B96" s="41" t="s">
        <v>435</v>
      </c>
      <c r="C96" s="46">
        <f>C12-C98</f>
        <v>19</v>
      </c>
      <c r="D96" s="134">
        <f>D39*C96</f>
        <v>34954.870000000003</v>
      </c>
    </row>
    <row r="97" spans="1:4" ht="15.75" hidden="1" outlineLevel="3">
      <c r="A97" s="40" t="s">
        <v>436</v>
      </c>
      <c r="B97" s="41" t="s">
        <v>437</v>
      </c>
      <c r="C97" s="47">
        <f>C12/12</f>
        <v>1.7</v>
      </c>
      <c r="D97" s="134">
        <f>D39*C97</f>
        <v>3127.54</v>
      </c>
    </row>
    <row r="98" spans="1:4" ht="15.75" hidden="1" outlineLevel="3">
      <c r="A98" s="40" t="s">
        <v>438</v>
      </c>
      <c r="B98" s="41" t="s">
        <v>439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>
      <c r="A99" s="663" t="s">
        <v>176</v>
      </c>
      <c r="B99" s="664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>
      <c r="A100" s="697"/>
      <c r="B100" s="698"/>
      <c r="C100" s="698"/>
      <c r="D100" s="699"/>
    </row>
    <row r="101" spans="1:4" ht="15.75" hidden="1" outlineLevel="1">
      <c r="A101" s="66" t="s">
        <v>440</v>
      </c>
      <c r="B101" s="112" t="s">
        <v>441</v>
      </c>
      <c r="C101" s="113" t="s">
        <v>383</v>
      </c>
      <c r="D101" s="113" t="s">
        <v>352</v>
      </c>
    </row>
    <row r="102" spans="1:4" ht="15.75" hidden="1" outlineLevel="2">
      <c r="A102" s="38" t="s">
        <v>353</v>
      </c>
      <c r="B102" s="44" t="s">
        <v>442</v>
      </c>
      <c r="C102" s="48">
        <f>IF(C111&gt;1,(1/30*7)*2,(1/30*7))</f>
        <v>0.23330000000000001</v>
      </c>
      <c r="D102" s="135">
        <f>C102*SUM(D103:D107)</f>
        <v>797.69</v>
      </c>
    </row>
    <row r="103" spans="1:4" ht="15.75" hidden="1" outlineLevel="3">
      <c r="A103" s="40" t="s">
        <v>421</v>
      </c>
      <c r="B103" s="41" t="s">
        <v>443</v>
      </c>
      <c r="C103" s="38">
        <v>1</v>
      </c>
      <c r="D103" s="134">
        <f>D39</f>
        <v>1839.73</v>
      </c>
    </row>
    <row r="104" spans="1:4" ht="15.75" hidden="1" outlineLevel="3">
      <c r="A104" s="40" t="s">
        <v>423</v>
      </c>
      <c r="B104" s="41" t="s">
        <v>444</v>
      </c>
      <c r="C104" s="32">
        <f>1/12</f>
        <v>8.3299999999999999E-2</v>
      </c>
      <c r="D104" s="134">
        <f>C104*D103</f>
        <v>153.25</v>
      </c>
    </row>
    <row r="105" spans="1:4" ht="15.75" hidden="1" outlineLevel="3">
      <c r="A105" s="40" t="s">
        <v>425</v>
      </c>
      <c r="B105" s="41" t="s">
        <v>445</v>
      </c>
      <c r="C105" s="32">
        <f>(1/12)+(1/12/3)</f>
        <v>0.1111</v>
      </c>
      <c r="D105" s="134">
        <f>C105*D103</f>
        <v>204.39</v>
      </c>
    </row>
    <row r="106" spans="1:4" ht="15.75" hidden="1" outlineLevel="3">
      <c r="A106" s="40" t="s">
        <v>427</v>
      </c>
      <c r="B106" s="49" t="s">
        <v>446</v>
      </c>
      <c r="C106" s="50">
        <f>C63</f>
        <v>0.36799999999999999</v>
      </c>
      <c r="D106" s="135">
        <f>C106*(D103+D104)</f>
        <v>733.42</v>
      </c>
    </row>
    <row r="107" spans="1:4" ht="15.75" hidden="1" outlineLevel="3">
      <c r="A107" s="40" t="s">
        <v>447</v>
      </c>
      <c r="B107" s="49" t="s">
        <v>448</v>
      </c>
      <c r="C107" s="45">
        <v>1</v>
      </c>
      <c r="D107" s="135">
        <f>D77</f>
        <v>488.37</v>
      </c>
    </row>
    <row r="108" spans="1:4" ht="15.75" hidden="1" outlineLevel="2">
      <c r="A108" s="38" t="s">
        <v>322</v>
      </c>
      <c r="B108" s="39" t="s">
        <v>449</v>
      </c>
      <c r="C108" s="43">
        <v>0.4</v>
      </c>
      <c r="D108" s="134">
        <f>C108*D109</f>
        <v>1297.1300000000001</v>
      </c>
    </row>
    <row r="109" spans="1:4" ht="15.75" hidden="1" outlineLevel="2">
      <c r="A109" s="38" t="s">
        <v>430</v>
      </c>
      <c r="B109" s="39" t="s">
        <v>431</v>
      </c>
      <c r="C109" s="43">
        <f>C62</f>
        <v>0.08</v>
      </c>
      <c r="D109" s="134">
        <f>C109*D110</f>
        <v>3242.83</v>
      </c>
    </row>
    <row r="110" spans="1:4" ht="15.75" hidden="1" outlineLevel="2">
      <c r="A110" s="38" t="s">
        <v>432</v>
      </c>
      <c r="B110" s="44" t="s">
        <v>433</v>
      </c>
      <c r="C110" s="45" t="s">
        <v>363</v>
      </c>
      <c r="D110" s="135">
        <f>D95</f>
        <v>40535.379999999997</v>
      </c>
    </row>
    <row r="111" spans="1:4" ht="15.75" hidden="1" outlineLevel="1">
      <c r="A111" s="663" t="s">
        <v>176</v>
      </c>
      <c r="B111" s="664"/>
      <c r="C111" s="69">
        <f>'SR - ASG'!C111</f>
        <v>0.94450000000000001</v>
      </c>
      <c r="D111" s="119">
        <f>IF(C111&gt;1,D102+D108,(D102+D108)*C111)</f>
        <v>1978.56</v>
      </c>
    </row>
    <row r="112" spans="1:4" ht="15.75" hidden="1" outlineLevel="1">
      <c r="A112" s="697"/>
      <c r="B112" s="698"/>
      <c r="C112" s="698"/>
      <c r="D112" s="699"/>
    </row>
    <row r="113" spans="1:4" ht="15.75" hidden="1" outlineLevel="1">
      <c r="A113" s="66" t="s">
        <v>450</v>
      </c>
      <c r="B113" s="112" t="s">
        <v>451</v>
      </c>
      <c r="C113" s="113" t="s">
        <v>383</v>
      </c>
      <c r="D113" s="113" t="s">
        <v>352</v>
      </c>
    </row>
    <row r="114" spans="1:4" ht="15.75" hidden="1" outlineLevel="2">
      <c r="A114" s="114" t="s">
        <v>353</v>
      </c>
      <c r="B114" s="34" t="s">
        <v>452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>
      <c r="A115" s="114" t="s">
        <v>322</v>
      </c>
      <c r="B115" s="51" t="s">
        <v>453</v>
      </c>
      <c r="C115" s="37">
        <f>C114/3</f>
        <v>1.11E-2</v>
      </c>
      <c r="D115" s="137">
        <f>C115*D39</f>
        <v>20.420000000000002</v>
      </c>
    </row>
    <row r="116" spans="1:4" ht="15.75" hidden="1" outlineLevel="1">
      <c r="A116" s="663" t="s">
        <v>176</v>
      </c>
      <c r="B116" s="664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>
      <c r="A117" s="697"/>
      <c r="B117" s="698"/>
      <c r="C117" s="698"/>
      <c r="D117" s="699"/>
    </row>
    <row r="118" spans="1:4" ht="15.75" hidden="1" outlineLevel="1">
      <c r="A118" s="701" t="s">
        <v>454</v>
      </c>
      <c r="B118" s="702"/>
      <c r="C118" s="113" t="s">
        <v>383</v>
      </c>
      <c r="D118" s="113" t="s">
        <v>352</v>
      </c>
    </row>
    <row r="119" spans="1:4" ht="15.75" hidden="1" outlineLevel="1">
      <c r="A119" s="114" t="s">
        <v>418</v>
      </c>
      <c r="B119" s="34" t="s">
        <v>419</v>
      </c>
      <c r="C119" s="37">
        <f>C99</f>
        <v>5.5500000000000001E-2</v>
      </c>
      <c r="D119" s="107">
        <f>D99</f>
        <v>215.87</v>
      </c>
    </row>
    <row r="120" spans="1:4" ht="15.75" hidden="1" outlineLevel="1">
      <c r="A120" s="116" t="s">
        <v>440</v>
      </c>
      <c r="B120" s="34" t="s">
        <v>441</v>
      </c>
      <c r="C120" s="52">
        <f>C111</f>
        <v>0.94450000000000001</v>
      </c>
      <c r="D120" s="107">
        <f>D111</f>
        <v>1978.56</v>
      </c>
    </row>
    <row r="121" spans="1:4" ht="15.75" hidden="1" outlineLevel="1">
      <c r="A121" s="707" t="s">
        <v>455</v>
      </c>
      <c r="B121" s="707"/>
      <c r="C121" s="707"/>
      <c r="D121" s="138">
        <f>D119+D120</f>
        <v>2194.4299999999998</v>
      </c>
    </row>
    <row r="122" spans="1:4" ht="15.75" hidden="1" outlineLevel="1">
      <c r="A122" s="703" t="s">
        <v>456</v>
      </c>
      <c r="B122" s="704"/>
      <c r="C122" s="70">
        <f>'SR - ASG'!C122</f>
        <v>0.63570000000000004</v>
      </c>
      <c r="D122" s="61">
        <f>C122*D121</f>
        <v>1395</v>
      </c>
    </row>
    <row r="123" spans="1:4" ht="15.75" hidden="1" outlineLevel="1">
      <c r="A123" s="703" t="s">
        <v>457</v>
      </c>
      <c r="B123" s="70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>
      <c r="A124" s="705" t="s">
        <v>458</v>
      </c>
      <c r="B124" s="706"/>
      <c r="C124" s="74">
        <f>1/C12</f>
        <v>0.05</v>
      </c>
      <c r="D124" s="62">
        <f>(D122+D123)*C124</f>
        <v>69.64</v>
      </c>
    </row>
    <row r="125" spans="1:4" ht="15.75" hidden="1" outlineLevel="1">
      <c r="A125" s="116" t="s">
        <v>450</v>
      </c>
      <c r="B125" s="34" t="s">
        <v>459</v>
      </c>
      <c r="C125" s="52"/>
      <c r="D125" s="127">
        <f>D116</f>
        <v>81.680000000000007</v>
      </c>
    </row>
    <row r="126" spans="1:4" ht="15.75" collapsed="1">
      <c r="A126" s="663" t="s">
        <v>176</v>
      </c>
      <c r="B126" s="664"/>
      <c r="C126" s="33"/>
      <c r="D126" s="139">
        <f>D124+D125</f>
        <v>151.32</v>
      </c>
    </row>
    <row r="127" spans="1:4" ht="15.75">
      <c r="A127" s="665"/>
      <c r="B127" s="666"/>
      <c r="C127" s="666"/>
      <c r="D127" s="667"/>
    </row>
    <row r="128" spans="1:4" ht="15.75">
      <c r="A128" s="668" t="s">
        <v>460</v>
      </c>
      <c r="B128" s="669"/>
      <c r="C128" s="669"/>
      <c r="D128" s="670"/>
    </row>
    <row r="129" spans="1:4" ht="15.75" hidden="1" outlineLevel="1">
      <c r="A129" s="697"/>
      <c r="B129" s="698"/>
      <c r="C129" s="698"/>
      <c r="D129" s="699"/>
    </row>
    <row r="130" spans="1:4" ht="15.75" hidden="1" outlineLevel="1">
      <c r="A130" s="113" t="s">
        <v>461</v>
      </c>
      <c r="B130" s="120" t="s">
        <v>462</v>
      </c>
      <c r="C130" s="33" t="s">
        <v>383</v>
      </c>
      <c r="D130" s="113" t="s">
        <v>352</v>
      </c>
    </row>
    <row r="131" spans="1:4" ht="15.75" hidden="1" outlineLevel="2">
      <c r="A131" s="140" t="s">
        <v>353</v>
      </c>
      <c r="B131" s="91" t="s">
        <v>463</v>
      </c>
      <c r="C131" s="53">
        <f>IF(C12&gt;60,5/C12,IF(C12&gt;48,4/C12,IF(C12&gt;36,3/C12,IF(C12&gt;24,2/C12,IF(C12&gt;12,1/C12,0)))))</f>
        <v>0.05</v>
      </c>
      <c r="D131" s="136">
        <f>SUM(D132:D136)</f>
        <v>118.85</v>
      </c>
    </row>
    <row r="132" spans="1:4" ht="15.75" hidden="1" outlineLevel="3">
      <c r="A132" s="141" t="s">
        <v>464</v>
      </c>
      <c r="B132" s="92" t="s">
        <v>465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>
      <c r="A133" s="141" t="s">
        <v>466</v>
      </c>
      <c r="B133" s="92" t="s">
        <v>467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>
      <c r="A134" s="141" t="s">
        <v>468</v>
      </c>
      <c r="B134" s="92" t="s">
        <v>469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>
      <c r="A135" s="141" t="s">
        <v>470</v>
      </c>
      <c r="B135" s="92" t="s">
        <v>471</v>
      </c>
      <c r="C135" s="93">
        <f>C63</f>
        <v>0.36799999999999999</v>
      </c>
      <c r="D135" s="143">
        <f>SUM(D132:D134)*C131</f>
        <v>5.49</v>
      </c>
    </row>
    <row r="136" spans="1:4" ht="15.75" hidden="1" outlineLevel="3">
      <c r="A136" s="141" t="s">
        <v>472</v>
      </c>
      <c r="B136" s="92" t="s">
        <v>473</v>
      </c>
      <c r="C136" s="144">
        <f>D124</f>
        <v>69.64</v>
      </c>
      <c r="D136" s="143">
        <f>C136*C131</f>
        <v>3.48</v>
      </c>
    </row>
    <row r="137" spans="1:4" ht="15.75" hidden="1" outlineLevel="2">
      <c r="A137" s="114" t="s">
        <v>322</v>
      </c>
      <c r="B137" s="34" t="s">
        <v>474</v>
      </c>
      <c r="C137" s="94">
        <v>0</v>
      </c>
      <c r="D137" s="127">
        <f>$C$131*(D39)*(C137/3)</f>
        <v>0</v>
      </c>
    </row>
    <row r="138" spans="1:4" ht="15.75" hidden="1" outlineLevel="1">
      <c r="A138" s="663" t="s">
        <v>475</v>
      </c>
      <c r="B138" s="664"/>
      <c r="C138" s="33">
        <f>C131+(D137/D39)</f>
        <v>0.05</v>
      </c>
      <c r="D138" s="119">
        <f>SUM(D131:D137)</f>
        <v>237.7</v>
      </c>
    </row>
    <row r="139" spans="1:4" ht="15.75" hidden="1" outlineLevel="1">
      <c r="A139" s="697"/>
      <c r="B139" s="698"/>
      <c r="C139" s="698"/>
      <c r="D139" s="699"/>
    </row>
    <row r="140" spans="1:4" ht="15.75" hidden="1" outlineLevel="2">
      <c r="A140" s="710" t="s">
        <v>476</v>
      </c>
      <c r="B140" s="145" t="s">
        <v>435</v>
      </c>
      <c r="C140" s="95">
        <v>220</v>
      </c>
      <c r="D140" s="146">
        <f>D39</f>
        <v>1839.73</v>
      </c>
    </row>
    <row r="141" spans="1:4" ht="15.75" hidden="1" outlineLevel="2">
      <c r="A141" s="711"/>
      <c r="B141" s="145" t="s">
        <v>477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>
      <c r="A142" s="711"/>
      <c r="B142" s="145" t="s">
        <v>478</v>
      </c>
      <c r="C142" s="53">
        <f>C63</f>
        <v>0.36799999999999999</v>
      </c>
      <c r="D142" s="147">
        <f>(D140+D141)*C142</f>
        <v>808.63</v>
      </c>
    </row>
    <row r="143" spans="1:4" ht="15.75" hidden="1" outlineLevel="2">
      <c r="A143" s="711"/>
      <c r="B143" s="145" t="s">
        <v>479</v>
      </c>
      <c r="C143" s="53">
        <f>D143/D140</f>
        <v>0.26550000000000001</v>
      </c>
      <c r="D143" s="147">
        <f>D77</f>
        <v>488.37</v>
      </c>
    </row>
    <row r="144" spans="1:4" ht="15.75" hidden="1" outlineLevel="2">
      <c r="A144" s="712"/>
      <c r="B144" s="148" t="s">
        <v>480</v>
      </c>
      <c r="C144" s="53">
        <f>D144/D140</f>
        <v>3.7900000000000003E-2</v>
      </c>
      <c r="D144" s="147">
        <f>D124</f>
        <v>69.64</v>
      </c>
    </row>
    <row r="145" spans="1:4" ht="15.75" hidden="1" outlineLevel="2">
      <c r="A145" s="713" t="s">
        <v>481</v>
      </c>
      <c r="B145" s="714"/>
      <c r="C145" s="96">
        <f>D145/D140</f>
        <v>1.9372</v>
      </c>
      <c r="D145" s="149">
        <f>SUM(D140:D144)</f>
        <v>3564.01</v>
      </c>
    </row>
    <row r="146" spans="1:4" ht="15.75" hidden="1" outlineLevel="2">
      <c r="A146" s="715"/>
      <c r="B146" s="715"/>
      <c r="C146" s="715"/>
      <c r="D146" s="716"/>
    </row>
    <row r="147" spans="1:4" ht="15.75" hidden="1" outlineLevel="1">
      <c r="A147" s="113" t="s">
        <v>482</v>
      </c>
      <c r="B147" s="120" t="s">
        <v>483</v>
      </c>
      <c r="C147" s="33" t="s">
        <v>383</v>
      </c>
      <c r="D147" s="113" t="s">
        <v>352</v>
      </c>
    </row>
    <row r="148" spans="1:4" ht="15.75" hidden="1" outlineLevel="2">
      <c r="A148" s="114" t="s">
        <v>322</v>
      </c>
      <c r="B148" s="34" t="s">
        <v>484</v>
      </c>
      <c r="C148" s="79">
        <f>5/252</f>
        <v>1.9800000000000002E-2</v>
      </c>
      <c r="D148" s="136">
        <f>C148*$D$145</f>
        <v>70.569999999999993</v>
      </c>
    </row>
    <row r="149" spans="1:4" ht="15.75" hidden="1" outlineLevel="2">
      <c r="A149" s="114" t="s">
        <v>325</v>
      </c>
      <c r="B149" s="34" t="s">
        <v>485</v>
      </c>
      <c r="C149" s="79">
        <f>1.383/252</f>
        <v>5.4999999999999997E-3</v>
      </c>
      <c r="D149" s="136">
        <f>C149*$D$145</f>
        <v>19.600000000000001</v>
      </c>
    </row>
    <row r="150" spans="1:4" ht="15.75" hidden="1" outlineLevel="2">
      <c r="A150" s="114" t="s">
        <v>328</v>
      </c>
      <c r="B150" s="34" t="s">
        <v>486</v>
      </c>
      <c r="C150" s="79">
        <f>1.3892/252</f>
        <v>5.4999999999999997E-3</v>
      </c>
      <c r="D150" s="136">
        <f t="shared" ref="D150:D153" si="1">C150*$D$145</f>
        <v>19.600000000000001</v>
      </c>
    </row>
    <row r="151" spans="1:4" ht="15.75" hidden="1" outlineLevel="2">
      <c r="A151" s="114" t="s">
        <v>331</v>
      </c>
      <c r="B151" s="34" t="s">
        <v>487</v>
      </c>
      <c r="C151" s="79">
        <f>0.65/252</f>
        <v>2.5999999999999999E-3</v>
      </c>
      <c r="D151" s="136">
        <f t="shared" si="1"/>
        <v>9.27</v>
      </c>
    </row>
    <row r="152" spans="1:4" ht="15.75" hidden="1" outlineLevel="2">
      <c r="A152" s="114" t="s">
        <v>334</v>
      </c>
      <c r="B152" s="34" t="s">
        <v>488</v>
      </c>
      <c r="C152" s="79">
        <f>0.5052/252</f>
        <v>2E-3</v>
      </c>
      <c r="D152" s="136">
        <f t="shared" si="1"/>
        <v>7.13</v>
      </c>
    </row>
    <row r="153" spans="1:4" ht="15.75" hidden="1" outlineLevel="2">
      <c r="A153" s="114" t="s">
        <v>353</v>
      </c>
      <c r="B153" s="63" t="s">
        <v>489</v>
      </c>
      <c r="C153" s="71">
        <f>0.2/252</f>
        <v>8.0000000000000004E-4</v>
      </c>
      <c r="D153" s="136">
        <f t="shared" si="1"/>
        <v>2.85</v>
      </c>
    </row>
    <row r="154" spans="1:4" ht="15.75" hidden="1" outlineLevel="1">
      <c r="A154" s="663" t="s">
        <v>475</v>
      </c>
      <c r="B154" s="664"/>
      <c r="C154" s="33">
        <f>SUM(C148:C153)</f>
        <v>3.6200000000000003E-2</v>
      </c>
      <c r="D154" s="119">
        <f>SUM(D148:D153)</f>
        <v>129.02000000000001</v>
      </c>
    </row>
    <row r="155" spans="1:4" ht="15.75" hidden="1" outlineLevel="1">
      <c r="A155" s="697"/>
      <c r="B155" s="698"/>
      <c r="C155" s="698"/>
      <c r="D155" s="699"/>
    </row>
    <row r="156" spans="1:4" ht="15.75" hidden="1" outlineLevel="1">
      <c r="A156" s="701" t="s">
        <v>490</v>
      </c>
      <c r="B156" s="708"/>
      <c r="C156" s="33" t="s">
        <v>491</v>
      </c>
      <c r="D156" s="113" t="s">
        <v>352</v>
      </c>
    </row>
    <row r="157" spans="1:4" ht="15.75" hidden="1" outlineLevel="2">
      <c r="A157" s="709" t="s">
        <v>492</v>
      </c>
      <c r="B157" s="145" t="s">
        <v>493</v>
      </c>
      <c r="C157" s="97">
        <f>C153</f>
        <v>8.0000000000000004E-4</v>
      </c>
      <c r="D157" s="150">
        <f>C157*-D140</f>
        <v>-1.47</v>
      </c>
    </row>
    <row r="158" spans="1:4" ht="15.75" hidden="1" outlineLevel="2">
      <c r="A158" s="709"/>
      <c r="B158" s="151" t="s">
        <v>494</v>
      </c>
      <c r="C158" s="98">
        <v>0</v>
      </c>
      <c r="D158" s="152">
        <f>C158*-(D140/220/24*5)</f>
        <v>0</v>
      </c>
    </row>
    <row r="159" spans="1:4" ht="15.75" hidden="1" outlineLevel="2">
      <c r="A159" s="709"/>
      <c r="B159" s="151" t="s">
        <v>495</v>
      </c>
      <c r="C159" s="98">
        <v>0</v>
      </c>
      <c r="D159" s="152">
        <f>C159*-D141</f>
        <v>0</v>
      </c>
    </row>
    <row r="160" spans="1:4" ht="15.75" hidden="1" outlineLevel="2">
      <c r="A160" s="709"/>
      <c r="B160" s="145" t="s">
        <v>496</v>
      </c>
      <c r="C160" s="97">
        <f>C154</f>
        <v>3.6200000000000003E-2</v>
      </c>
      <c r="D160" s="150">
        <f>C160*-D66</f>
        <v>-3.84</v>
      </c>
    </row>
    <row r="161" spans="1:4" ht="15.75" hidden="1" outlineLevel="2">
      <c r="A161" s="709"/>
      <c r="B161" s="145" t="s">
        <v>497</v>
      </c>
      <c r="C161" s="97">
        <f>C154</f>
        <v>3.6200000000000003E-2</v>
      </c>
      <c r="D161" s="150">
        <f>C161*-D69</f>
        <v>-12.43</v>
      </c>
    </row>
    <row r="162" spans="1:4" ht="15.75" hidden="1" outlineLevel="2">
      <c r="A162" s="709"/>
      <c r="B162" s="148" t="s">
        <v>498</v>
      </c>
      <c r="C162" s="97">
        <f>C153</f>
        <v>8.0000000000000004E-4</v>
      </c>
      <c r="D162" s="150">
        <f>C162*-D74</f>
        <v>-0.02</v>
      </c>
    </row>
    <row r="163" spans="1:4" ht="15.75" hidden="1" outlineLevel="2">
      <c r="A163" s="709"/>
      <c r="B163" s="148" t="s">
        <v>499</v>
      </c>
      <c r="C163" s="99">
        <f>C152</f>
        <v>2E-3</v>
      </c>
      <c r="D163" s="136">
        <f>C163*-SUM(D55:D61)</f>
        <v>-1.17</v>
      </c>
    </row>
    <row r="164" spans="1:4" ht="15.75" hidden="1" outlineLevel="2">
      <c r="A164" s="709"/>
      <c r="B164" s="145" t="s">
        <v>500</v>
      </c>
      <c r="C164" s="97">
        <f>C153</f>
        <v>8.0000000000000004E-4</v>
      </c>
      <c r="D164" s="150">
        <f>C164*-D142</f>
        <v>-0.65</v>
      </c>
    </row>
    <row r="165" spans="1:4" ht="15.75" hidden="1" outlineLevel="1">
      <c r="A165" s="663" t="s">
        <v>501</v>
      </c>
      <c r="B165" s="664"/>
      <c r="C165" s="33">
        <f>D165/D140</f>
        <v>-1.06E-2</v>
      </c>
      <c r="D165" s="119">
        <f>SUM(D157:D164)</f>
        <v>-19.579999999999998</v>
      </c>
    </row>
    <row r="166" spans="1:4" ht="15.75" hidden="1" outlineLevel="1">
      <c r="A166" s="697"/>
      <c r="B166" s="698"/>
      <c r="C166" s="698"/>
      <c r="D166" s="699"/>
    </row>
    <row r="167" spans="1:4" ht="15.75" hidden="1" outlineLevel="1">
      <c r="A167" s="663" t="s">
        <v>502</v>
      </c>
      <c r="B167" s="664"/>
      <c r="C167" s="33">
        <f>D167/D140</f>
        <v>5.9499999999999997E-2</v>
      </c>
      <c r="D167" s="119">
        <f>D154+D165</f>
        <v>109.44</v>
      </c>
    </row>
    <row r="168" spans="1:4" ht="15.75" hidden="1" outlineLevel="1">
      <c r="A168" s="697"/>
      <c r="B168" s="698"/>
      <c r="C168" s="698"/>
      <c r="D168" s="699"/>
    </row>
    <row r="169" spans="1:4" ht="15.75" hidden="1" outlineLevel="1">
      <c r="A169" s="701" t="s">
        <v>503</v>
      </c>
      <c r="B169" s="702"/>
      <c r="C169" s="113" t="s">
        <v>383</v>
      </c>
      <c r="D169" s="113" t="s">
        <v>352</v>
      </c>
    </row>
    <row r="170" spans="1:4" ht="15.75" hidden="1" outlineLevel="1">
      <c r="A170" s="114" t="s">
        <v>461</v>
      </c>
      <c r="B170" s="34" t="s">
        <v>462</v>
      </c>
      <c r="C170" s="37"/>
      <c r="D170" s="153">
        <f>D138</f>
        <v>237.7</v>
      </c>
    </row>
    <row r="171" spans="1:4" ht="15.75" hidden="1" outlineLevel="1">
      <c r="A171" s="114" t="s">
        <v>482</v>
      </c>
      <c r="B171" s="34" t="s">
        <v>483</v>
      </c>
      <c r="C171" s="37"/>
      <c r="D171" s="153">
        <f>D167</f>
        <v>109.44</v>
      </c>
    </row>
    <row r="172" spans="1:4" ht="15.75" collapsed="1">
      <c r="A172" s="663" t="s">
        <v>176</v>
      </c>
      <c r="B172" s="700"/>
      <c r="C172" s="664"/>
      <c r="D172" s="122">
        <f>SUM(D170:D171)</f>
        <v>347.14</v>
      </c>
    </row>
    <row r="173" spans="1:4" ht="15.75">
      <c r="A173" s="697"/>
      <c r="B173" s="698"/>
      <c r="C173" s="698"/>
      <c r="D173" s="699"/>
    </row>
    <row r="174" spans="1:4" ht="15.75">
      <c r="A174" s="668" t="s">
        <v>504</v>
      </c>
      <c r="B174" s="669"/>
      <c r="C174" s="669"/>
      <c r="D174" s="670"/>
    </row>
    <row r="175" spans="1:4" ht="15.75" hidden="1" outlineLevel="1">
      <c r="A175" s="697"/>
      <c r="B175" s="698"/>
      <c r="C175" s="698"/>
      <c r="D175" s="699"/>
    </row>
    <row r="176" spans="1:4" ht="15.75" hidden="1" outlineLevel="1">
      <c r="A176" s="66">
        <v>5</v>
      </c>
      <c r="B176" s="663" t="s">
        <v>505</v>
      </c>
      <c r="C176" s="664"/>
      <c r="D176" s="113" t="s">
        <v>352</v>
      </c>
    </row>
    <row r="177" spans="1:4" ht="15.75" hidden="1" outlineLevel="1">
      <c r="A177" s="114" t="s">
        <v>353</v>
      </c>
      <c r="B177" s="717" t="s">
        <v>506</v>
      </c>
      <c r="C177" s="718"/>
      <c r="D177" s="136">
        <f>INSUMOS!H14</f>
        <v>25.55</v>
      </c>
    </row>
    <row r="178" spans="1:4" ht="15.75" hidden="1" outlineLevel="1">
      <c r="A178" s="114" t="s">
        <v>322</v>
      </c>
      <c r="B178" s="717" t="s">
        <v>541</v>
      </c>
      <c r="C178" s="718"/>
      <c r="D178" s="154">
        <f>INSUMOS!H36</f>
        <v>38.97</v>
      </c>
    </row>
    <row r="179" spans="1:4" ht="15.75" hidden="1" outlineLevel="1">
      <c r="A179" s="114" t="s">
        <v>325</v>
      </c>
      <c r="B179" s="649" t="s">
        <v>508</v>
      </c>
      <c r="C179" s="650"/>
      <c r="D179" s="154">
        <f>MATERIAIS!R109</f>
        <v>748.33</v>
      </c>
    </row>
    <row r="180" spans="1:4" ht="15.75" hidden="1" outlineLevel="1">
      <c r="A180" s="114" t="s">
        <v>328</v>
      </c>
      <c r="B180" s="649" t="s">
        <v>509</v>
      </c>
      <c r="C180" s="650"/>
      <c r="D180" s="154">
        <f>EQUIPAMENTOS!S111</f>
        <v>56.72</v>
      </c>
    </row>
    <row r="181" spans="1:4" ht="15.75" hidden="1" outlineLevel="1">
      <c r="A181" s="114" t="s">
        <v>331</v>
      </c>
      <c r="B181" s="651" t="s">
        <v>372</v>
      </c>
      <c r="C181" s="652"/>
      <c r="D181" s="133">
        <v>0</v>
      </c>
    </row>
    <row r="182" spans="1:4" ht="15.75" hidden="1" outlineLevel="1">
      <c r="A182" s="114" t="s">
        <v>334</v>
      </c>
      <c r="B182" s="651" t="s">
        <v>372</v>
      </c>
      <c r="C182" s="652"/>
      <c r="D182" s="133">
        <v>0</v>
      </c>
    </row>
    <row r="183" spans="1:4" ht="15.75" collapsed="1">
      <c r="A183" s="663" t="s">
        <v>176</v>
      </c>
      <c r="B183" s="700"/>
      <c r="C183" s="664"/>
      <c r="D183" s="119">
        <f>SUM(D177:D181)</f>
        <v>869.57</v>
      </c>
    </row>
    <row r="184" spans="1:4" ht="15.75">
      <c r="A184" s="665"/>
      <c r="B184" s="666"/>
      <c r="C184" s="666"/>
      <c r="D184" s="667"/>
    </row>
    <row r="185" spans="1:4" ht="15.75">
      <c r="A185" s="723" t="s">
        <v>510</v>
      </c>
      <c r="B185" s="723"/>
      <c r="C185" s="723"/>
      <c r="D185" s="155">
        <f>D39+D83+D126+D172+D183</f>
        <v>4624.83</v>
      </c>
    </row>
    <row r="186" spans="1:4" ht="15.75">
      <c r="A186" s="679"/>
      <c r="B186" s="679"/>
      <c r="C186" s="679"/>
      <c r="D186" s="679"/>
    </row>
    <row r="187" spans="1:4" ht="15.75">
      <c r="A187" s="724" t="s">
        <v>511</v>
      </c>
      <c r="B187" s="724"/>
      <c r="C187" s="724"/>
      <c r="D187" s="724"/>
    </row>
    <row r="188" spans="1:4" ht="15.75" hidden="1" outlineLevel="1">
      <c r="A188" s="725"/>
      <c r="B188" s="726"/>
      <c r="C188" s="726"/>
      <c r="D188" s="727"/>
    </row>
    <row r="189" spans="1:4" ht="15.75" hidden="1" outlineLevel="1">
      <c r="A189" s="66">
        <v>6</v>
      </c>
      <c r="B189" s="120" t="s">
        <v>512</v>
      </c>
      <c r="C189" s="113" t="s">
        <v>383</v>
      </c>
      <c r="D189" s="113" t="s">
        <v>352</v>
      </c>
    </row>
    <row r="190" spans="1:4" ht="15.75" hidden="1" outlineLevel="1">
      <c r="A190" s="114" t="s">
        <v>353</v>
      </c>
      <c r="B190" s="34" t="s">
        <v>513</v>
      </c>
      <c r="C190" s="72">
        <f>'SR - ASG'!C189</f>
        <v>2.6499999999999999E-2</v>
      </c>
      <c r="D190" s="108">
        <f>C190*D185</f>
        <v>122.56</v>
      </c>
    </row>
    <row r="191" spans="1:4" ht="15.75" hidden="1" outlineLevel="1">
      <c r="A191" s="719" t="s">
        <v>514</v>
      </c>
      <c r="B191" s="720"/>
      <c r="C191" s="722"/>
      <c r="D191" s="108">
        <f>D185+D190</f>
        <v>4747.3900000000003</v>
      </c>
    </row>
    <row r="192" spans="1:4" ht="15.75" hidden="1" outlineLevel="1">
      <c r="A192" s="114" t="s">
        <v>322</v>
      </c>
      <c r="B192" s="34" t="s">
        <v>515</v>
      </c>
      <c r="C192" s="72">
        <f>'SR - ASG'!C191</f>
        <v>0.1087</v>
      </c>
      <c r="D192" s="108">
        <f>C192*D191</f>
        <v>516.04</v>
      </c>
    </row>
    <row r="193" spans="1:4" ht="15.75" hidden="1" outlineLevel="1">
      <c r="A193" s="719" t="s">
        <v>514</v>
      </c>
      <c r="B193" s="720"/>
      <c r="C193" s="720"/>
      <c r="D193" s="108">
        <f>D192+D191</f>
        <v>5263.43</v>
      </c>
    </row>
    <row r="194" spans="1:4" ht="15.75" hidden="1" outlineLevel="1">
      <c r="A194" s="114" t="s">
        <v>325</v>
      </c>
      <c r="B194" s="649" t="s">
        <v>516</v>
      </c>
      <c r="C194" s="721"/>
      <c r="D194" s="650"/>
    </row>
    <row r="195" spans="1:4" ht="15.75" hidden="1" outlineLevel="1">
      <c r="A195" s="156"/>
      <c r="B195" s="65" t="s">
        <v>517</v>
      </c>
      <c r="C195" s="72">
        <v>6.4999999999999997E-3</v>
      </c>
      <c r="D195" s="108">
        <f>(D193/(1-C198)*C195)</f>
        <v>36.65</v>
      </c>
    </row>
    <row r="196" spans="1:4" ht="15.75" hidden="1" outlineLevel="1">
      <c r="A196" s="156"/>
      <c r="B196" s="65" t="s">
        <v>518</v>
      </c>
      <c r="C196" s="72">
        <v>0.03</v>
      </c>
      <c r="D196" s="108">
        <f>(D193/(1-C198)*C196)</f>
        <v>169.15</v>
      </c>
    </row>
    <row r="197" spans="1:4" ht="15.75" hidden="1" outlineLevel="1">
      <c r="A197" s="156"/>
      <c r="B197" s="65" t="s">
        <v>560</v>
      </c>
      <c r="C197" s="54">
        <v>0.03</v>
      </c>
      <c r="D197" s="108">
        <f>(D193/(1-C198)*C197)</f>
        <v>169.15</v>
      </c>
    </row>
    <row r="198" spans="1:4" ht="15.75" hidden="1" outlineLevel="1">
      <c r="A198" s="719" t="s">
        <v>520</v>
      </c>
      <c r="B198" s="722"/>
      <c r="C198" s="55">
        <f>SUM(C195:C197)</f>
        <v>6.6500000000000004E-2</v>
      </c>
      <c r="D198" s="108">
        <f>SUM(D195:D197)</f>
        <v>374.95</v>
      </c>
    </row>
    <row r="199" spans="1:4" ht="15.75" collapsed="1">
      <c r="A199" s="663" t="s">
        <v>176</v>
      </c>
      <c r="B199" s="664"/>
      <c r="C199" s="56">
        <f>(1+C190)*(1+C192)*(1/(1-C198))-1</f>
        <v>0.21920000000000001</v>
      </c>
      <c r="D199" s="111">
        <f>SUM(D198+D190+D192)</f>
        <v>1013.55</v>
      </c>
    </row>
    <row r="200" spans="1:4" ht="15.75">
      <c r="A200" s="665"/>
      <c r="B200" s="666"/>
      <c r="C200" s="666"/>
      <c r="D200" s="667"/>
    </row>
    <row r="201" spans="1:4" ht="15.75">
      <c r="A201" s="676" t="s">
        <v>521</v>
      </c>
      <c r="B201" s="678"/>
      <c r="C201" s="677"/>
      <c r="D201" s="57" t="s">
        <v>352</v>
      </c>
    </row>
    <row r="202" spans="1:4" ht="15.75">
      <c r="A202" s="661" t="s">
        <v>522</v>
      </c>
      <c r="B202" s="728"/>
      <c r="C202" s="728"/>
      <c r="D202" s="662"/>
    </row>
    <row r="203" spans="1:4" ht="15.75">
      <c r="A203" s="67" t="s">
        <v>353</v>
      </c>
      <c r="B203" s="661" t="s">
        <v>523</v>
      </c>
      <c r="C203" s="662"/>
      <c r="D203" s="107">
        <f>D39</f>
        <v>1839.73</v>
      </c>
    </row>
    <row r="204" spans="1:4" ht="15.75">
      <c r="A204" s="67" t="s">
        <v>322</v>
      </c>
      <c r="B204" s="661" t="s">
        <v>524</v>
      </c>
      <c r="C204" s="662"/>
      <c r="D204" s="107">
        <f>D83</f>
        <v>1417.07</v>
      </c>
    </row>
    <row r="205" spans="1:4" ht="15.75">
      <c r="A205" s="67" t="s">
        <v>325</v>
      </c>
      <c r="B205" s="661" t="s">
        <v>525</v>
      </c>
      <c r="C205" s="662"/>
      <c r="D205" s="107">
        <f>D126</f>
        <v>151.32</v>
      </c>
    </row>
    <row r="206" spans="1:4" ht="15.75">
      <c r="A206" s="67" t="s">
        <v>328</v>
      </c>
      <c r="B206" s="661" t="s">
        <v>526</v>
      </c>
      <c r="C206" s="662"/>
      <c r="D206" s="107">
        <f>D172</f>
        <v>347.14</v>
      </c>
    </row>
    <row r="207" spans="1:4" ht="15.75">
      <c r="A207" s="67" t="s">
        <v>331</v>
      </c>
      <c r="B207" s="661" t="s">
        <v>527</v>
      </c>
      <c r="C207" s="662"/>
      <c r="D207" s="107">
        <f>D183</f>
        <v>869.57</v>
      </c>
    </row>
    <row r="208" spans="1:4" ht="15.75">
      <c r="A208" s="738" t="s">
        <v>528</v>
      </c>
      <c r="B208" s="739"/>
      <c r="C208" s="740"/>
      <c r="D208" s="107">
        <f>SUM(D203:D207)</f>
        <v>4624.83</v>
      </c>
    </row>
    <row r="209" spans="1:4" ht="15.75">
      <c r="A209" s="67" t="s">
        <v>529</v>
      </c>
      <c r="B209" s="661" t="s">
        <v>530</v>
      </c>
      <c r="C209" s="662"/>
      <c r="D209" s="107">
        <f>D199</f>
        <v>1013.55</v>
      </c>
    </row>
    <row r="210" spans="1:4" ht="15.75">
      <c r="A210" s="676" t="s">
        <v>531</v>
      </c>
      <c r="B210" s="678"/>
      <c r="C210" s="677"/>
      <c r="D210" s="157">
        <f xml:space="preserve"> D208+D209</f>
        <v>5638.38</v>
      </c>
    </row>
    <row r="211" spans="1:4" ht="15.75">
      <c r="A211" s="27"/>
      <c r="B211" s="27"/>
      <c r="C211" s="27"/>
      <c r="D211" s="27"/>
    </row>
    <row r="212" spans="1:4" ht="15.75" thickBot="1">
      <c r="A212" s="20"/>
      <c r="B212" s="20"/>
      <c r="C212" s="20"/>
      <c r="D212" s="20"/>
    </row>
    <row r="213" spans="1:4" ht="15.75">
      <c r="A213" s="646" t="s">
        <v>532</v>
      </c>
      <c r="B213" s="647"/>
      <c r="C213" s="647"/>
      <c r="D213" s="648"/>
    </row>
    <row r="214" spans="1:4" ht="31.5">
      <c r="A214" s="175" t="s">
        <v>533</v>
      </c>
      <c r="B214" s="176" t="s">
        <v>534</v>
      </c>
      <c r="C214" s="177" t="s">
        <v>535</v>
      </c>
      <c r="D214" s="178" t="s">
        <v>536</v>
      </c>
    </row>
    <row r="215" spans="1:4" ht="16.5" thickBot="1">
      <c r="A215" s="179">
        <v>2</v>
      </c>
      <c r="B215" s="182">
        <f>1/(C11/A215)</f>
        <v>6.0460588770000002E-4</v>
      </c>
      <c r="C215" s="180">
        <f>D210</f>
        <v>5638.38</v>
      </c>
      <c r="D215" s="184">
        <f>C215*B215</f>
        <v>3.4089977450000002</v>
      </c>
    </row>
  </sheetData>
  <mergeCells count="108"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B176:C176"/>
    <mergeCell ref="B177:C177"/>
    <mergeCell ref="B178:C178"/>
    <mergeCell ref="B179:C179"/>
    <mergeCell ref="B182:C182"/>
    <mergeCell ref="A183:C183"/>
    <mergeCell ref="A168:D168"/>
    <mergeCell ref="A169:B169"/>
    <mergeCell ref="A172:C172"/>
    <mergeCell ref="A173:D173"/>
    <mergeCell ref="A174:D174"/>
    <mergeCell ref="A175:D175"/>
    <mergeCell ref="A208:C208"/>
    <mergeCell ref="B209:C209"/>
    <mergeCell ref="A210:C210"/>
    <mergeCell ref="A213:D213"/>
    <mergeCell ref="B180:C180"/>
    <mergeCell ref="B181:C181"/>
    <mergeCell ref="A202:D202"/>
    <mergeCell ref="B203:C203"/>
    <mergeCell ref="B204:C204"/>
    <mergeCell ref="B205:C205"/>
    <mergeCell ref="B206:C206"/>
    <mergeCell ref="B207:C207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026AF-8877-4951-8034-05EEB12FCDD8}">
  <sheetPr codeName="Planilha16">
    <pageSetUpPr fitToPage="1"/>
  </sheetPr>
  <dimension ref="A1:D215"/>
  <sheetViews>
    <sheetView view="pageBreakPreview" zoomScale="85" zoomScaleNormal="85" zoomScaleSheetLayoutView="85" workbookViewId="0">
      <selection activeCell="C30" sqref="C30"/>
    </sheetView>
  </sheetViews>
  <sheetFormatPr defaultColWidth="9.140625" defaultRowHeight="15" customHeight="1" outlineLevelRow="3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>
      <c r="A1" s="680" t="s">
        <v>313</v>
      </c>
      <c r="B1" s="680"/>
      <c r="C1" s="680"/>
      <c r="D1" s="680"/>
    </row>
    <row r="2" spans="1:4" ht="15.75">
      <c r="A2" s="681" t="s">
        <v>314</v>
      </c>
      <c r="B2" s="681"/>
      <c r="C2" s="682" t="s">
        <v>315</v>
      </c>
      <c r="D2" s="683"/>
    </row>
    <row r="3" spans="1:4" ht="15.75">
      <c r="A3" s="681" t="s">
        <v>316</v>
      </c>
      <c r="B3" s="681"/>
      <c r="C3" s="682" t="s">
        <v>317</v>
      </c>
      <c r="D3" s="683"/>
    </row>
    <row r="4" spans="1:4" ht="15.75">
      <c r="A4" s="653"/>
      <c r="B4" s="653"/>
      <c r="C4" s="653"/>
      <c r="D4" s="653"/>
    </row>
    <row r="5" spans="1:4" ht="15.75">
      <c r="A5" s="653" t="s">
        <v>318</v>
      </c>
      <c r="B5" s="653"/>
      <c r="C5" s="653"/>
      <c r="D5" s="653"/>
    </row>
    <row r="6" spans="1:4" ht="15.75">
      <c r="A6" s="67" t="s">
        <v>319</v>
      </c>
      <c r="B6" s="65" t="s">
        <v>320</v>
      </c>
      <c r="C6" s="654" t="s">
        <v>321</v>
      </c>
      <c r="D6" s="655"/>
    </row>
    <row r="7" spans="1:4" ht="15.75">
      <c r="A7" s="67" t="s">
        <v>322</v>
      </c>
      <c r="B7" s="65" t="s">
        <v>323</v>
      </c>
      <c r="C7" s="656" t="s">
        <v>561</v>
      </c>
      <c r="D7" s="656"/>
    </row>
    <row r="8" spans="1:4" ht="15.75">
      <c r="A8" s="28" t="s">
        <v>325</v>
      </c>
      <c r="B8" s="29" t="s">
        <v>326</v>
      </c>
      <c r="C8" s="736" t="s">
        <v>327</v>
      </c>
      <c r="D8" s="737"/>
    </row>
    <row r="9" spans="1:4" ht="15.75">
      <c r="A9" s="67" t="s">
        <v>328</v>
      </c>
      <c r="B9" s="65" t="s">
        <v>329</v>
      </c>
      <c r="C9" s="659" t="s">
        <v>330</v>
      </c>
      <c r="D9" s="660"/>
    </row>
    <row r="10" spans="1:4" ht="15.75">
      <c r="A10" s="67" t="s">
        <v>331</v>
      </c>
      <c r="B10" s="65" t="s">
        <v>332</v>
      </c>
      <c r="C10" s="659" t="s">
        <v>333</v>
      </c>
      <c r="D10" s="660"/>
    </row>
    <row r="11" spans="1:4" ht="15.75">
      <c r="A11" s="67" t="s">
        <v>334</v>
      </c>
      <c r="B11" s="65" t="s">
        <v>335</v>
      </c>
      <c r="C11" s="686">
        <f>Resumo!F13</f>
        <v>1182.6400000000001</v>
      </c>
      <c r="D11" s="687"/>
    </row>
    <row r="12" spans="1:4" ht="15.75">
      <c r="A12" s="67" t="s">
        <v>394</v>
      </c>
      <c r="B12" s="65" t="s">
        <v>337</v>
      </c>
      <c r="C12" s="688">
        <f>Resumo!I5</f>
        <v>20</v>
      </c>
      <c r="D12" s="675"/>
    </row>
    <row r="13" spans="1:4" ht="15.75">
      <c r="A13" s="689"/>
      <c r="B13" s="690"/>
      <c r="C13" s="690"/>
      <c r="D13" s="690"/>
    </row>
    <row r="14" spans="1:4" ht="15.75">
      <c r="A14" s="691" t="s">
        <v>338</v>
      </c>
      <c r="B14" s="692"/>
      <c r="C14" s="692"/>
      <c r="D14" s="693"/>
    </row>
    <row r="15" spans="1:4" ht="15.75">
      <c r="A15" s="656" t="s">
        <v>339</v>
      </c>
      <c r="B15" s="656"/>
      <c r="C15" s="656"/>
      <c r="D15" s="656"/>
    </row>
    <row r="16" spans="1:4" ht="15.75">
      <c r="A16" s="67">
        <v>1</v>
      </c>
      <c r="B16" s="65" t="s">
        <v>340</v>
      </c>
      <c r="C16" s="659" t="s">
        <v>341</v>
      </c>
      <c r="D16" s="660" t="s">
        <v>62</v>
      </c>
    </row>
    <row r="17" spans="1:4" ht="15.75">
      <c r="A17" s="67">
        <v>2</v>
      </c>
      <c r="B17" s="30" t="s">
        <v>342</v>
      </c>
      <c r="C17" s="684" t="s">
        <v>343</v>
      </c>
      <c r="D17" s="685"/>
    </row>
    <row r="18" spans="1:4" ht="15.75">
      <c r="A18" s="656" t="s">
        <v>344</v>
      </c>
      <c r="B18" s="656"/>
      <c r="C18" s="656"/>
      <c r="D18" s="656"/>
    </row>
    <row r="19" spans="1:4" ht="15.75">
      <c r="A19" s="67">
        <v>3</v>
      </c>
      <c r="B19" s="661" t="s">
        <v>345</v>
      </c>
      <c r="C19" s="662"/>
      <c r="D19" s="106">
        <v>1314.09</v>
      </c>
    </row>
    <row r="20" spans="1:4" ht="15.75">
      <c r="A20" s="67">
        <v>4</v>
      </c>
      <c r="B20" s="661" t="s">
        <v>346</v>
      </c>
      <c r="C20" s="662"/>
      <c r="D20" s="158">
        <v>220</v>
      </c>
    </row>
    <row r="21" spans="1:4" ht="15.75">
      <c r="A21" s="67">
        <v>5</v>
      </c>
      <c r="B21" s="661" t="s">
        <v>347</v>
      </c>
      <c r="C21" s="662"/>
      <c r="D21" s="75" t="s">
        <v>348</v>
      </c>
    </row>
    <row r="22" spans="1:4" ht="15.75">
      <c r="A22" s="67">
        <v>6</v>
      </c>
      <c r="B22" s="661" t="s">
        <v>349</v>
      </c>
      <c r="C22" s="662"/>
      <c r="D22" s="76">
        <v>44562</v>
      </c>
    </row>
    <row r="23" spans="1:4" ht="15.75">
      <c r="A23" s="659"/>
      <c r="B23" s="671"/>
      <c r="C23" s="671"/>
      <c r="D23" s="660"/>
    </row>
    <row r="24" spans="1:4" ht="15.75">
      <c r="A24" s="672" t="s">
        <v>350</v>
      </c>
      <c r="B24" s="672"/>
      <c r="C24" s="672"/>
      <c r="D24" s="672"/>
    </row>
    <row r="25" spans="1:4" ht="15.75">
      <c r="A25" s="673"/>
      <c r="B25" s="674"/>
      <c r="C25" s="674"/>
      <c r="D25" s="675"/>
    </row>
    <row r="26" spans="1:4" ht="15.75">
      <c r="A26" s="66">
        <v>1</v>
      </c>
      <c r="B26" s="676" t="s">
        <v>351</v>
      </c>
      <c r="C26" s="677"/>
      <c r="D26" s="66" t="s">
        <v>352</v>
      </c>
    </row>
    <row r="27" spans="1:4" ht="15.75" hidden="1" outlineLevel="1">
      <c r="A27" s="67" t="s">
        <v>353</v>
      </c>
      <c r="B27" s="65" t="s">
        <v>354</v>
      </c>
      <c r="C27" s="73">
        <f>'SR - ASG'!C27</f>
        <v>220</v>
      </c>
      <c r="D27" s="107">
        <f>D19/220*C27</f>
        <v>1314.09</v>
      </c>
    </row>
    <row r="28" spans="1:4" ht="15.75" hidden="1" outlineLevel="1">
      <c r="A28" s="67" t="s">
        <v>322</v>
      </c>
      <c r="B28" s="65" t="s">
        <v>557</v>
      </c>
      <c r="C28" s="31">
        <v>0</v>
      </c>
      <c r="D28" s="107">
        <f>C28*D27</f>
        <v>0</v>
      </c>
    </row>
    <row r="29" spans="1:4" ht="15.75" hidden="1" outlineLevel="1">
      <c r="A29" s="67" t="s">
        <v>325</v>
      </c>
      <c r="B29" s="65" t="s">
        <v>356</v>
      </c>
      <c r="C29" s="31">
        <v>0.4</v>
      </c>
      <c r="D29" s="107">
        <f>C29*D27</f>
        <v>525.64</v>
      </c>
    </row>
    <row r="30" spans="1:4" ht="15.75" hidden="1" outlineLevel="1">
      <c r="A30" s="67" t="s">
        <v>328</v>
      </c>
      <c r="B30" s="65" t="s">
        <v>357</v>
      </c>
      <c r="C30" s="159">
        <v>0</v>
      </c>
      <c r="D30" s="108">
        <f>SUM(D31:D32)</f>
        <v>0</v>
      </c>
    </row>
    <row r="31" spans="1:4" ht="15.75" hidden="1" outlineLevel="2">
      <c r="A31" s="80" t="s">
        <v>358</v>
      </c>
      <c r="B31" s="65" t="s">
        <v>359</v>
      </c>
      <c r="C31" s="81">
        <v>0.2</v>
      </c>
      <c r="D31" s="108">
        <f>(SUM(D27:D29)/C27)*C31*15*C30</f>
        <v>0</v>
      </c>
    </row>
    <row r="32" spans="1:4" ht="15.75" hidden="1" outlineLevel="2">
      <c r="A32" s="80" t="s">
        <v>360</v>
      </c>
      <c r="B32" s="65" t="s">
        <v>361</v>
      </c>
      <c r="C32" s="82">
        <f>C30*(60/52.5)/8</f>
        <v>0</v>
      </c>
      <c r="D32" s="108">
        <f>(SUM(D27:D29)/C27)*(C31)*15*C32</f>
        <v>0</v>
      </c>
    </row>
    <row r="33" spans="1:4" ht="15.75" hidden="1" outlineLevel="1">
      <c r="A33" s="67" t="s">
        <v>331</v>
      </c>
      <c r="B33" s="65" t="s">
        <v>362</v>
      </c>
      <c r="C33" s="31" t="s">
        <v>363</v>
      </c>
      <c r="D33" s="1">
        <f>SUM(D34:D37)</f>
        <v>0</v>
      </c>
    </row>
    <row r="34" spans="1:4" ht="15.75" hidden="1" outlineLevel="2">
      <c r="A34" s="83" t="s">
        <v>364</v>
      </c>
      <c r="B34" s="84" t="s">
        <v>365</v>
      </c>
      <c r="C34" s="85">
        <v>0</v>
      </c>
      <c r="D34" s="109">
        <f>(SUM($D$27:$D$29)/$C$27)*C34*1.5</f>
        <v>0</v>
      </c>
    </row>
    <row r="35" spans="1:4" ht="15.75" hidden="1" outlineLevel="2">
      <c r="A35" s="83" t="s">
        <v>366</v>
      </c>
      <c r="B35" s="86" t="s">
        <v>367</v>
      </c>
      <c r="C35" s="87">
        <v>0</v>
      </c>
      <c r="D35" s="109">
        <f>(SUM($D$27:$D$29)/$C$27)*C35*((60/52.5)*1.2*1.5)</f>
        <v>0</v>
      </c>
    </row>
    <row r="36" spans="1:4" ht="15.75" hidden="1" outlineLevel="2">
      <c r="A36" s="83" t="s">
        <v>368</v>
      </c>
      <c r="B36" s="84" t="s">
        <v>369</v>
      </c>
      <c r="C36" s="88">
        <f>C34*0.1429</f>
        <v>0</v>
      </c>
      <c r="D36" s="109">
        <f>(SUM($D$27:$D$29)/$C$27)*C36*2</f>
        <v>0</v>
      </c>
    </row>
    <row r="37" spans="1:4" ht="15.75" hidden="1" outlineLevel="2">
      <c r="A37" s="83" t="s">
        <v>370</v>
      </c>
      <c r="B37" s="84" t="s">
        <v>371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>
      <c r="A38" s="67" t="s">
        <v>334</v>
      </c>
      <c r="B38" s="58" t="s">
        <v>372</v>
      </c>
      <c r="C38" s="59">
        <v>0</v>
      </c>
      <c r="D38" s="110">
        <v>0</v>
      </c>
    </row>
    <row r="39" spans="1:4" ht="15.75" collapsed="1">
      <c r="A39" s="676" t="s">
        <v>373</v>
      </c>
      <c r="B39" s="678"/>
      <c r="C39" s="677"/>
      <c r="D39" s="111">
        <f>SUM(D27:D30,D33,D38)</f>
        <v>1839.73</v>
      </c>
    </row>
    <row r="40" spans="1:4" ht="15.75">
      <c r="A40" s="679"/>
      <c r="B40" s="679"/>
      <c r="C40" s="679"/>
      <c r="D40" s="679"/>
    </row>
    <row r="41" spans="1:4" ht="15.75" hidden="1" outlineLevel="1">
      <c r="A41" s="89" t="s">
        <v>374</v>
      </c>
      <c r="B41" s="112" t="s">
        <v>375</v>
      </c>
      <c r="C41" s="113" t="s">
        <v>376</v>
      </c>
      <c r="D41" s="113" t="s">
        <v>352</v>
      </c>
    </row>
    <row r="42" spans="1:4" ht="15.75" hidden="1" outlineLevel="1">
      <c r="A42" s="114" t="s">
        <v>353</v>
      </c>
      <c r="B42" s="30" t="s">
        <v>377</v>
      </c>
      <c r="C42" s="90">
        <v>0</v>
      </c>
      <c r="D42" s="115">
        <f>(SUM(D27)/$C$27)*C42*1.5</f>
        <v>0</v>
      </c>
    </row>
    <row r="43" spans="1:4" ht="15.75" hidden="1" outlineLevel="1">
      <c r="A43" s="116" t="s">
        <v>325</v>
      </c>
      <c r="B43" s="117" t="s">
        <v>378</v>
      </c>
      <c r="C43" s="118">
        <v>0</v>
      </c>
      <c r="D43" s="107">
        <f>C43*177</f>
        <v>0</v>
      </c>
    </row>
    <row r="44" spans="1:4" ht="15.75" hidden="1" outlineLevel="1">
      <c r="A44" s="67" t="s">
        <v>328</v>
      </c>
      <c r="B44" s="58" t="s">
        <v>372</v>
      </c>
      <c r="C44" s="59">
        <v>0</v>
      </c>
      <c r="D44" s="110">
        <v>0</v>
      </c>
    </row>
    <row r="45" spans="1:4" ht="15.75" collapsed="1">
      <c r="A45" s="663" t="s">
        <v>379</v>
      </c>
      <c r="B45" s="664"/>
      <c r="C45" s="33">
        <f>D45/D39</f>
        <v>0</v>
      </c>
      <c r="D45" s="119">
        <f>SUM(D42:D43)</f>
        <v>0</v>
      </c>
    </row>
    <row r="46" spans="1:4" ht="15.75">
      <c r="A46" s="665"/>
      <c r="B46" s="666"/>
      <c r="C46" s="666"/>
      <c r="D46" s="667"/>
    </row>
    <row r="47" spans="1:4" ht="15.75">
      <c r="A47" s="668" t="s">
        <v>380</v>
      </c>
      <c r="B47" s="669"/>
      <c r="C47" s="669"/>
      <c r="D47" s="670"/>
    </row>
    <row r="48" spans="1:4" ht="15.75" hidden="1" outlineLevel="1">
      <c r="A48" s="665"/>
      <c r="B48" s="666"/>
      <c r="C48" s="666"/>
      <c r="D48" s="667"/>
    </row>
    <row r="49" spans="1:4" ht="15.75" hidden="1" outlineLevel="1">
      <c r="A49" s="113" t="s">
        <v>381</v>
      </c>
      <c r="B49" s="112" t="s">
        <v>382</v>
      </c>
      <c r="C49" s="113" t="s">
        <v>383</v>
      </c>
      <c r="D49" s="113" t="s">
        <v>352</v>
      </c>
    </row>
    <row r="50" spans="1:4" ht="15.75" hidden="1" outlineLevel="2">
      <c r="A50" s="116" t="s">
        <v>353</v>
      </c>
      <c r="B50" s="117" t="s">
        <v>384</v>
      </c>
      <c r="C50" s="32">
        <f>1/12</f>
        <v>8.3299999999999999E-2</v>
      </c>
      <c r="D50" s="107">
        <f>C50*D39</f>
        <v>153.25</v>
      </c>
    </row>
    <row r="51" spans="1:4" ht="15.75" hidden="1" outlineLevel="2">
      <c r="A51" s="116" t="s">
        <v>322</v>
      </c>
      <c r="B51" s="117" t="s">
        <v>385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>
      <c r="A52" s="663" t="s">
        <v>176</v>
      </c>
      <c r="B52" s="664"/>
      <c r="C52" s="33">
        <f>SUM(C50:C51)</f>
        <v>0.1</v>
      </c>
      <c r="D52" s="119">
        <f>SUM(D50:D51)</f>
        <v>183.97</v>
      </c>
    </row>
    <row r="53" spans="1:4" ht="15.75" hidden="1" outlineLevel="1">
      <c r="A53" s="665"/>
      <c r="B53" s="666"/>
      <c r="C53" s="666"/>
      <c r="D53" s="667"/>
    </row>
    <row r="54" spans="1:4" ht="15.75" hidden="1" outlineLevel="1">
      <c r="A54" s="113" t="s">
        <v>386</v>
      </c>
      <c r="B54" s="120" t="s">
        <v>387</v>
      </c>
      <c r="C54" s="113" t="s">
        <v>383</v>
      </c>
      <c r="D54" s="121" t="s">
        <v>352</v>
      </c>
    </row>
    <row r="55" spans="1:4" ht="15.75" hidden="1" outlineLevel="2">
      <c r="A55" s="114" t="s">
        <v>353</v>
      </c>
      <c r="B55" s="34" t="s">
        <v>388</v>
      </c>
      <c r="C55" s="35">
        <v>0.2</v>
      </c>
      <c r="D55" s="107">
        <f t="shared" ref="D55:D62" si="0">C55*($D$39+$D$52)</f>
        <v>404.74</v>
      </c>
    </row>
    <row r="56" spans="1:4" ht="15.75" hidden="1" outlineLevel="2">
      <c r="A56" s="114" t="s">
        <v>322</v>
      </c>
      <c r="B56" s="34" t="s">
        <v>389</v>
      </c>
      <c r="C56" s="35">
        <v>2.5000000000000001E-2</v>
      </c>
      <c r="D56" s="107">
        <f t="shared" si="0"/>
        <v>50.59</v>
      </c>
    </row>
    <row r="57" spans="1:4" ht="15.75" hidden="1" outlineLevel="2">
      <c r="A57" s="114" t="s">
        <v>325</v>
      </c>
      <c r="B57" s="34" t="s">
        <v>390</v>
      </c>
      <c r="C57" s="68">
        <v>0.03</v>
      </c>
      <c r="D57" s="107">
        <f t="shared" si="0"/>
        <v>60.71</v>
      </c>
    </row>
    <row r="58" spans="1:4" ht="15.75" hidden="1" outlineLevel="2">
      <c r="A58" s="114" t="s">
        <v>328</v>
      </c>
      <c r="B58" s="34" t="s">
        <v>391</v>
      </c>
      <c r="C58" s="35">
        <v>1.4999999999999999E-2</v>
      </c>
      <c r="D58" s="107">
        <f t="shared" si="0"/>
        <v>30.36</v>
      </c>
    </row>
    <row r="59" spans="1:4" ht="15.75" hidden="1" outlineLevel="2">
      <c r="A59" s="114" t="s">
        <v>331</v>
      </c>
      <c r="B59" s="34" t="s">
        <v>392</v>
      </c>
      <c r="C59" s="35">
        <v>0.01</v>
      </c>
      <c r="D59" s="107">
        <f t="shared" si="0"/>
        <v>20.239999999999998</v>
      </c>
    </row>
    <row r="60" spans="1:4" ht="15.75" hidden="1" outlineLevel="2">
      <c r="A60" s="114" t="s">
        <v>334</v>
      </c>
      <c r="B60" s="34" t="s">
        <v>393</v>
      </c>
      <c r="C60" s="35">
        <v>6.0000000000000001E-3</v>
      </c>
      <c r="D60" s="107">
        <f t="shared" si="0"/>
        <v>12.14</v>
      </c>
    </row>
    <row r="61" spans="1:4" ht="15.75" hidden="1" outlineLevel="2">
      <c r="A61" s="114" t="s">
        <v>394</v>
      </c>
      <c r="B61" s="34" t="s">
        <v>395</v>
      </c>
      <c r="C61" s="35">
        <v>2E-3</v>
      </c>
      <c r="D61" s="107">
        <f t="shared" si="0"/>
        <v>4.05</v>
      </c>
    </row>
    <row r="62" spans="1:4" ht="15.75" hidden="1" outlineLevel="2">
      <c r="A62" s="114" t="s">
        <v>336</v>
      </c>
      <c r="B62" s="34" t="s">
        <v>396</v>
      </c>
      <c r="C62" s="35">
        <v>0.08</v>
      </c>
      <c r="D62" s="107">
        <f t="shared" si="0"/>
        <v>161.9</v>
      </c>
    </row>
    <row r="63" spans="1:4" ht="15.75" hidden="1" outlineLevel="1">
      <c r="A63" s="663" t="s">
        <v>176</v>
      </c>
      <c r="B63" s="664"/>
      <c r="C63" s="36">
        <f>SUM(C55:C62)</f>
        <v>0.36799999999999999</v>
      </c>
      <c r="D63" s="122">
        <f>SUM(D55:D62)</f>
        <v>744.73</v>
      </c>
    </row>
    <row r="64" spans="1:4" ht="15.75" hidden="1" outlineLevel="1">
      <c r="A64" s="665"/>
      <c r="B64" s="666"/>
      <c r="C64" s="666"/>
      <c r="D64" s="667"/>
    </row>
    <row r="65" spans="1:4" ht="15.75" hidden="1" outlineLevel="1">
      <c r="A65" s="113" t="s">
        <v>397</v>
      </c>
      <c r="B65" s="120" t="s">
        <v>398</v>
      </c>
      <c r="C65" s="113" t="s">
        <v>399</v>
      </c>
      <c r="D65" s="113" t="s">
        <v>352</v>
      </c>
    </row>
    <row r="66" spans="1:4" ht="15.75" hidden="1" outlineLevel="2">
      <c r="A66" s="114" t="s">
        <v>353</v>
      </c>
      <c r="B66" s="34" t="s">
        <v>400</v>
      </c>
      <c r="C66" s="123">
        <v>4</v>
      </c>
      <c r="D66" s="124">
        <f>IF(D67+D68&gt;0,(D67+D68),0)</f>
        <v>89.15</v>
      </c>
    </row>
    <row r="67" spans="1:4" ht="15.75" hidden="1" outlineLevel="3">
      <c r="A67" s="125" t="s">
        <v>401</v>
      </c>
      <c r="B67" s="34" t="s">
        <v>402</v>
      </c>
      <c r="C67" s="126">
        <v>21</v>
      </c>
      <c r="D67" s="127">
        <f>C66*C67*2</f>
        <v>168</v>
      </c>
    </row>
    <row r="68" spans="1:4" ht="15.75" hidden="1" outlineLevel="3">
      <c r="A68" s="125" t="s">
        <v>403</v>
      </c>
      <c r="B68" s="34" t="s">
        <v>404</v>
      </c>
      <c r="C68" s="128">
        <v>0.06</v>
      </c>
      <c r="D68" s="127">
        <f>-D27*C68</f>
        <v>-78.849999999999994</v>
      </c>
    </row>
    <row r="69" spans="1:4" ht="15.75" hidden="1" outlineLevel="2">
      <c r="A69" s="114" t="s">
        <v>322</v>
      </c>
      <c r="B69" s="34" t="s">
        <v>405</v>
      </c>
      <c r="C69" s="129">
        <f>'SR - ASG'!C69</f>
        <v>20.18</v>
      </c>
      <c r="D69" s="124">
        <f>D70+D71</f>
        <v>343.26</v>
      </c>
    </row>
    <row r="70" spans="1:4" ht="15.75" hidden="1" outlineLevel="3">
      <c r="A70" s="125" t="s">
        <v>406</v>
      </c>
      <c r="B70" s="34" t="s">
        <v>407</v>
      </c>
      <c r="C70" s="126">
        <v>21</v>
      </c>
      <c r="D70" s="127">
        <f>C69*C70</f>
        <v>423.78</v>
      </c>
    </row>
    <row r="71" spans="1:4" ht="15.75" hidden="1" outlineLevel="3">
      <c r="A71" s="125" t="s">
        <v>408</v>
      </c>
      <c r="B71" s="34" t="s">
        <v>409</v>
      </c>
      <c r="C71" s="130">
        <v>-0.19</v>
      </c>
      <c r="D71" s="127">
        <f>D70*C71</f>
        <v>-80.52</v>
      </c>
    </row>
    <row r="72" spans="1:4" ht="15.75" hidden="1" outlineLevel="2">
      <c r="A72" s="114" t="s">
        <v>325</v>
      </c>
      <c r="B72" s="77" t="s">
        <v>410</v>
      </c>
      <c r="C72" s="129">
        <v>17.32</v>
      </c>
      <c r="D72" s="132">
        <f>C72</f>
        <v>17.32</v>
      </c>
    </row>
    <row r="73" spans="1:4" ht="15.75" hidden="1" outlineLevel="2">
      <c r="A73" s="114" t="s">
        <v>328</v>
      </c>
      <c r="B73" s="78" t="s">
        <v>411</v>
      </c>
      <c r="C73" s="129">
        <f>140*3</f>
        <v>420</v>
      </c>
      <c r="D73" s="132">
        <f>C73*C152</f>
        <v>0.84</v>
      </c>
    </row>
    <row r="74" spans="1:4" ht="15.75" hidden="1" outlineLevel="2">
      <c r="A74" s="114" t="s">
        <v>331</v>
      </c>
      <c r="B74" s="77" t="s">
        <v>412</v>
      </c>
      <c r="C74" s="129">
        <v>21</v>
      </c>
      <c r="D74" s="132">
        <f>C74</f>
        <v>21</v>
      </c>
    </row>
    <row r="75" spans="1:4" ht="15.75" hidden="1" outlineLevel="2">
      <c r="A75" s="114" t="s">
        <v>334</v>
      </c>
      <c r="B75" s="77" t="s">
        <v>372</v>
      </c>
      <c r="C75" s="131">
        <v>0</v>
      </c>
      <c r="D75" s="132">
        <f>C75*D39</f>
        <v>0</v>
      </c>
    </row>
    <row r="76" spans="1:4" ht="15.75" hidden="1" outlineLevel="2">
      <c r="A76" s="114" t="s">
        <v>394</v>
      </c>
      <c r="B76" s="77" t="s">
        <v>372</v>
      </c>
      <c r="C76" s="129">
        <v>0</v>
      </c>
      <c r="D76" s="133">
        <f>C76</f>
        <v>0</v>
      </c>
    </row>
    <row r="77" spans="1:4" ht="15.75" hidden="1" outlineLevel="1">
      <c r="A77" s="663" t="s">
        <v>413</v>
      </c>
      <c r="B77" s="700"/>
      <c r="C77" s="664"/>
      <c r="D77" s="119">
        <f>SUM(D66,D69,D72:D76)</f>
        <v>471.57</v>
      </c>
    </row>
    <row r="78" spans="1:4" ht="15.75" hidden="1" outlineLevel="1">
      <c r="A78" s="665"/>
      <c r="B78" s="666"/>
      <c r="C78" s="666"/>
      <c r="D78" s="667"/>
    </row>
    <row r="79" spans="1:4" ht="15.75" hidden="1" outlineLevel="1">
      <c r="A79" s="701" t="s">
        <v>414</v>
      </c>
      <c r="B79" s="702"/>
      <c r="C79" s="113" t="s">
        <v>383</v>
      </c>
      <c r="D79" s="113" t="s">
        <v>352</v>
      </c>
    </row>
    <row r="80" spans="1:4" ht="15.75" hidden="1" outlineLevel="1">
      <c r="A80" s="114" t="s">
        <v>415</v>
      </c>
      <c r="B80" s="34" t="s">
        <v>382</v>
      </c>
      <c r="C80" s="37">
        <f>C52</f>
        <v>0.1</v>
      </c>
      <c r="D80" s="107">
        <f>D52</f>
        <v>183.97</v>
      </c>
    </row>
    <row r="81" spans="1:4" ht="15.75" hidden="1" outlineLevel="1">
      <c r="A81" s="114" t="s">
        <v>386</v>
      </c>
      <c r="B81" s="34" t="s">
        <v>387</v>
      </c>
      <c r="C81" s="37">
        <f>C63</f>
        <v>0.36799999999999999</v>
      </c>
      <c r="D81" s="107">
        <f>D63</f>
        <v>744.73</v>
      </c>
    </row>
    <row r="82" spans="1:4" ht="15.75" hidden="1" outlineLevel="1">
      <c r="A82" s="114" t="s">
        <v>416</v>
      </c>
      <c r="B82" s="34" t="s">
        <v>398</v>
      </c>
      <c r="C82" s="37">
        <f>D77/D39</f>
        <v>0.25629999999999997</v>
      </c>
      <c r="D82" s="107">
        <f>D77</f>
        <v>471.57</v>
      </c>
    </row>
    <row r="83" spans="1:4" ht="15.75" collapsed="1">
      <c r="A83" s="663" t="s">
        <v>176</v>
      </c>
      <c r="B83" s="700"/>
      <c r="C83" s="664"/>
      <c r="D83" s="119">
        <f>SUM(D80:D82)</f>
        <v>1400.27</v>
      </c>
    </row>
    <row r="84" spans="1:4" ht="15.75">
      <c r="A84" s="665"/>
      <c r="B84" s="666"/>
      <c r="C84" s="666"/>
      <c r="D84" s="667"/>
    </row>
    <row r="85" spans="1:4" ht="15.75">
      <c r="A85" s="694" t="s">
        <v>417</v>
      </c>
      <c r="B85" s="695"/>
      <c r="C85" s="695"/>
      <c r="D85" s="696"/>
    </row>
    <row r="86" spans="1:4" ht="15.75" hidden="1" outlineLevel="1">
      <c r="A86" s="665"/>
      <c r="B86" s="666"/>
      <c r="C86" s="666"/>
      <c r="D86" s="667"/>
    </row>
    <row r="87" spans="1:4" ht="15.75" hidden="1" outlineLevel="1">
      <c r="A87" s="66" t="s">
        <v>418</v>
      </c>
      <c r="B87" s="112" t="s">
        <v>419</v>
      </c>
      <c r="C87" s="113" t="s">
        <v>383</v>
      </c>
      <c r="D87" s="113" t="s">
        <v>352</v>
      </c>
    </row>
    <row r="88" spans="1:4" ht="15.75" hidden="1" outlineLevel="2">
      <c r="A88" s="38" t="s">
        <v>353</v>
      </c>
      <c r="B88" s="39" t="s">
        <v>420</v>
      </c>
      <c r="C88" s="38" t="s">
        <v>363</v>
      </c>
      <c r="D88" s="134">
        <f>IF(C99&gt;1,SUM(D89:D92)*2,SUM(D89:D92))</f>
        <v>2592.48</v>
      </c>
    </row>
    <row r="89" spans="1:4" ht="15.75" hidden="1" outlineLevel="3">
      <c r="A89" s="40" t="s">
        <v>421</v>
      </c>
      <c r="B89" s="41" t="s">
        <v>422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>
      <c r="A90" s="40" t="s">
        <v>423</v>
      </c>
      <c r="B90" s="41" t="s">
        <v>424</v>
      </c>
      <c r="C90" s="32">
        <f>1/12</f>
        <v>8.3299999999999999E-2</v>
      </c>
      <c r="D90" s="134">
        <f>C90*D89</f>
        <v>168.57</v>
      </c>
    </row>
    <row r="91" spans="1:4" ht="15.75" hidden="1" outlineLevel="3">
      <c r="A91" s="40" t="s">
        <v>425</v>
      </c>
      <c r="B91" s="41" t="s">
        <v>426</v>
      </c>
      <c r="C91" s="32">
        <f>(1/12)+(1/12/3)</f>
        <v>0.1111</v>
      </c>
      <c r="D91" s="135">
        <f>C91*D89</f>
        <v>224.83</v>
      </c>
    </row>
    <row r="92" spans="1:4" ht="15.75" hidden="1" outlineLevel="3">
      <c r="A92" s="40" t="s">
        <v>427</v>
      </c>
      <c r="B92" s="41" t="s">
        <v>428</v>
      </c>
      <c r="C92" s="42">
        <v>0.08</v>
      </c>
      <c r="D92" s="134">
        <f>SUM(D89:D90)*C92</f>
        <v>175.38</v>
      </c>
    </row>
    <row r="93" spans="1:4" ht="15.75" hidden="1" outlineLevel="2">
      <c r="A93" s="38" t="s">
        <v>322</v>
      </c>
      <c r="B93" s="39" t="s">
        <v>429</v>
      </c>
      <c r="C93" s="43">
        <v>0.4</v>
      </c>
      <c r="D93" s="134">
        <f>C93*D94</f>
        <v>1297.1300000000001</v>
      </c>
    </row>
    <row r="94" spans="1:4" ht="15.75" hidden="1" outlineLevel="3">
      <c r="A94" s="38" t="s">
        <v>430</v>
      </c>
      <c r="B94" s="39" t="s">
        <v>431</v>
      </c>
      <c r="C94" s="43">
        <f>C62</f>
        <v>0.08</v>
      </c>
      <c r="D94" s="134">
        <f>C94*D95</f>
        <v>3242.83</v>
      </c>
    </row>
    <row r="95" spans="1:4" ht="15.75" hidden="1" outlineLevel="3">
      <c r="A95" s="38" t="s">
        <v>432</v>
      </c>
      <c r="B95" s="44" t="s">
        <v>433</v>
      </c>
      <c r="C95" s="45" t="s">
        <v>363</v>
      </c>
      <c r="D95" s="135">
        <f>SUM(D96:D98)</f>
        <v>40535.379999999997</v>
      </c>
    </row>
    <row r="96" spans="1:4" ht="15.75" hidden="1" outlineLevel="3">
      <c r="A96" s="40" t="s">
        <v>434</v>
      </c>
      <c r="B96" s="41" t="s">
        <v>435</v>
      </c>
      <c r="C96" s="46">
        <f>C12-C98</f>
        <v>19</v>
      </c>
      <c r="D96" s="134">
        <f>D39*C96</f>
        <v>34954.870000000003</v>
      </c>
    </row>
    <row r="97" spans="1:4" ht="15.75" hidden="1" outlineLevel="3">
      <c r="A97" s="40" t="s">
        <v>436</v>
      </c>
      <c r="B97" s="41" t="s">
        <v>437</v>
      </c>
      <c r="C97" s="47">
        <f>C12/12</f>
        <v>1.7</v>
      </c>
      <c r="D97" s="134">
        <f>D39*C97</f>
        <v>3127.54</v>
      </c>
    </row>
    <row r="98" spans="1:4" ht="15.75" hidden="1" outlineLevel="3">
      <c r="A98" s="40" t="s">
        <v>438</v>
      </c>
      <c r="B98" s="41" t="s">
        <v>439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>
      <c r="A99" s="663" t="s">
        <v>176</v>
      </c>
      <c r="B99" s="664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>
      <c r="A100" s="697"/>
      <c r="B100" s="698"/>
      <c r="C100" s="698"/>
      <c r="D100" s="699"/>
    </row>
    <row r="101" spans="1:4" ht="15.75" hidden="1" outlineLevel="1">
      <c r="A101" s="66" t="s">
        <v>440</v>
      </c>
      <c r="B101" s="112" t="s">
        <v>441</v>
      </c>
      <c r="C101" s="113" t="s">
        <v>383</v>
      </c>
      <c r="D101" s="113" t="s">
        <v>352</v>
      </c>
    </row>
    <row r="102" spans="1:4" ht="15.75" hidden="1" outlineLevel="2">
      <c r="A102" s="38" t="s">
        <v>353</v>
      </c>
      <c r="B102" s="44" t="s">
        <v>442</v>
      </c>
      <c r="C102" s="48">
        <f>IF(C111&gt;1,(1/30*7)*2,(1/30*7))</f>
        <v>0.23330000000000001</v>
      </c>
      <c r="D102" s="135">
        <f>C102*SUM(D103:D107)</f>
        <v>793.77</v>
      </c>
    </row>
    <row r="103" spans="1:4" ht="15.75" hidden="1" outlineLevel="3">
      <c r="A103" s="40" t="s">
        <v>421</v>
      </c>
      <c r="B103" s="41" t="s">
        <v>443</v>
      </c>
      <c r="C103" s="38">
        <v>1</v>
      </c>
      <c r="D103" s="134">
        <f>D39</f>
        <v>1839.73</v>
      </c>
    </row>
    <row r="104" spans="1:4" ht="15.75" hidden="1" outlineLevel="3">
      <c r="A104" s="40" t="s">
        <v>423</v>
      </c>
      <c r="B104" s="41" t="s">
        <v>444</v>
      </c>
      <c r="C104" s="32">
        <f>1/12</f>
        <v>8.3299999999999999E-2</v>
      </c>
      <c r="D104" s="134">
        <f>C104*D103</f>
        <v>153.25</v>
      </c>
    </row>
    <row r="105" spans="1:4" ht="15.75" hidden="1" outlineLevel="3">
      <c r="A105" s="40" t="s">
        <v>425</v>
      </c>
      <c r="B105" s="41" t="s">
        <v>445</v>
      </c>
      <c r="C105" s="32">
        <f>(1/12)+(1/12/3)</f>
        <v>0.1111</v>
      </c>
      <c r="D105" s="134">
        <f>C105*D103</f>
        <v>204.39</v>
      </c>
    </row>
    <row r="106" spans="1:4" ht="15.75" hidden="1" outlineLevel="3">
      <c r="A106" s="40" t="s">
        <v>427</v>
      </c>
      <c r="B106" s="49" t="s">
        <v>446</v>
      </c>
      <c r="C106" s="50">
        <f>C63</f>
        <v>0.36799999999999999</v>
      </c>
      <c r="D106" s="135">
        <f>C106*(D103+D104)</f>
        <v>733.42</v>
      </c>
    </row>
    <row r="107" spans="1:4" ht="15.75" hidden="1" outlineLevel="3">
      <c r="A107" s="40" t="s">
        <v>447</v>
      </c>
      <c r="B107" s="49" t="s">
        <v>448</v>
      </c>
      <c r="C107" s="45">
        <v>1</v>
      </c>
      <c r="D107" s="135">
        <f>D77</f>
        <v>471.57</v>
      </c>
    </row>
    <row r="108" spans="1:4" ht="15.75" hidden="1" outlineLevel="2">
      <c r="A108" s="38" t="s">
        <v>322</v>
      </c>
      <c r="B108" s="39" t="s">
        <v>449</v>
      </c>
      <c r="C108" s="43">
        <v>0.4</v>
      </c>
      <c r="D108" s="134">
        <f>C108*D109</f>
        <v>1297.1300000000001</v>
      </c>
    </row>
    <row r="109" spans="1:4" ht="15.75" hidden="1" outlineLevel="2">
      <c r="A109" s="38" t="s">
        <v>430</v>
      </c>
      <c r="B109" s="39" t="s">
        <v>431</v>
      </c>
      <c r="C109" s="43">
        <f>C62</f>
        <v>0.08</v>
      </c>
      <c r="D109" s="134">
        <f>C109*D110</f>
        <v>3242.83</v>
      </c>
    </row>
    <row r="110" spans="1:4" ht="15.75" hidden="1" outlineLevel="2">
      <c r="A110" s="38" t="s">
        <v>432</v>
      </c>
      <c r="B110" s="44" t="s">
        <v>433</v>
      </c>
      <c r="C110" s="45" t="s">
        <v>363</v>
      </c>
      <c r="D110" s="135">
        <f>D95</f>
        <v>40535.379999999997</v>
      </c>
    </row>
    <row r="111" spans="1:4" ht="15.75" hidden="1" outlineLevel="1">
      <c r="A111" s="663" t="s">
        <v>176</v>
      </c>
      <c r="B111" s="664"/>
      <c r="C111" s="69">
        <f>'SR - ASG'!C111</f>
        <v>0.94450000000000001</v>
      </c>
      <c r="D111" s="119">
        <f>IF(C111&gt;1,D102+D108,(D102+D108)*C111)</f>
        <v>1974.86</v>
      </c>
    </row>
    <row r="112" spans="1:4" ht="15.75" hidden="1" outlineLevel="1">
      <c r="A112" s="697"/>
      <c r="B112" s="698"/>
      <c r="C112" s="698"/>
      <c r="D112" s="699"/>
    </row>
    <row r="113" spans="1:4" ht="15.75" hidden="1" outlineLevel="1">
      <c r="A113" s="66" t="s">
        <v>450</v>
      </c>
      <c r="B113" s="112" t="s">
        <v>451</v>
      </c>
      <c r="C113" s="113" t="s">
        <v>383</v>
      </c>
      <c r="D113" s="113" t="s">
        <v>352</v>
      </c>
    </row>
    <row r="114" spans="1:4" ht="15.75" hidden="1" outlineLevel="2">
      <c r="A114" s="114" t="s">
        <v>353</v>
      </c>
      <c r="B114" s="34" t="s">
        <v>452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>
      <c r="A115" s="114" t="s">
        <v>322</v>
      </c>
      <c r="B115" s="51" t="s">
        <v>453</v>
      </c>
      <c r="C115" s="37">
        <f>C114/3</f>
        <v>1.11E-2</v>
      </c>
      <c r="D115" s="137">
        <f>C115*D39</f>
        <v>20.420000000000002</v>
      </c>
    </row>
    <row r="116" spans="1:4" ht="15.75" hidden="1" outlineLevel="1">
      <c r="A116" s="663" t="s">
        <v>176</v>
      </c>
      <c r="B116" s="664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>
      <c r="A117" s="697"/>
      <c r="B117" s="698"/>
      <c r="C117" s="698"/>
      <c r="D117" s="699"/>
    </row>
    <row r="118" spans="1:4" ht="15.75" hidden="1" outlineLevel="1">
      <c r="A118" s="701" t="s">
        <v>454</v>
      </c>
      <c r="B118" s="702"/>
      <c r="C118" s="113" t="s">
        <v>383</v>
      </c>
      <c r="D118" s="113" t="s">
        <v>352</v>
      </c>
    </row>
    <row r="119" spans="1:4" ht="15.75" hidden="1" outlineLevel="1">
      <c r="A119" s="114" t="s">
        <v>418</v>
      </c>
      <c r="B119" s="34" t="s">
        <v>419</v>
      </c>
      <c r="C119" s="37">
        <f>C99</f>
        <v>5.5500000000000001E-2</v>
      </c>
      <c r="D119" s="107">
        <f>D99</f>
        <v>215.87</v>
      </c>
    </row>
    <row r="120" spans="1:4" ht="15.75" hidden="1" outlineLevel="1">
      <c r="A120" s="116" t="s">
        <v>440</v>
      </c>
      <c r="B120" s="34" t="s">
        <v>441</v>
      </c>
      <c r="C120" s="52">
        <f>C111</f>
        <v>0.94450000000000001</v>
      </c>
      <c r="D120" s="107">
        <f>D111</f>
        <v>1974.86</v>
      </c>
    </row>
    <row r="121" spans="1:4" ht="15.75" hidden="1" outlineLevel="1">
      <c r="A121" s="707" t="s">
        <v>455</v>
      </c>
      <c r="B121" s="707"/>
      <c r="C121" s="707"/>
      <c r="D121" s="138">
        <f>D119+D120</f>
        <v>2190.73</v>
      </c>
    </row>
    <row r="122" spans="1:4" ht="15.75" hidden="1" outlineLevel="1">
      <c r="A122" s="703" t="s">
        <v>456</v>
      </c>
      <c r="B122" s="704"/>
      <c r="C122" s="70">
        <f>'SR - ASG'!C122</f>
        <v>0.63570000000000004</v>
      </c>
      <c r="D122" s="61">
        <f>C122*D121</f>
        <v>1392.65</v>
      </c>
    </row>
    <row r="123" spans="1:4" ht="15.75" hidden="1" outlineLevel="1">
      <c r="A123" s="703" t="s">
        <v>457</v>
      </c>
      <c r="B123" s="70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>
      <c r="A124" s="705" t="s">
        <v>458</v>
      </c>
      <c r="B124" s="706"/>
      <c r="C124" s="74">
        <f>1/C12</f>
        <v>0.05</v>
      </c>
      <c r="D124" s="62">
        <f>(D122+D123)*C124</f>
        <v>69.53</v>
      </c>
    </row>
    <row r="125" spans="1:4" ht="15.75" hidden="1" outlineLevel="1">
      <c r="A125" s="116" t="s">
        <v>450</v>
      </c>
      <c r="B125" s="34" t="s">
        <v>459</v>
      </c>
      <c r="C125" s="52"/>
      <c r="D125" s="127">
        <f>D116</f>
        <v>81.680000000000007</v>
      </c>
    </row>
    <row r="126" spans="1:4" ht="15.75" collapsed="1">
      <c r="A126" s="663" t="s">
        <v>176</v>
      </c>
      <c r="B126" s="664"/>
      <c r="C126" s="33"/>
      <c r="D126" s="139">
        <f>D124+D125</f>
        <v>151.21</v>
      </c>
    </row>
    <row r="127" spans="1:4" ht="15.75">
      <c r="A127" s="665"/>
      <c r="B127" s="666"/>
      <c r="C127" s="666"/>
      <c r="D127" s="667"/>
    </row>
    <row r="128" spans="1:4" ht="15.75">
      <c r="A128" s="668" t="s">
        <v>460</v>
      </c>
      <c r="B128" s="669"/>
      <c r="C128" s="669"/>
      <c r="D128" s="670"/>
    </row>
    <row r="129" spans="1:4" ht="15.75" hidden="1" outlineLevel="1">
      <c r="A129" s="697"/>
      <c r="B129" s="698"/>
      <c r="C129" s="698"/>
      <c r="D129" s="699"/>
    </row>
    <row r="130" spans="1:4" ht="15.75" hidden="1" outlineLevel="1">
      <c r="A130" s="113" t="s">
        <v>461</v>
      </c>
      <c r="B130" s="120" t="s">
        <v>462</v>
      </c>
      <c r="C130" s="33" t="s">
        <v>383</v>
      </c>
      <c r="D130" s="113" t="s">
        <v>352</v>
      </c>
    </row>
    <row r="131" spans="1:4" ht="15.75" hidden="1" outlineLevel="2">
      <c r="A131" s="140" t="s">
        <v>353</v>
      </c>
      <c r="B131" s="91" t="s">
        <v>463</v>
      </c>
      <c r="C131" s="53">
        <f>IF(C12&gt;60,5/C12,IF(C12&gt;48,4/C12,IF(C12&gt;36,3/C12,IF(C12&gt;24,2/C12,IF(C12&gt;12,1/C12,0)))))</f>
        <v>0.05</v>
      </c>
      <c r="D131" s="136">
        <f>SUM(D132:D136)</f>
        <v>118.85</v>
      </c>
    </row>
    <row r="132" spans="1:4" ht="15.75" hidden="1" outlineLevel="3">
      <c r="A132" s="141" t="s">
        <v>464</v>
      </c>
      <c r="B132" s="92" t="s">
        <v>465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>
      <c r="A133" s="141" t="s">
        <v>466</v>
      </c>
      <c r="B133" s="92" t="s">
        <v>467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>
      <c r="A134" s="141" t="s">
        <v>468</v>
      </c>
      <c r="B134" s="92" t="s">
        <v>469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>
      <c r="A135" s="141" t="s">
        <v>470</v>
      </c>
      <c r="B135" s="92" t="s">
        <v>471</v>
      </c>
      <c r="C135" s="93">
        <f>C63</f>
        <v>0.36799999999999999</v>
      </c>
      <c r="D135" s="143">
        <f>SUM(D132:D134)*C131</f>
        <v>5.49</v>
      </c>
    </row>
    <row r="136" spans="1:4" ht="15.75" hidden="1" outlineLevel="3">
      <c r="A136" s="141" t="s">
        <v>472</v>
      </c>
      <c r="B136" s="92" t="s">
        <v>473</v>
      </c>
      <c r="C136" s="144">
        <f>D124</f>
        <v>69.53</v>
      </c>
      <c r="D136" s="143">
        <f>C136*C131</f>
        <v>3.48</v>
      </c>
    </row>
    <row r="137" spans="1:4" ht="15.75" hidden="1" outlineLevel="2">
      <c r="A137" s="114" t="s">
        <v>322</v>
      </c>
      <c r="B137" s="34" t="s">
        <v>474</v>
      </c>
      <c r="C137" s="94">
        <v>0</v>
      </c>
      <c r="D137" s="127">
        <f>$C$131*(D39)*(C137/3)</f>
        <v>0</v>
      </c>
    </row>
    <row r="138" spans="1:4" ht="15.75" hidden="1" outlineLevel="1">
      <c r="A138" s="663" t="s">
        <v>475</v>
      </c>
      <c r="B138" s="664"/>
      <c r="C138" s="33">
        <f>C131+(D137/D39)</f>
        <v>0.05</v>
      </c>
      <c r="D138" s="119">
        <f>SUM(D131:D137)</f>
        <v>237.7</v>
      </c>
    </row>
    <row r="139" spans="1:4" ht="15.75" hidden="1" outlineLevel="1">
      <c r="A139" s="697"/>
      <c r="B139" s="698"/>
      <c r="C139" s="698"/>
      <c r="D139" s="699"/>
    </row>
    <row r="140" spans="1:4" ht="15.75" hidden="1" outlineLevel="2">
      <c r="A140" s="710" t="s">
        <v>476</v>
      </c>
      <c r="B140" s="145" t="s">
        <v>435</v>
      </c>
      <c r="C140" s="95">
        <v>220</v>
      </c>
      <c r="D140" s="146">
        <f>D39</f>
        <v>1839.73</v>
      </c>
    </row>
    <row r="141" spans="1:4" ht="15.75" hidden="1" outlineLevel="2">
      <c r="A141" s="711"/>
      <c r="B141" s="145" t="s">
        <v>477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>
      <c r="A142" s="711"/>
      <c r="B142" s="145" t="s">
        <v>478</v>
      </c>
      <c r="C142" s="53">
        <f>C63</f>
        <v>0.36799999999999999</v>
      </c>
      <c r="D142" s="147">
        <f>(D140+D141)*C142</f>
        <v>808.63</v>
      </c>
    </row>
    <row r="143" spans="1:4" ht="15.75" hidden="1" outlineLevel="2">
      <c r="A143" s="711"/>
      <c r="B143" s="145" t="s">
        <v>479</v>
      </c>
      <c r="C143" s="53">
        <f>D143/D140</f>
        <v>0.25629999999999997</v>
      </c>
      <c r="D143" s="147">
        <f>D77</f>
        <v>471.57</v>
      </c>
    </row>
    <row r="144" spans="1:4" ht="15.75" hidden="1" outlineLevel="2">
      <c r="A144" s="712"/>
      <c r="B144" s="148" t="s">
        <v>480</v>
      </c>
      <c r="C144" s="53">
        <f>D144/D140</f>
        <v>3.78E-2</v>
      </c>
      <c r="D144" s="147">
        <f>D124</f>
        <v>69.53</v>
      </c>
    </row>
    <row r="145" spans="1:4" ht="15.75" hidden="1" outlineLevel="2">
      <c r="A145" s="713" t="s">
        <v>481</v>
      </c>
      <c r="B145" s="714"/>
      <c r="C145" s="96">
        <f>D145/D140</f>
        <v>1.9280999999999999</v>
      </c>
      <c r="D145" s="149">
        <f>SUM(D140:D144)</f>
        <v>3547.1</v>
      </c>
    </row>
    <row r="146" spans="1:4" ht="15.75" hidden="1" outlineLevel="2">
      <c r="A146" s="715"/>
      <c r="B146" s="715"/>
      <c r="C146" s="715"/>
      <c r="D146" s="716"/>
    </row>
    <row r="147" spans="1:4" ht="15.75" hidden="1" outlineLevel="1">
      <c r="A147" s="113" t="s">
        <v>482</v>
      </c>
      <c r="B147" s="120" t="s">
        <v>483</v>
      </c>
      <c r="C147" s="33" t="s">
        <v>383</v>
      </c>
      <c r="D147" s="113" t="s">
        <v>352</v>
      </c>
    </row>
    <row r="148" spans="1:4" ht="15.75" hidden="1" outlineLevel="2">
      <c r="A148" s="114" t="s">
        <v>322</v>
      </c>
      <c r="B148" s="34" t="s">
        <v>484</v>
      </c>
      <c r="C148" s="79">
        <f>5/252</f>
        <v>1.9800000000000002E-2</v>
      </c>
      <c r="D148" s="136">
        <f>C148*$D$145</f>
        <v>70.23</v>
      </c>
    </row>
    <row r="149" spans="1:4" ht="15.75" hidden="1" outlineLevel="2">
      <c r="A149" s="114" t="s">
        <v>325</v>
      </c>
      <c r="B149" s="34" t="s">
        <v>485</v>
      </c>
      <c r="C149" s="79">
        <f>1.383/252</f>
        <v>5.4999999999999997E-3</v>
      </c>
      <c r="D149" s="136">
        <f>C149*$D$145</f>
        <v>19.510000000000002</v>
      </c>
    </row>
    <row r="150" spans="1:4" ht="15.75" hidden="1" outlineLevel="2">
      <c r="A150" s="114" t="s">
        <v>328</v>
      </c>
      <c r="B150" s="34" t="s">
        <v>486</v>
      </c>
      <c r="C150" s="79">
        <f>1.3892/252</f>
        <v>5.4999999999999997E-3</v>
      </c>
      <c r="D150" s="136">
        <f t="shared" ref="D150:D153" si="1">C150*$D$145</f>
        <v>19.510000000000002</v>
      </c>
    </row>
    <row r="151" spans="1:4" ht="15.75" hidden="1" outlineLevel="2">
      <c r="A151" s="114" t="s">
        <v>331</v>
      </c>
      <c r="B151" s="34" t="s">
        <v>487</v>
      </c>
      <c r="C151" s="79">
        <f>0.65/252</f>
        <v>2.5999999999999999E-3</v>
      </c>
      <c r="D151" s="136">
        <f t="shared" si="1"/>
        <v>9.2200000000000006</v>
      </c>
    </row>
    <row r="152" spans="1:4" ht="15.75" hidden="1" outlineLevel="2">
      <c r="A152" s="114" t="s">
        <v>334</v>
      </c>
      <c r="B152" s="34" t="s">
        <v>488</v>
      </c>
      <c r="C152" s="79">
        <f>0.5052/252</f>
        <v>2E-3</v>
      </c>
      <c r="D152" s="136">
        <f t="shared" si="1"/>
        <v>7.09</v>
      </c>
    </row>
    <row r="153" spans="1:4" ht="15.75" hidden="1" outlineLevel="2">
      <c r="A153" s="114" t="s">
        <v>353</v>
      </c>
      <c r="B153" s="63" t="s">
        <v>489</v>
      </c>
      <c r="C153" s="71">
        <f>0.2/252</f>
        <v>8.0000000000000004E-4</v>
      </c>
      <c r="D153" s="136">
        <f t="shared" si="1"/>
        <v>2.84</v>
      </c>
    </row>
    <row r="154" spans="1:4" ht="15.75" hidden="1" outlineLevel="1">
      <c r="A154" s="663" t="s">
        <v>475</v>
      </c>
      <c r="B154" s="664"/>
      <c r="C154" s="33">
        <f>SUM(C148:C153)</f>
        <v>3.6200000000000003E-2</v>
      </c>
      <c r="D154" s="119">
        <f>SUM(D148:D153)</f>
        <v>128.4</v>
      </c>
    </row>
    <row r="155" spans="1:4" ht="15.75" hidden="1" outlineLevel="1">
      <c r="A155" s="697"/>
      <c r="B155" s="698"/>
      <c r="C155" s="698"/>
      <c r="D155" s="699"/>
    </row>
    <row r="156" spans="1:4" ht="15.75" hidden="1" outlineLevel="1">
      <c r="A156" s="701" t="s">
        <v>490</v>
      </c>
      <c r="B156" s="708"/>
      <c r="C156" s="33" t="s">
        <v>491</v>
      </c>
      <c r="D156" s="113" t="s">
        <v>352</v>
      </c>
    </row>
    <row r="157" spans="1:4" ht="15.75" hidden="1" outlineLevel="2">
      <c r="A157" s="709" t="s">
        <v>492</v>
      </c>
      <c r="B157" s="145" t="s">
        <v>493</v>
      </c>
      <c r="C157" s="97">
        <f>C153</f>
        <v>8.0000000000000004E-4</v>
      </c>
      <c r="D157" s="150">
        <f>C157*-D140</f>
        <v>-1.47</v>
      </c>
    </row>
    <row r="158" spans="1:4" ht="15.75" hidden="1" outlineLevel="2">
      <c r="A158" s="709"/>
      <c r="B158" s="151" t="s">
        <v>494</v>
      </c>
      <c r="C158" s="98">
        <v>0</v>
      </c>
      <c r="D158" s="152">
        <f>C158*-(D140/220/24*5)</f>
        <v>0</v>
      </c>
    </row>
    <row r="159" spans="1:4" ht="15.75" hidden="1" outlineLevel="2">
      <c r="A159" s="709"/>
      <c r="B159" s="151" t="s">
        <v>495</v>
      </c>
      <c r="C159" s="98">
        <v>0</v>
      </c>
      <c r="D159" s="152">
        <f>C159*-D141</f>
        <v>0</v>
      </c>
    </row>
    <row r="160" spans="1:4" ht="15.75" hidden="1" outlineLevel="2">
      <c r="A160" s="709"/>
      <c r="B160" s="145" t="s">
        <v>496</v>
      </c>
      <c r="C160" s="97">
        <f>C154</f>
        <v>3.6200000000000003E-2</v>
      </c>
      <c r="D160" s="150">
        <f>C160*-D66</f>
        <v>-3.23</v>
      </c>
    </row>
    <row r="161" spans="1:4" ht="15.75" hidden="1" outlineLevel="2">
      <c r="A161" s="709"/>
      <c r="B161" s="145" t="s">
        <v>497</v>
      </c>
      <c r="C161" s="97">
        <f>C154</f>
        <v>3.6200000000000003E-2</v>
      </c>
      <c r="D161" s="150">
        <f>C161*-D69</f>
        <v>-12.43</v>
      </c>
    </row>
    <row r="162" spans="1:4" ht="15.75" hidden="1" outlineLevel="2">
      <c r="A162" s="709"/>
      <c r="B162" s="148" t="s">
        <v>498</v>
      </c>
      <c r="C162" s="97">
        <f>C153</f>
        <v>8.0000000000000004E-4</v>
      </c>
      <c r="D162" s="150">
        <f>C162*-D74</f>
        <v>-0.02</v>
      </c>
    </row>
    <row r="163" spans="1:4" ht="15.75" hidden="1" outlineLevel="2">
      <c r="A163" s="709"/>
      <c r="B163" s="148" t="s">
        <v>499</v>
      </c>
      <c r="C163" s="99">
        <f>C152</f>
        <v>2E-3</v>
      </c>
      <c r="D163" s="136">
        <f>C163*-SUM(D55:D61)</f>
        <v>-1.17</v>
      </c>
    </row>
    <row r="164" spans="1:4" ht="15.75" hidden="1" outlineLevel="2">
      <c r="A164" s="709"/>
      <c r="B164" s="145" t="s">
        <v>500</v>
      </c>
      <c r="C164" s="97">
        <f>C153</f>
        <v>8.0000000000000004E-4</v>
      </c>
      <c r="D164" s="150">
        <f>C164*-D142</f>
        <v>-0.65</v>
      </c>
    </row>
    <row r="165" spans="1:4" ht="15.75" hidden="1" outlineLevel="1">
      <c r="A165" s="663" t="s">
        <v>501</v>
      </c>
      <c r="B165" s="664"/>
      <c r="C165" s="33">
        <f>D165/D140</f>
        <v>-1.03E-2</v>
      </c>
      <c r="D165" s="119">
        <f>SUM(D157:D164)</f>
        <v>-18.97</v>
      </c>
    </row>
    <row r="166" spans="1:4" ht="15.75" hidden="1" outlineLevel="1">
      <c r="A166" s="697"/>
      <c r="B166" s="698"/>
      <c r="C166" s="698"/>
      <c r="D166" s="699"/>
    </row>
    <row r="167" spans="1:4" ht="15.75" hidden="1" outlineLevel="1">
      <c r="A167" s="663" t="s">
        <v>502</v>
      </c>
      <c r="B167" s="664"/>
      <c r="C167" s="33">
        <f>D167/D140</f>
        <v>5.9499999999999997E-2</v>
      </c>
      <c r="D167" s="119">
        <f>D154+D165</f>
        <v>109.43</v>
      </c>
    </row>
    <row r="168" spans="1:4" ht="15.75" hidden="1" outlineLevel="1">
      <c r="A168" s="697"/>
      <c r="B168" s="698"/>
      <c r="C168" s="698"/>
      <c r="D168" s="699"/>
    </row>
    <row r="169" spans="1:4" ht="15.75" hidden="1" outlineLevel="1">
      <c r="A169" s="701" t="s">
        <v>503</v>
      </c>
      <c r="B169" s="702"/>
      <c r="C169" s="113" t="s">
        <v>383</v>
      </c>
      <c r="D169" s="113" t="s">
        <v>352</v>
      </c>
    </row>
    <row r="170" spans="1:4" ht="15.75" hidden="1" outlineLevel="1">
      <c r="A170" s="114" t="s">
        <v>461</v>
      </c>
      <c r="B170" s="34" t="s">
        <v>462</v>
      </c>
      <c r="C170" s="37"/>
      <c r="D170" s="153">
        <f>D138</f>
        <v>237.7</v>
      </c>
    </row>
    <row r="171" spans="1:4" ht="15.75" hidden="1" outlineLevel="1">
      <c r="A171" s="114" t="s">
        <v>482</v>
      </c>
      <c r="B171" s="34" t="s">
        <v>483</v>
      </c>
      <c r="C171" s="37"/>
      <c r="D171" s="153">
        <f>D167</f>
        <v>109.43</v>
      </c>
    </row>
    <row r="172" spans="1:4" ht="15.75" collapsed="1">
      <c r="A172" s="663" t="s">
        <v>176</v>
      </c>
      <c r="B172" s="700"/>
      <c r="C172" s="664"/>
      <c r="D172" s="122">
        <f>SUM(D170:D171)</f>
        <v>347.13</v>
      </c>
    </row>
    <row r="173" spans="1:4" ht="15.75">
      <c r="A173" s="697"/>
      <c r="B173" s="698"/>
      <c r="C173" s="698"/>
      <c r="D173" s="699"/>
    </row>
    <row r="174" spans="1:4" ht="15.75">
      <c r="A174" s="668" t="s">
        <v>504</v>
      </c>
      <c r="B174" s="669"/>
      <c r="C174" s="669"/>
      <c r="D174" s="670"/>
    </row>
    <row r="175" spans="1:4" ht="15.75" hidden="1" outlineLevel="1">
      <c r="A175" s="697"/>
      <c r="B175" s="698"/>
      <c r="C175" s="698"/>
      <c r="D175" s="699"/>
    </row>
    <row r="176" spans="1:4" ht="15.75" hidden="1" outlineLevel="1">
      <c r="A176" s="66">
        <v>5</v>
      </c>
      <c r="B176" s="663" t="s">
        <v>505</v>
      </c>
      <c r="C176" s="664"/>
      <c r="D176" s="113" t="s">
        <v>352</v>
      </c>
    </row>
    <row r="177" spans="1:4" ht="15.75" hidden="1" outlineLevel="1">
      <c r="A177" s="114" t="s">
        <v>353</v>
      </c>
      <c r="B177" s="717" t="s">
        <v>506</v>
      </c>
      <c r="C177" s="718"/>
      <c r="D177" s="136">
        <f>INSUMOS!H14</f>
        <v>25.55</v>
      </c>
    </row>
    <row r="178" spans="1:4" ht="15.75" hidden="1" outlineLevel="1">
      <c r="A178" s="114" t="s">
        <v>322</v>
      </c>
      <c r="B178" s="717" t="s">
        <v>541</v>
      </c>
      <c r="C178" s="718"/>
      <c r="D178" s="154">
        <f>INSUMOS!H37</f>
        <v>26.74</v>
      </c>
    </row>
    <row r="179" spans="1:4" ht="15.75" hidden="1" outlineLevel="1">
      <c r="A179" s="114" t="s">
        <v>325</v>
      </c>
      <c r="B179" s="649" t="s">
        <v>508</v>
      </c>
      <c r="C179" s="650"/>
      <c r="D179" s="154">
        <f>MATERIAIS!S109</f>
        <v>529.4</v>
      </c>
    </row>
    <row r="180" spans="1:4" ht="15.75" hidden="1" outlineLevel="1">
      <c r="A180" s="114" t="s">
        <v>328</v>
      </c>
      <c r="B180" s="649" t="s">
        <v>509</v>
      </c>
      <c r="C180" s="650"/>
      <c r="D180" s="154">
        <f>EQUIPAMENTOS!T111</f>
        <v>33.880000000000003</v>
      </c>
    </row>
    <row r="181" spans="1:4" ht="15.75" hidden="1" outlineLevel="1">
      <c r="A181" s="114" t="s">
        <v>331</v>
      </c>
      <c r="B181" s="651" t="s">
        <v>372</v>
      </c>
      <c r="C181" s="652"/>
      <c r="D181" s="133">
        <v>0</v>
      </c>
    </row>
    <row r="182" spans="1:4" ht="15.75" collapsed="1">
      <c r="A182" s="114" t="s">
        <v>334</v>
      </c>
      <c r="B182" s="651" t="s">
        <v>372</v>
      </c>
      <c r="C182" s="652"/>
      <c r="D182" s="133">
        <v>0</v>
      </c>
    </row>
    <row r="183" spans="1:4" ht="15.75">
      <c r="A183" s="663" t="s">
        <v>176</v>
      </c>
      <c r="B183" s="700"/>
      <c r="C183" s="664"/>
      <c r="D183" s="119">
        <f>SUM(D177:D181)</f>
        <v>615.57000000000005</v>
      </c>
    </row>
    <row r="184" spans="1:4" ht="15.75">
      <c r="A184" s="679"/>
      <c r="B184" s="679"/>
      <c r="C184" s="679"/>
      <c r="D184" s="679"/>
    </row>
    <row r="185" spans="1:4" ht="15.75">
      <c r="A185" s="723" t="s">
        <v>510</v>
      </c>
      <c r="B185" s="723"/>
      <c r="C185" s="723"/>
      <c r="D185" s="155">
        <f>D39+D83+D126+D172+D182</f>
        <v>3738.34</v>
      </c>
    </row>
    <row r="186" spans="1:4" ht="15.75">
      <c r="A186" s="679"/>
      <c r="B186" s="679"/>
      <c r="C186" s="679"/>
      <c r="D186" s="679"/>
    </row>
    <row r="187" spans="1:4" ht="15.75">
      <c r="A187" s="724" t="s">
        <v>511</v>
      </c>
      <c r="B187" s="724"/>
      <c r="C187" s="724"/>
      <c r="D187" s="724"/>
    </row>
    <row r="188" spans="1:4" ht="15.75" hidden="1" outlineLevel="1">
      <c r="A188" s="725"/>
      <c r="B188" s="726"/>
      <c r="C188" s="726"/>
      <c r="D188" s="727"/>
    </row>
    <row r="189" spans="1:4" ht="15.75" hidden="1" outlineLevel="1">
      <c r="A189" s="66">
        <v>6</v>
      </c>
      <c r="B189" s="120" t="s">
        <v>512</v>
      </c>
      <c r="C189" s="113" t="s">
        <v>383</v>
      </c>
      <c r="D189" s="113" t="s">
        <v>352</v>
      </c>
    </row>
    <row r="190" spans="1:4" ht="15.75" hidden="1" outlineLevel="1">
      <c r="A190" s="114" t="s">
        <v>353</v>
      </c>
      <c r="B190" s="34" t="s">
        <v>513</v>
      </c>
      <c r="C190" s="72">
        <f>'SR - ASG'!C189</f>
        <v>2.6499999999999999E-2</v>
      </c>
      <c r="D190" s="108">
        <f>C190*D185</f>
        <v>99.07</v>
      </c>
    </row>
    <row r="191" spans="1:4" ht="15.75" hidden="1" outlineLevel="1">
      <c r="A191" s="719" t="s">
        <v>514</v>
      </c>
      <c r="B191" s="720"/>
      <c r="C191" s="722"/>
      <c r="D191" s="108">
        <f>D185+D190</f>
        <v>3837.41</v>
      </c>
    </row>
    <row r="192" spans="1:4" ht="15.75" hidden="1" outlineLevel="1">
      <c r="A192" s="114" t="s">
        <v>322</v>
      </c>
      <c r="B192" s="34" t="s">
        <v>515</v>
      </c>
      <c r="C192" s="72">
        <f>'SR - ASG'!C191</f>
        <v>0.1087</v>
      </c>
      <c r="D192" s="108">
        <f>C192*D191</f>
        <v>417.13</v>
      </c>
    </row>
    <row r="193" spans="1:4" ht="15.75" hidden="1" outlineLevel="1">
      <c r="A193" s="719" t="s">
        <v>514</v>
      </c>
      <c r="B193" s="720"/>
      <c r="C193" s="720"/>
      <c r="D193" s="108">
        <f>D192+D191</f>
        <v>4254.54</v>
      </c>
    </row>
    <row r="194" spans="1:4" ht="15.75" hidden="1" outlineLevel="1">
      <c r="A194" s="114" t="s">
        <v>325</v>
      </c>
      <c r="B194" s="649" t="s">
        <v>516</v>
      </c>
      <c r="C194" s="721"/>
      <c r="D194" s="650"/>
    </row>
    <row r="195" spans="1:4" ht="15.75" hidden="1" outlineLevel="1">
      <c r="A195" s="156"/>
      <c r="B195" s="65" t="s">
        <v>517</v>
      </c>
      <c r="C195" s="72">
        <v>6.4999999999999997E-3</v>
      </c>
      <c r="D195" s="108">
        <f>(D193/(1-C198)*C195)</f>
        <v>29.62</v>
      </c>
    </row>
    <row r="196" spans="1:4" ht="15.75" hidden="1" outlineLevel="1">
      <c r="A196" s="156"/>
      <c r="B196" s="65" t="s">
        <v>518</v>
      </c>
      <c r="C196" s="72">
        <v>0.03</v>
      </c>
      <c r="D196" s="108">
        <f>(D193/(1-C198)*C196)</f>
        <v>136.72999999999999</v>
      </c>
    </row>
    <row r="197" spans="1:4" ht="15.75" hidden="1" outlineLevel="1">
      <c r="A197" s="156"/>
      <c r="B197" s="65" t="s">
        <v>562</v>
      </c>
      <c r="C197" s="54">
        <v>0.03</v>
      </c>
      <c r="D197" s="108">
        <f>(D193/(1-C198)*C197)</f>
        <v>136.72999999999999</v>
      </c>
    </row>
    <row r="198" spans="1:4" ht="15.75" hidden="1" outlineLevel="1">
      <c r="A198" s="719" t="s">
        <v>520</v>
      </c>
      <c r="B198" s="722"/>
      <c r="C198" s="55">
        <f>SUM(C195:C197)</f>
        <v>6.6500000000000004E-2</v>
      </c>
      <c r="D198" s="108">
        <f>SUM(D195:D197)</f>
        <v>303.08</v>
      </c>
    </row>
    <row r="199" spans="1:4" ht="15.75" collapsed="1">
      <c r="A199" s="663" t="s">
        <v>176</v>
      </c>
      <c r="B199" s="664"/>
      <c r="C199" s="56">
        <f>(1+C190)*(1+C192)*(1/(1-C198))-1</f>
        <v>0.21920000000000001</v>
      </c>
      <c r="D199" s="111">
        <f>SUM(D198+D190+D192)</f>
        <v>819.28</v>
      </c>
    </row>
    <row r="200" spans="1:4" ht="15.75">
      <c r="A200" s="665"/>
      <c r="B200" s="666"/>
      <c r="C200" s="666"/>
      <c r="D200" s="667"/>
    </row>
    <row r="201" spans="1:4" ht="15.75">
      <c r="A201" s="676" t="s">
        <v>521</v>
      </c>
      <c r="B201" s="678"/>
      <c r="C201" s="677"/>
      <c r="D201" s="57" t="s">
        <v>352</v>
      </c>
    </row>
    <row r="202" spans="1:4" ht="15.75">
      <c r="A202" s="661" t="s">
        <v>522</v>
      </c>
      <c r="B202" s="728"/>
      <c r="C202" s="728"/>
      <c r="D202" s="662"/>
    </row>
    <row r="203" spans="1:4" ht="15.75">
      <c r="A203" s="67" t="s">
        <v>353</v>
      </c>
      <c r="B203" s="661" t="s">
        <v>523</v>
      </c>
      <c r="C203" s="662"/>
      <c r="D203" s="107">
        <f>D39</f>
        <v>1839.73</v>
      </c>
    </row>
    <row r="204" spans="1:4" ht="15.75">
      <c r="A204" s="67" t="s">
        <v>322</v>
      </c>
      <c r="B204" s="661" t="s">
        <v>524</v>
      </c>
      <c r="C204" s="662"/>
      <c r="D204" s="107">
        <f>D83</f>
        <v>1400.27</v>
      </c>
    </row>
    <row r="205" spans="1:4" ht="15.75">
      <c r="A205" s="67" t="s">
        <v>325</v>
      </c>
      <c r="B205" s="661" t="s">
        <v>525</v>
      </c>
      <c r="C205" s="662"/>
      <c r="D205" s="107">
        <f>D126</f>
        <v>151.21</v>
      </c>
    </row>
    <row r="206" spans="1:4" ht="15.75">
      <c r="A206" s="67" t="s">
        <v>328</v>
      </c>
      <c r="B206" s="661" t="s">
        <v>526</v>
      </c>
      <c r="C206" s="662"/>
      <c r="D206" s="107">
        <f>D172</f>
        <v>347.13</v>
      </c>
    </row>
    <row r="207" spans="1:4" ht="15.75">
      <c r="A207" s="67" t="s">
        <v>331</v>
      </c>
      <c r="B207" s="661" t="s">
        <v>527</v>
      </c>
      <c r="C207" s="662"/>
      <c r="D207" s="107">
        <f>D182</f>
        <v>0</v>
      </c>
    </row>
    <row r="208" spans="1:4" ht="15.75">
      <c r="A208" s="738" t="s">
        <v>528</v>
      </c>
      <c r="B208" s="739"/>
      <c r="C208" s="740"/>
      <c r="D208" s="107">
        <f>SUM(D203:D207)</f>
        <v>3738.34</v>
      </c>
    </row>
    <row r="209" spans="1:4" ht="15.75">
      <c r="A209" s="67" t="s">
        <v>529</v>
      </c>
      <c r="B209" s="661" t="s">
        <v>530</v>
      </c>
      <c r="C209" s="662"/>
      <c r="D209" s="107">
        <f>D199</f>
        <v>819.28</v>
      </c>
    </row>
    <row r="210" spans="1:4" ht="15.75">
      <c r="A210" s="676" t="s">
        <v>531</v>
      </c>
      <c r="B210" s="678"/>
      <c r="C210" s="677"/>
      <c r="D210" s="157">
        <f xml:space="preserve"> D208+D209</f>
        <v>4557.62</v>
      </c>
    </row>
    <row r="211" spans="1:4" ht="15.75">
      <c r="A211" s="27"/>
      <c r="B211" s="27"/>
      <c r="C211" s="27"/>
      <c r="D211" s="27"/>
    </row>
    <row r="212" spans="1:4" ht="15.75" thickBot="1">
      <c r="A212" s="20"/>
      <c r="B212" s="20"/>
      <c r="C212" s="20"/>
      <c r="D212" s="20"/>
    </row>
    <row r="213" spans="1:4" ht="15.75">
      <c r="A213" s="646" t="s">
        <v>532</v>
      </c>
      <c r="B213" s="647"/>
      <c r="C213" s="647"/>
      <c r="D213" s="648"/>
    </row>
    <row r="214" spans="1:4" ht="31.5">
      <c r="A214" s="175" t="s">
        <v>533</v>
      </c>
      <c r="B214" s="176" t="s">
        <v>534</v>
      </c>
      <c r="C214" s="177" t="s">
        <v>535</v>
      </c>
      <c r="D214" s="178" t="s">
        <v>536</v>
      </c>
    </row>
    <row r="215" spans="1:4" ht="16.5" thickBot="1">
      <c r="A215" s="179">
        <v>3</v>
      </c>
      <c r="B215" s="182">
        <f>1/(C11/A215)</f>
        <v>2.536697558E-3</v>
      </c>
      <c r="C215" s="180">
        <f>D210</f>
        <v>4557.62</v>
      </c>
      <c r="D215" s="184">
        <f>C215*B215</f>
        <v>11.561303523999999</v>
      </c>
    </row>
  </sheetData>
  <mergeCells count="108"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91:C191"/>
    <mergeCell ref="B176:C176"/>
    <mergeCell ref="B177:C177"/>
    <mergeCell ref="B178:C178"/>
    <mergeCell ref="B179:C179"/>
    <mergeCell ref="B181:C181"/>
    <mergeCell ref="A168:D168"/>
    <mergeCell ref="A169:B169"/>
    <mergeCell ref="A172:C172"/>
    <mergeCell ref="A173:D173"/>
    <mergeCell ref="A174:D174"/>
    <mergeCell ref="A175:D175"/>
    <mergeCell ref="A208:C208"/>
    <mergeCell ref="B209:C209"/>
    <mergeCell ref="A210:C210"/>
    <mergeCell ref="A213:D213"/>
    <mergeCell ref="B180:C180"/>
    <mergeCell ref="B182:C182"/>
    <mergeCell ref="A183:C183"/>
    <mergeCell ref="A184:D184"/>
    <mergeCell ref="A202:D202"/>
    <mergeCell ref="B203:C203"/>
    <mergeCell ref="B204:C204"/>
    <mergeCell ref="B205:C205"/>
    <mergeCell ref="B206:C206"/>
    <mergeCell ref="B207:C207"/>
    <mergeCell ref="A193:C193"/>
    <mergeCell ref="B194:D194"/>
    <mergeCell ref="A198:B198"/>
    <mergeCell ref="A199:B199"/>
    <mergeCell ref="A200:D200"/>
    <mergeCell ref="A201:C201"/>
    <mergeCell ref="A185:C185"/>
    <mergeCell ref="A186:D186"/>
    <mergeCell ref="A187:D187"/>
    <mergeCell ref="A188:D188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BDB0F-E20C-4B85-82B9-18DABB847D53}">
  <sheetPr codeName="Planilha17">
    <pageSetUpPr fitToPage="1"/>
  </sheetPr>
  <dimension ref="A1:D215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>
      <c r="A1" s="680" t="s">
        <v>313</v>
      </c>
      <c r="B1" s="680"/>
      <c r="C1" s="680"/>
      <c r="D1" s="680"/>
    </row>
    <row r="2" spans="1:4" ht="15.75">
      <c r="A2" s="681" t="s">
        <v>314</v>
      </c>
      <c r="B2" s="681"/>
      <c r="C2" s="682" t="s">
        <v>315</v>
      </c>
      <c r="D2" s="683"/>
    </row>
    <row r="3" spans="1:4" ht="15.75">
      <c r="A3" s="681" t="s">
        <v>316</v>
      </c>
      <c r="B3" s="681"/>
      <c r="C3" s="682" t="s">
        <v>317</v>
      </c>
      <c r="D3" s="683"/>
    </row>
    <row r="4" spans="1:4" ht="15.75">
      <c r="A4" s="653"/>
      <c r="B4" s="653"/>
      <c r="C4" s="653"/>
      <c r="D4" s="653"/>
    </row>
    <row r="5" spans="1:4" ht="15.75">
      <c r="A5" s="653" t="s">
        <v>318</v>
      </c>
      <c r="B5" s="653"/>
      <c r="C5" s="653"/>
      <c r="D5" s="653"/>
    </row>
    <row r="6" spans="1:4" ht="15.75">
      <c r="A6" s="67" t="s">
        <v>319</v>
      </c>
      <c r="B6" s="65" t="s">
        <v>320</v>
      </c>
      <c r="C6" s="654" t="s">
        <v>321</v>
      </c>
      <c r="D6" s="655"/>
    </row>
    <row r="7" spans="1:4" ht="15.75">
      <c r="A7" s="67" t="s">
        <v>322</v>
      </c>
      <c r="B7" s="65" t="s">
        <v>323</v>
      </c>
      <c r="C7" s="656" t="s">
        <v>563</v>
      </c>
      <c r="D7" s="656"/>
    </row>
    <row r="8" spans="1:4" ht="15.75">
      <c r="A8" s="28" t="s">
        <v>325</v>
      </c>
      <c r="B8" s="29" t="s">
        <v>326</v>
      </c>
      <c r="C8" s="736" t="s">
        <v>564</v>
      </c>
      <c r="D8" s="737"/>
    </row>
    <row r="9" spans="1:4" ht="15.75">
      <c r="A9" s="67" t="s">
        <v>328</v>
      </c>
      <c r="B9" s="65" t="s">
        <v>329</v>
      </c>
      <c r="C9" s="659" t="s">
        <v>330</v>
      </c>
      <c r="D9" s="660"/>
    </row>
    <row r="10" spans="1:4" ht="15.75">
      <c r="A10" s="67" t="s">
        <v>331</v>
      </c>
      <c r="B10" s="65" t="s">
        <v>332</v>
      </c>
      <c r="C10" s="659" t="s">
        <v>333</v>
      </c>
      <c r="D10" s="660"/>
    </row>
    <row r="11" spans="1:4" ht="15.75">
      <c r="A11" s="67" t="s">
        <v>334</v>
      </c>
      <c r="B11" s="65" t="s">
        <v>335</v>
      </c>
      <c r="C11" s="686">
        <f>Resumo!F14</f>
        <v>5920.79</v>
      </c>
      <c r="D11" s="687"/>
    </row>
    <row r="12" spans="1:4" ht="15.75">
      <c r="A12" s="67" t="s">
        <v>394</v>
      </c>
      <c r="B12" s="65" t="s">
        <v>337</v>
      </c>
      <c r="C12" s="688">
        <f>Resumo!I5</f>
        <v>20</v>
      </c>
      <c r="D12" s="675"/>
    </row>
    <row r="13" spans="1:4" ht="15.75">
      <c r="A13" s="689"/>
      <c r="B13" s="690"/>
      <c r="C13" s="690"/>
      <c r="D13" s="690"/>
    </row>
    <row r="14" spans="1:4" ht="15.75">
      <c r="A14" s="691" t="s">
        <v>338</v>
      </c>
      <c r="B14" s="692"/>
      <c r="C14" s="692"/>
      <c r="D14" s="693"/>
    </row>
    <row r="15" spans="1:4" ht="15.75">
      <c r="A15" s="656" t="s">
        <v>339</v>
      </c>
      <c r="B15" s="656"/>
      <c r="C15" s="656"/>
      <c r="D15" s="656"/>
    </row>
    <row r="16" spans="1:4" ht="15.75">
      <c r="A16" s="67">
        <v>1</v>
      </c>
      <c r="B16" s="65" t="s">
        <v>340</v>
      </c>
      <c r="C16" s="659" t="s">
        <v>341</v>
      </c>
      <c r="D16" s="660" t="s">
        <v>62</v>
      </c>
    </row>
    <row r="17" spans="1:4" ht="15.75">
      <c r="A17" s="67">
        <v>2</v>
      </c>
      <c r="B17" s="30" t="s">
        <v>342</v>
      </c>
      <c r="C17" s="684" t="s">
        <v>343</v>
      </c>
      <c r="D17" s="685"/>
    </row>
    <row r="18" spans="1:4" ht="15.75">
      <c r="A18" s="656" t="s">
        <v>344</v>
      </c>
      <c r="B18" s="656"/>
      <c r="C18" s="656"/>
      <c r="D18" s="656"/>
    </row>
    <row r="19" spans="1:4" ht="15.75">
      <c r="A19" s="67">
        <v>3</v>
      </c>
      <c r="B19" s="661" t="s">
        <v>345</v>
      </c>
      <c r="C19" s="662"/>
      <c r="D19" s="106">
        <v>1314.09</v>
      </c>
    </row>
    <row r="20" spans="1:4" ht="15.75">
      <c r="A20" s="67">
        <v>4</v>
      </c>
      <c r="B20" s="661" t="s">
        <v>346</v>
      </c>
      <c r="C20" s="662"/>
      <c r="D20" s="158">
        <v>220</v>
      </c>
    </row>
    <row r="21" spans="1:4" ht="15.75">
      <c r="A21" s="67">
        <v>5</v>
      </c>
      <c r="B21" s="661" t="s">
        <v>347</v>
      </c>
      <c r="C21" s="662"/>
      <c r="D21" s="75" t="s">
        <v>348</v>
      </c>
    </row>
    <row r="22" spans="1:4" ht="15.75">
      <c r="A22" s="67">
        <v>6</v>
      </c>
      <c r="B22" s="661" t="s">
        <v>349</v>
      </c>
      <c r="C22" s="662"/>
      <c r="D22" s="76">
        <v>44562</v>
      </c>
    </row>
    <row r="23" spans="1:4" ht="15.75">
      <c r="A23" s="659"/>
      <c r="B23" s="671"/>
      <c r="C23" s="671"/>
      <c r="D23" s="660"/>
    </row>
    <row r="24" spans="1:4" ht="15.75">
      <c r="A24" s="672" t="s">
        <v>350</v>
      </c>
      <c r="B24" s="672"/>
      <c r="C24" s="672"/>
      <c r="D24" s="672"/>
    </row>
    <row r="25" spans="1:4" ht="15.75">
      <c r="A25" s="673"/>
      <c r="B25" s="674"/>
      <c r="C25" s="674"/>
      <c r="D25" s="675"/>
    </row>
    <row r="26" spans="1:4" ht="15.75">
      <c r="A26" s="66">
        <v>1</v>
      </c>
      <c r="B26" s="676" t="s">
        <v>351</v>
      </c>
      <c r="C26" s="677"/>
      <c r="D26" s="66" t="s">
        <v>352</v>
      </c>
    </row>
    <row r="27" spans="1:4" ht="15.75" hidden="1" outlineLevel="1">
      <c r="A27" s="67" t="s">
        <v>353</v>
      </c>
      <c r="B27" s="65" t="s">
        <v>354</v>
      </c>
      <c r="C27" s="73">
        <f>'SR - ASG'!C27</f>
        <v>220</v>
      </c>
      <c r="D27" s="107">
        <f>D19/220*C27</f>
        <v>1314.09</v>
      </c>
    </row>
    <row r="28" spans="1:4" ht="15.75" hidden="1" outlineLevel="1">
      <c r="A28" s="67" t="s">
        <v>322</v>
      </c>
      <c r="B28" s="65" t="s">
        <v>557</v>
      </c>
      <c r="C28" s="31">
        <v>0</v>
      </c>
      <c r="D28" s="107">
        <f>C28*D27</f>
        <v>0</v>
      </c>
    </row>
    <row r="29" spans="1:4" ht="15.75" hidden="1" outlineLevel="1">
      <c r="A29" s="67" t="s">
        <v>325</v>
      </c>
      <c r="B29" s="65" t="s">
        <v>356</v>
      </c>
      <c r="C29" s="31">
        <v>0.4</v>
      </c>
      <c r="D29" s="107">
        <f>C29*D27</f>
        <v>525.64</v>
      </c>
    </row>
    <row r="30" spans="1:4" ht="15.75" hidden="1" outlineLevel="1">
      <c r="A30" s="67" t="s">
        <v>328</v>
      </c>
      <c r="B30" s="65" t="s">
        <v>357</v>
      </c>
      <c r="C30" s="159">
        <v>0</v>
      </c>
      <c r="D30" s="108">
        <f>SUM(D31:D32)</f>
        <v>0</v>
      </c>
    </row>
    <row r="31" spans="1:4" ht="15.75" hidden="1" outlineLevel="2">
      <c r="A31" s="80" t="s">
        <v>358</v>
      </c>
      <c r="B31" s="65" t="s">
        <v>359</v>
      </c>
      <c r="C31" s="81">
        <v>0.2</v>
      </c>
      <c r="D31" s="108">
        <f>(SUM(D27:D29)/C27)*C31*15*C30</f>
        <v>0</v>
      </c>
    </row>
    <row r="32" spans="1:4" ht="15.75" hidden="1" outlineLevel="2">
      <c r="A32" s="80" t="s">
        <v>360</v>
      </c>
      <c r="B32" s="65" t="s">
        <v>361</v>
      </c>
      <c r="C32" s="82">
        <f>C30*(60/52.5)/8</f>
        <v>0</v>
      </c>
      <c r="D32" s="108">
        <f>(SUM(D27:D29)/C27)*(C31)*15*C32</f>
        <v>0</v>
      </c>
    </row>
    <row r="33" spans="1:4" ht="15.75" hidden="1" outlineLevel="1">
      <c r="A33" s="67" t="s">
        <v>331</v>
      </c>
      <c r="B33" s="65" t="s">
        <v>362</v>
      </c>
      <c r="C33" s="31" t="s">
        <v>363</v>
      </c>
      <c r="D33" s="1">
        <f>SUM(D34:D37)</f>
        <v>0</v>
      </c>
    </row>
    <row r="34" spans="1:4" ht="15.75" hidden="1" outlineLevel="2">
      <c r="A34" s="83" t="s">
        <v>364</v>
      </c>
      <c r="B34" s="84" t="s">
        <v>365</v>
      </c>
      <c r="C34" s="85">
        <v>0</v>
      </c>
      <c r="D34" s="109">
        <f>(SUM($D$27:$D$29)/$C$27)*C34*1.5</f>
        <v>0</v>
      </c>
    </row>
    <row r="35" spans="1:4" ht="15.75" hidden="1" outlineLevel="2">
      <c r="A35" s="83" t="s">
        <v>366</v>
      </c>
      <c r="B35" s="86" t="s">
        <v>367</v>
      </c>
      <c r="C35" s="87">
        <v>0</v>
      </c>
      <c r="D35" s="109">
        <f>(SUM($D$27:$D$29)/$C$27)*C35*((60/52.5)*1.2*1.5)</f>
        <v>0</v>
      </c>
    </row>
    <row r="36" spans="1:4" ht="15.75" hidden="1" outlineLevel="2">
      <c r="A36" s="83" t="s">
        <v>368</v>
      </c>
      <c r="B36" s="84" t="s">
        <v>369</v>
      </c>
      <c r="C36" s="88">
        <f>C34*0.1429</f>
        <v>0</v>
      </c>
      <c r="D36" s="109">
        <f>(SUM($D$27:$D$29)/$C$27)*C36*2</f>
        <v>0</v>
      </c>
    </row>
    <row r="37" spans="1:4" ht="15.75" hidden="1" outlineLevel="2">
      <c r="A37" s="83" t="s">
        <v>370</v>
      </c>
      <c r="B37" s="84" t="s">
        <v>371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>
      <c r="A38" s="67" t="s">
        <v>334</v>
      </c>
      <c r="B38" s="58" t="s">
        <v>372</v>
      </c>
      <c r="C38" s="59">
        <v>0</v>
      </c>
      <c r="D38" s="110">
        <v>0</v>
      </c>
    </row>
    <row r="39" spans="1:4" ht="15.75" collapsed="1">
      <c r="A39" s="676" t="s">
        <v>373</v>
      </c>
      <c r="B39" s="678"/>
      <c r="C39" s="677"/>
      <c r="D39" s="111">
        <f>SUM(D27:D30,D33,D38)</f>
        <v>1839.73</v>
      </c>
    </row>
    <row r="40" spans="1:4" ht="15.75">
      <c r="A40" s="679"/>
      <c r="B40" s="679"/>
      <c r="C40" s="679"/>
      <c r="D40" s="679"/>
    </row>
    <row r="41" spans="1:4" ht="15.75" hidden="1" outlineLevel="1">
      <c r="A41" s="89" t="s">
        <v>374</v>
      </c>
      <c r="B41" s="112" t="s">
        <v>375</v>
      </c>
      <c r="C41" s="113" t="s">
        <v>376</v>
      </c>
      <c r="D41" s="113" t="s">
        <v>352</v>
      </c>
    </row>
    <row r="42" spans="1:4" ht="15.75" hidden="1" outlineLevel="1">
      <c r="A42" s="114" t="s">
        <v>353</v>
      </c>
      <c r="B42" s="30" t="s">
        <v>377</v>
      </c>
      <c r="C42" s="90">
        <v>0</v>
      </c>
      <c r="D42" s="115">
        <f>(SUM(D27)/$C$27)*C42*1.5</f>
        <v>0</v>
      </c>
    </row>
    <row r="43" spans="1:4" ht="15.75" hidden="1" outlineLevel="1">
      <c r="A43" s="116" t="s">
        <v>325</v>
      </c>
      <c r="B43" s="117" t="s">
        <v>378</v>
      </c>
      <c r="C43" s="118">
        <v>0</v>
      </c>
      <c r="D43" s="107">
        <f>C43*177</f>
        <v>0</v>
      </c>
    </row>
    <row r="44" spans="1:4" ht="15.75" hidden="1" outlineLevel="1">
      <c r="A44" s="67" t="s">
        <v>328</v>
      </c>
      <c r="B44" s="58" t="s">
        <v>372</v>
      </c>
      <c r="C44" s="59">
        <v>0</v>
      </c>
      <c r="D44" s="110">
        <v>0</v>
      </c>
    </row>
    <row r="45" spans="1:4" ht="15.75" collapsed="1">
      <c r="A45" s="663" t="s">
        <v>379</v>
      </c>
      <c r="B45" s="664"/>
      <c r="C45" s="33">
        <f>D45/D39</f>
        <v>0</v>
      </c>
      <c r="D45" s="119">
        <f>SUM(D42:D43)</f>
        <v>0</v>
      </c>
    </row>
    <row r="46" spans="1:4" ht="15.75">
      <c r="A46" s="665"/>
      <c r="B46" s="666"/>
      <c r="C46" s="666"/>
      <c r="D46" s="667"/>
    </row>
    <row r="47" spans="1:4" ht="15.75">
      <c r="A47" s="668" t="s">
        <v>380</v>
      </c>
      <c r="B47" s="669"/>
      <c r="C47" s="669"/>
      <c r="D47" s="670"/>
    </row>
    <row r="48" spans="1:4" ht="15.75" hidden="1" outlineLevel="1">
      <c r="A48" s="665"/>
      <c r="B48" s="666"/>
      <c r="C48" s="666"/>
      <c r="D48" s="667"/>
    </row>
    <row r="49" spans="1:4" ht="15.75" hidden="1" outlineLevel="1">
      <c r="A49" s="113" t="s">
        <v>381</v>
      </c>
      <c r="B49" s="112" t="s">
        <v>382</v>
      </c>
      <c r="C49" s="113" t="s">
        <v>383</v>
      </c>
      <c r="D49" s="113" t="s">
        <v>352</v>
      </c>
    </row>
    <row r="50" spans="1:4" ht="15.75" hidden="1" outlineLevel="2">
      <c r="A50" s="116" t="s">
        <v>353</v>
      </c>
      <c r="B50" s="117" t="s">
        <v>384</v>
      </c>
      <c r="C50" s="32">
        <f>1/12</f>
        <v>8.3299999999999999E-2</v>
      </c>
      <c r="D50" s="107">
        <f>C50*D39</f>
        <v>153.25</v>
      </c>
    </row>
    <row r="51" spans="1:4" ht="15.75" hidden="1" outlineLevel="2">
      <c r="A51" s="116" t="s">
        <v>322</v>
      </c>
      <c r="B51" s="117" t="s">
        <v>385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>
      <c r="A52" s="663" t="s">
        <v>176</v>
      </c>
      <c r="B52" s="664"/>
      <c r="C52" s="33">
        <f>SUM(C50:C51)</f>
        <v>0.1</v>
      </c>
      <c r="D52" s="119">
        <f>SUM(D50:D51)</f>
        <v>183.97</v>
      </c>
    </row>
    <row r="53" spans="1:4" ht="15.75" hidden="1" outlineLevel="1">
      <c r="A53" s="665"/>
      <c r="B53" s="666"/>
      <c r="C53" s="666"/>
      <c r="D53" s="667"/>
    </row>
    <row r="54" spans="1:4" ht="15.75" hidden="1" outlineLevel="1">
      <c r="A54" s="113" t="s">
        <v>386</v>
      </c>
      <c r="B54" s="120" t="s">
        <v>387</v>
      </c>
      <c r="C54" s="113" t="s">
        <v>383</v>
      </c>
      <c r="D54" s="121" t="s">
        <v>352</v>
      </c>
    </row>
    <row r="55" spans="1:4" ht="15.75" hidden="1" outlineLevel="2">
      <c r="A55" s="114" t="s">
        <v>353</v>
      </c>
      <c r="B55" s="34" t="s">
        <v>388</v>
      </c>
      <c r="C55" s="35">
        <v>0.2</v>
      </c>
      <c r="D55" s="107">
        <f t="shared" ref="D55:D62" si="0">C55*($D$39+$D$52)</f>
        <v>404.74</v>
      </c>
    </row>
    <row r="56" spans="1:4" ht="15.75" hidden="1" outlineLevel="2">
      <c r="A56" s="114" t="s">
        <v>322</v>
      </c>
      <c r="B56" s="34" t="s">
        <v>389</v>
      </c>
      <c r="C56" s="35">
        <v>2.5000000000000001E-2</v>
      </c>
      <c r="D56" s="107">
        <f t="shared" si="0"/>
        <v>50.59</v>
      </c>
    </row>
    <row r="57" spans="1:4" ht="15.75" hidden="1" outlineLevel="2">
      <c r="A57" s="114" t="s">
        <v>325</v>
      </c>
      <c r="B57" s="34" t="s">
        <v>390</v>
      </c>
      <c r="C57" s="68">
        <v>0.03</v>
      </c>
      <c r="D57" s="107">
        <f t="shared" si="0"/>
        <v>60.71</v>
      </c>
    </row>
    <row r="58" spans="1:4" ht="15.75" hidden="1" outlineLevel="2">
      <c r="A58" s="114" t="s">
        <v>328</v>
      </c>
      <c r="B58" s="34" t="s">
        <v>391</v>
      </c>
      <c r="C58" s="35">
        <v>1.4999999999999999E-2</v>
      </c>
      <c r="D58" s="107">
        <f t="shared" si="0"/>
        <v>30.36</v>
      </c>
    </row>
    <row r="59" spans="1:4" ht="15.75" hidden="1" outlineLevel="2">
      <c r="A59" s="114" t="s">
        <v>331</v>
      </c>
      <c r="B59" s="34" t="s">
        <v>392</v>
      </c>
      <c r="C59" s="35">
        <v>0.01</v>
      </c>
      <c r="D59" s="107">
        <f t="shared" si="0"/>
        <v>20.239999999999998</v>
      </c>
    </row>
    <row r="60" spans="1:4" ht="15.75" hidden="1" outlineLevel="2">
      <c r="A60" s="114" t="s">
        <v>334</v>
      </c>
      <c r="B60" s="34" t="s">
        <v>393</v>
      </c>
      <c r="C60" s="35">
        <v>6.0000000000000001E-3</v>
      </c>
      <c r="D60" s="107">
        <f t="shared" si="0"/>
        <v>12.14</v>
      </c>
    </row>
    <row r="61" spans="1:4" ht="15.75" hidden="1" outlineLevel="2">
      <c r="A61" s="114" t="s">
        <v>394</v>
      </c>
      <c r="B61" s="34" t="s">
        <v>395</v>
      </c>
      <c r="C61" s="35">
        <v>2E-3</v>
      </c>
      <c r="D61" s="107">
        <f t="shared" si="0"/>
        <v>4.05</v>
      </c>
    </row>
    <row r="62" spans="1:4" ht="15.75" hidden="1" outlineLevel="2">
      <c r="A62" s="114" t="s">
        <v>336</v>
      </c>
      <c r="B62" s="34" t="s">
        <v>396</v>
      </c>
      <c r="C62" s="35">
        <v>0.08</v>
      </c>
      <c r="D62" s="107">
        <f t="shared" si="0"/>
        <v>161.9</v>
      </c>
    </row>
    <row r="63" spans="1:4" ht="15.75" hidden="1" outlineLevel="1">
      <c r="A63" s="663" t="s">
        <v>176</v>
      </c>
      <c r="B63" s="664"/>
      <c r="C63" s="36">
        <f>SUM(C55:C62)</f>
        <v>0.36799999999999999</v>
      </c>
      <c r="D63" s="122">
        <f>SUM(D55:D62)</f>
        <v>744.73</v>
      </c>
    </row>
    <row r="64" spans="1:4" ht="15.75" hidden="1" outlineLevel="1">
      <c r="A64" s="665"/>
      <c r="B64" s="666"/>
      <c r="C64" s="666"/>
      <c r="D64" s="667"/>
    </row>
    <row r="65" spans="1:4" ht="15.75" hidden="1" outlineLevel="1">
      <c r="A65" s="113" t="s">
        <v>397</v>
      </c>
      <c r="B65" s="120" t="s">
        <v>398</v>
      </c>
      <c r="C65" s="113" t="s">
        <v>399</v>
      </c>
      <c r="D65" s="113" t="s">
        <v>352</v>
      </c>
    </row>
    <row r="66" spans="1:4" ht="15.75" hidden="1" outlineLevel="2">
      <c r="A66" s="114" t="s">
        <v>353</v>
      </c>
      <c r="B66" s="34" t="s">
        <v>400</v>
      </c>
      <c r="C66" s="123">
        <v>3.9</v>
      </c>
      <c r="D66" s="124">
        <f>IF(D67+D68&gt;0,(D67+D68),0)</f>
        <v>84.95</v>
      </c>
    </row>
    <row r="67" spans="1:4" ht="15.75" hidden="1" outlineLevel="3">
      <c r="A67" s="125" t="s">
        <v>401</v>
      </c>
      <c r="B67" s="34" t="s">
        <v>402</v>
      </c>
      <c r="C67" s="126">
        <v>21</v>
      </c>
      <c r="D67" s="127">
        <f>C66*C67*2</f>
        <v>163.80000000000001</v>
      </c>
    </row>
    <row r="68" spans="1:4" ht="15.75" hidden="1" outlineLevel="3">
      <c r="A68" s="125" t="s">
        <v>403</v>
      </c>
      <c r="B68" s="34" t="s">
        <v>404</v>
      </c>
      <c r="C68" s="128">
        <v>0.06</v>
      </c>
      <c r="D68" s="127">
        <f>-D27*C68</f>
        <v>-78.849999999999994</v>
      </c>
    </row>
    <row r="69" spans="1:4" ht="15.75" hidden="1" outlineLevel="2">
      <c r="A69" s="114" t="s">
        <v>322</v>
      </c>
      <c r="B69" s="34" t="s">
        <v>405</v>
      </c>
      <c r="C69" s="129">
        <f>'SR - ASG'!C69</f>
        <v>20.18</v>
      </c>
      <c r="D69" s="124">
        <f>D70+D71</f>
        <v>343.26</v>
      </c>
    </row>
    <row r="70" spans="1:4" ht="15.75" hidden="1" outlineLevel="3">
      <c r="A70" s="125" t="s">
        <v>406</v>
      </c>
      <c r="B70" s="34" t="s">
        <v>407</v>
      </c>
      <c r="C70" s="126">
        <v>21</v>
      </c>
      <c r="D70" s="127">
        <f>C69*C70</f>
        <v>423.78</v>
      </c>
    </row>
    <row r="71" spans="1:4" ht="15.75" hidden="1" outlineLevel="3">
      <c r="A71" s="125" t="s">
        <v>408</v>
      </c>
      <c r="B71" s="34" t="s">
        <v>409</v>
      </c>
      <c r="C71" s="130">
        <v>-0.19</v>
      </c>
      <c r="D71" s="127">
        <f>D70*C71</f>
        <v>-80.52</v>
      </c>
    </row>
    <row r="72" spans="1:4" ht="15.75" hidden="1" outlineLevel="2">
      <c r="A72" s="114" t="s">
        <v>325</v>
      </c>
      <c r="B72" s="77" t="s">
        <v>410</v>
      </c>
      <c r="C72" s="129">
        <v>17.32</v>
      </c>
      <c r="D72" s="132">
        <f>C72</f>
        <v>17.32</v>
      </c>
    </row>
    <row r="73" spans="1:4" ht="15.75" hidden="1" outlineLevel="2">
      <c r="A73" s="114" t="s">
        <v>328</v>
      </c>
      <c r="B73" s="78" t="s">
        <v>411</v>
      </c>
      <c r="C73" s="129">
        <f>140*3</f>
        <v>420</v>
      </c>
      <c r="D73" s="132">
        <f>C73*C152</f>
        <v>0.84</v>
      </c>
    </row>
    <row r="74" spans="1:4" ht="15.75" hidden="1" outlineLevel="2">
      <c r="A74" s="114" t="s">
        <v>331</v>
      </c>
      <c r="B74" s="77" t="s">
        <v>412</v>
      </c>
      <c r="C74" s="129">
        <v>21</v>
      </c>
      <c r="D74" s="132">
        <f>C74</f>
        <v>21</v>
      </c>
    </row>
    <row r="75" spans="1:4" ht="15.75" hidden="1" outlineLevel="2">
      <c r="A75" s="114" t="s">
        <v>334</v>
      </c>
      <c r="B75" s="77" t="s">
        <v>372</v>
      </c>
      <c r="C75" s="131">
        <v>0</v>
      </c>
      <c r="D75" s="132">
        <f>C75*D39</f>
        <v>0</v>
      </c>
    </row>
    <row r="76" spans="1:4" ht="15.75" hidden="1" outlineLevel="2">
      <c r="A76" s="114" t="s">
        <v>394</v>
      </c>
      <c r="B76" s="77" t="s">
        <v>372</v>
      </c>
      <c r="C76" s="129">
        <v>0</v>
      </c>
      <c r="D76" s="133">
        <f>C76</f>
        <v>0</v>
      </c>
    </row>
    <row r="77" spans="1:4" ht="15.75" hidden="1" outlineLevel="1">
      <c r="A77" s="663" t="s">
        <v>413</v>
      </c>
      <c r="B77" s="700"/>
      <c r="C77" s="664"/>
      <c r="D77" s="119">
        <f>SUM(D66,D69,D72:D76)</f>
        <v>467.37</v>
      </c>
    </row>
    <row r="78" spans="1:4" ht="15.75" hidden="1" outlineLevel="1">
      <c r="A78" s="665"/>
      <c r="B78" s="666"/>
      <c r="C78" s="666"/>
      <c r="D78" s="667"/>
    </row>
    <row r="79" spans="1:4" ht="15.75" hidden="1" outlineLevel="1">
      <c r="A79" s="701" t="s">
        <v>414</v>
      </c>
      <c r="B79" s="702"/>
      <c r="C79" s="113" t="s">
        <v>383</v>
      </c>
      <c r="D79" s="113" t="s">
        <v>352</v>
      </c>
    </row>
    <row r="80" spans="1:4" ht="15.75" hidden="1" outlineLevel="1">
      <c r="A80" s="114" t="s">
        <v>415</v>
      </c>
      <c r="B80" s="34" t="s">
        <v>382</v>
      </c>
      <c r="C80" s="37">
        <f>C52</f>
        <v>0.1</v>
      </c>
      <c r="D80" s="107">
        <f>D52</f>
        <v>183.97</v>
      </c>
    </row>
    <row r="81" spans="1:4" ht="15.75" hidden="1" outlineLevel="1">
      <c r="A81" s="114" t="s">
        <v>386</v>
      </c>
      <c r="B81" s="34" t="s">
        <v>387</v>
      </c>
      <c r="C81" s="37">
        <f>C63</f>
        <v>0.36799999999999999</v>
      </c>
      <c r="D81" s="107">
        <f>D63</f>
        <v>744.73</v>
      </c>
    </row>
    <row r="82" spans="1:4" ht="15.75" hidden="1" outlineLevel="1">
      <c r="A82" s="114" t="s">
        <v>416</v>
      </c>
      <c r="B82" s="34" t="s">
        <v>398</v>
      </c>
      <c r="C82" s="37">
        <f>D77/D39</f>
        <v>0.254</v>
      </c>
      <c r="D82" s="107">
        <f>D77</f>
        <v>467.37</v>
      </c>
    </row>
    <row r="83" spans="1:4" ht="15.75" collapsed="1">
      <c r="A83" s="663" t="s">
        <v>176</v>
      </c>
      <c r="B83" s="700"/>
      <c r="C83" s="664"/>
      <c r="D83" s="119">
        <f>SUM(D80:D82)</f>
        <v>1396.07</v>
      </c>
    </row>
    <row r="84" spans="1:4" ht="15.75">
      <c r="A84" s="665"/>
      <c r="B84" s="666"/>
      <c r="C84" s="666"/>
      <c r="D84" s="667"/>
    </row>
    <row r="85" spans="1:4" ht="15.75">
      <c r="A85" s="694" t="s">
        <v>417</v>
      </c>
      <c r="B85" s="695"/>
      <c r="C85" s="695"/>
      <c r="D85" s="696"/>
    </row>
    <row r="86" spans="1:4" ht="15.75" hidden="1" outlineLevel="1">
      <c r="A86" s="665"/>
      <c r="B86" s="666"/>
      <c r="C86" s="666"/>
      <c r="D86" s="667"/>
    </row>
    <row r="87" spans="1:4" ht="15.75" hidden="1" outlineLevel="1">
      <c r="A87" s="66" t="s">
        <v>418</v>
      </c>
      <c r="B87" s="112" t="s">
        <v>419</v>
      </c>
      <c r="C87" s="113" t="s">
        <v>383</v>
      </c>
      <c r="D87" s="113" t="s">
        <v>352</v>
      </c>
    </row>
    <row r="88" spans="1:4" ht="15.75" hidden="1" outlineLevel="2">
      <c r="A88" s="38" t="s">
        <v>353</v>
      </c>
      <c r="B88" s="39" t="s">
        <v>420</v>
      </c>
      <c r="C88" s="38" t="s">
        <v>363</v>
      </c>
      <c r="D88" s="134">
        <f>IF(C99&gt;1,SUM(D89:D92)*2,SUM(D89:D92))</f>
        <v>2592.48</v>
      </c>
    </row>
    <row r="89" spans="1:4" ht="15.75" hidden="1" outlineLevel="3">
      <c r="A89" s="40" t="s">
        <v>421</v>
      </c>
      <c r="B89" s="41" t="s">
        <v>422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>
      <c r="A90" s="40" t="s">
        <v>423</v>
      </c>
      <c r="B90" s="41" t="s">
        <v>424</v>
      </c>
      <c r="C90" s="32">
        <f>1/12</f>
        <v>8.3299999999999999E-2</v>
      </c>
      <c r="D90" s="134">
        <f>C90*D89</f>
        <v>168.57</v>
      </c>
    </row>
    <row r="91" spans="1:4" ht="15.75" hidden="1" outlineLevel="3">
      <c r="A91" s="40" t="s">
        <v>425</v>
      </c>
      <c r="B91" s="41" t="s">
        <v>426</v>
      </c>
      <c r="C91" s="32">
        <f>(1/12)+(1/12/3)</f>
        <v>0.1111</v>
      </c>
      <c r="D91" s="135">
        <f>C91*D89</f>
        <v>224.83</v>
      </c>
    </row>
    <row r="92" spans="1:4" ht="15.75" hidden="1" outlineLevel="3">
      <c r="A92" s="40" t="s">
        <v>427</v>
      </c>
      <c r="B92" s="41" t="s">
        <v>428</v>
      </c>
      <c r="C92" s="42">
        <v>0.08</v>
      </c>
      <c r="D92" s="134">
        <f>SUM(D89:D90)*C92</f>
        <v>175.38</v>
      </c>
    </row>
    <row r="93" spans="1:4" ht="15.75" hidden="1" outlineLevel="2">
      <c r="A93" s="38" t="s">
        <v>322</v>
      </c>
      <c r="B93" s="39" t="s">
        <v>429</v>
      </c>
      <c r="C93" s="43">
        <v>0.4</v>
      </c>
      <c r="D93" s="134">
        <f>C93*D94</f>
        <v>1297.1300000000001</v>
      </c>
    </row>
    <row r="94" spans="1:4" ht="15.75" hidden="1" outlineLevel="3">
      <c r="A94" s="38" t="s">
        <v>430</v>
      </c>
      <c r="B94" s="39" t="s">
        <v>431</v>
      </c>
      <c r="C94" s="43">
        <f>C62</f>
        <v>0.08</v>
      </c>
      <c r="D94" s="134">
        <f>C94*D95</f>
        <v>3242.83</v>
      </c>
    </row>
    <row r="95" spans="1:4" ht="15.75" hidden="1" outlineLevel="3">
      <c r="A95" s="38" t="s">
        <v>432</v>
      </c>
      <c r="B95" s="44" t="s">
        <v>433</v>
      </c>
      <c r="C95" s="45" t="s">
        <v>363</v>
      </c>
      <c r="D95" s="135">
        <f>SUM(D96:D98)</f>
        <v>40535.379999999997</v>
      </c>
    </row>
    <row r="96" spans="1:4" ht="15.75" hidden="1" outlineLevel="3">
      <c r="A96" s="40" t="s">
        <v>434</v>
      </c>
      <c r="B96" s="41" t="s">
        <v>435</v>
      </c>
      <c r="C96" s="46">
        <f>C12-C98</f>
        <v>19</v>
      </c>
      <c r="D96" s="134">
        <f>D39*C96</f>
        <v>34954.870000000003</v>
      </c>
    </row>
    <row r="97" spans="1:4" ht="15.75" hidden="1" outlineLevel="3">
      <c r="A97" s="40" t="s">
        <v>436</v>
      </c>
      <c r="B97" s="41" t="s">
        <v>437</v>
      </c>
      <c r="C97" s="47">
        <f>C12/12</f>
        <v>1.7</v>
      </c>
      <c r="D97" s="134">
        <f>D39*C97</f>
        <v>3127.54</v>
      </c>
    </row>
    <row r="98" spans="1:4" ht="15.75" hidden="1" outlineLevel="3">
      <c r="A98" s="40" t="s">
        <v>438</v>
      </c>
      <c r="B98" s="41" t="s">
        <v>439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>
      <c r="A99" s="663" t="s">
        <v>176</v>
      </c>
      <c r="B99" s="664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>
      <c r="A100" s="697"/>
      <c r="B100" s="698"/>
      <c r="C100" s="698"/>
      <c r="D100" s="699"/>
    </row>
    <row r="101" spans="1:4" ht="15.75" hidden="1" outlineLevel="1">
      <c r="A101" s="66" t="s">
        <v>440</v>
      </c>
      <c r="B101" s="112" t="s">
        <v>441</v>
      </c>
      <c r="C101" s="113" t="s">
        <v>383</v>
      </c>
      <c r="D101" s="113" t="s">
        <v>352</v>
      </c>
    </row>
    <row r="102" spans="1:4" ht="15.75" hidden="1" outlineLevel="2">
      <c r="A102" s="38" t="s">
        <v>353</v>
      </c>
      <c r="B102" s="44" t="s">
        <v>442</v>
      </c>
      <c r="C102" s="48">
        <f>IF(C111&gt;1,(1/30*7)*2,(1/30*7))</f>
        <v>0.23330000000000001</v>
      </c>
      <c r="D102" s="135">
        <f>C102*SUM(D103:D107)</f>
        <v>792.79</v>
      </c>
    </row>
    <row r="103" spans="1:4" ht="15.75" hidden="1" outlineLevel="3">
      <c r="A103" s="40" t="s">
        <v>421</v>
      </c>
      <c r="B103" s="41" t="s">
        <v>443</v>
      </c>
      <c r="C103" s="38">
        <v>1</v>
      </c>
      <c r="D103" s="134">
        <f>D39</f>
        <v>1839.73</v>
      </c>
    </row>
    <row r="104" spans="1:4" ht="15.75" hidden="1" outlineLevel="3">
      <c r="A104" s="40" t="s">
        <v>423</v>
      </c>
      <c r="B104" s="41" t="s">
        <v>444</v>
      </c>
      <c r="C104" s="32">
        <f>1/12</f>
        <v>8.3299999999999999E-2</v>
      </c>
      <c r="D104" s="134">
        <f>C104*D103</f>
        <v>153.25</v>
      </c>
    </row>
    <row r="105" spans="1:4" ht="15.75" hidden="1" outlineLevel="3">
      <c r="A105" s="40" t="s">
        <v>425</v>
      </c>
      <c r="B105" s="41" t="s">
        <v>445</v>
      </c>
      <c r="C105" s="32">
        <f>(1/12)+(1/12/3)</f>
        <v>0.1111</v>
      </c>
      <c r="D105" s="134">
        <f>C105*D103</f>
        <v>204.39</v>
      </c>
    </row>
    <row r="106" spans="1:4" ht="15.75" hidden="1" outlineLevel="3">
      <c r="A106" s="40" t="s">
        <v>427</v>
      </c>
      <c r="B106" s="49" t="s">
        <v>446</v>
      </c>
      <c r="C106" s="50">
        <f>C63</f>
        <v>0.36799999999999999</v>
      </c>
      <c r="D106" s="135">
        <f>C106*(D103+D104)</f>
        <v>733.42</v>
      </c>
    </row>
    <row r="107" spans="1:4" ht="15.75" hidden="1" outlineLevel="3">
      <c r="A107" s="40" t="s">
        <v>447</v>
      </c>
      <c r="B107" s="49" t="s">
        <v>448</v>
      </c>
      <c r="C107" s="45">
        <v>1</v>
      </c>
      <c r="D107" s="135">
        <f>D77</f>
        <v>467.37</v>
      </c>
    </row>
    <row r="108" spans="1:4" ht="15.75" hidden="1" outlineLevel="2">
      <c r="A108" s="38" t="s">
        <v>322</v>
      </c>
      <c r="B108" s="39" t="s">
        <v>449</v>
      </c>
      <c r="C108" s="43">
        <v>0.4</v>
      </c>
      <c r="D108" s="134">
        <f>C108*D109</f>
        <v>1297.1300000000001</v>
      </c>
    </row>
    <row r="109" spans="1:4" ht="15.75" hidden="1" outlineLevel="2">
      <c r="A109" s="38" t="s">
        <v>430</v>
      </c>
      <c r="B109" s="39" t="s">
        <v>431</v>
      </c>
      <c r="C109" s="43">
        <f>C62</f>
        <v>0.08</v>
      </c>
      <c r="D109" s="134">
        <f>C109*D110</f>
        <v>3242.83</v>
      </c>
    </row>
    <row r="110" spans="1:4" ht="15.75" hidden="1" outlineLevel="2">
      <c r="A110" s="38" t="s">
        <v>432</v>
      </c>
      <c r="B110" s="44" t="s">
        <v>433</v>
      </c>
      <c r="C110" s="45" t="s">
        <v>363</v>
      </c>
      <c r="D110" s="135">
        <f>D95</f>
        <v>40535.379999999997</v>
      </c>
    </row>
    <row r="111" spans="1:4" ht="15.75" hidden="1" outlineLevel="1">
      <c r="A111" s="663" t="s">
        <v>176</v>
      </c>
      <c r="B111" s="664"/>
      <c r="C111" s="69">
        <f>'SR - ASG'!C111</f>
        <v>0.94450000000000001</v>
      </c>
      <c r="D111" s="119">
        <f>IF(C111&gt;1,D102+D108,(D102+D108)*C111)</f>
        <v>1973.93</v>
      </c>
    </row>
    <row r="112" spans="1:4" ht="15.75" hidden="1" outlineLevel="1">
      <c r="A112" s="697"/>
      <c r="B112" s="698"/>
      <c r="C112" s="698"/>
      <c r="D112" s="699"/>
    </row>
    <row r="113" spans="1:4" ht="15.75" hidden="1" outlineLevel="1">
      <c r="A113" s="66" t="s">
        <v>450</v>
      </c>
      <c r="B113" s="112" t="s">
        <v>451</v>
      </c>
      <c r="C113" s="113" t="s">
        <v>383</v>
      </c>
      <c r="D113" s="113" t="s">
        <v>352</v>
      </c>
    </row>
    <row r="114" spans="1:4" ht="15.75" hidden="1" outlineLevel="2">
      <c r="A114" s="114" t="s">
        <v>353</v>
      </c>
      <c r="B114" s="34" t="s">
        <v>452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>
      <c r="A115" s="114" t="s">
        <v>322</v>
      </c>
      <c r="B115" s="51" t="s">
        <v>453</v>
      </c>
      <c r="C115" s="37">
        <f>C114/3</f>
        <v>1.11E-2</v>
      </c>
      <c r="D115" s="137">
        <f>C115*D39</f>
        <v>20.420000000000002</v>
      </c>
    </row>
    <row r="116" spans="1:4" ht="15.75" hidden="1" outlineLevel="1">
      <c r="A116" s="663" t="s">
        <v>176</v>
      </c>
      <c r="B116" s="664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>
      <c r="A117" s="697"/>
      <c r="B117" s="698"/>
      <c r="C117" s="698"/>
      <c r="D117" s="699"/>
    </row>
    <row r="118" spans="1:4" ht="15.75" hidden="1" outlineLevel="1">
      <c r="A118" s="701" t="s">
        <v>454</v>
      </c>
      <c r="B118" s="702"/>
      <c r="C118" s="113" t="s">
        <v>383</v>
      </c>
      <c r="D118" s="113" t="s">
        <v>352</v>
      </c>
    </row>
    <row r="119" spans="1:4" ht="15.75" hidden="1" outlineLevel="1">
      <c r="A119" s="114" t="s">
        <v>418</v>
      </c>
      <c r="B119" s="34" t="s">
        <v>419</v>
      </c>
      <c r="C119" s="37">
        <f>C99</f>
        <v>5.5500000000000001E-2</v>
      </c>
      <c r="D119" s="107">
        <f>D99</f>
        <v>215.87</v>
      </c>
    </row>
    <row r="120" spans="1:4" ht="15.75" hidden="1" outlineLevel="1">
      <c r="A120" s="116" t="s">
        <v>440</v>
      </c>
      <c r="B120" s="34" t="s">
        <v>441</v>
      </c>
      <c r="C120" s="52">
        <f>C111</f>
        <v>0.94450000000000001</v>
      </c>
      <c r="D120" s="107">
        <f>D111</f>
        <v>1973.93</v>
      </c>
    </row>
    <row r="121" spans="1:4" ht="15.75" hidden="1" outlineLevel="1">
      <c r="A121" s="707" t="s">
        <v>455</v>
      </c>
      <c r="B121" s="707"/>
      <c r="C121" s="707"/>
      <c r="D121" s="138">
        <f>D119+D120</f>
        <v>2189.8000000000002</v>
      </c>
    </row>
    <row r="122" spans="1:4" ht="15.75" hidden="1" outlineLevel="1">
      <c r="A122" s="703" t="s">
        <v>456</v>
      </c>
      <c r="B122" s="704"/>
      <c r="C122" s="70">
        <f>'SR - ASG'!C122</f>
        <v>0.63570000000000004</v>
      </c>
      <c r="D122" s="61">
        <f>C122*D121</f>
        <v>1392.06</v>
      </c>
    </row>
    <row r="123" spans="1:4" ht="15.75" hidden="1" outlineLevel="1">
      <c r="A123" s="703" t="s">
        <v>457</v>
      </c>
      <c r="B123" s="70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>
      <c r="A124" s="705" t="s">
        <v>458</v>
      </c>
      <c r="B124" s="706"/>
      <c r="C124" s="74">
        <f>1/C12</f>
        <v>0.05</v>
      </c>
      <c r="D124" s="62">
        <f>(D122+D123)*C124</f>
        <v>69.5</v>
      </c>
    </row>
    <row r="125" spans="1:4" ht="15.75" hidden="1" outlineLevel="1">
      <c r="A125" s="116" t="s">
        <v>450</v>
      </c>
      <c r="B125" s="34" t="s">
        <v>459</v>
      </c>
      <c r="C125" s="52"/>
      <c r="D125" s="127">
        <f>D116</f>
        <v>81.680000000000007</v>
      </c>
    </row>
    <row r="126" spans="1:4" ht="15.75" collapsed="1">
      <c r="A126" s="663" t="s">
        <v>176</v>
      </c>
      <c r="B126" s="664"/>
      <c r="C126" s="33"/>
      <c r="D126" s="139">
        <f>D124+D125</f>
        <v>151.18</v>
      </c>
    </row>
    <row r="127" spans="1:4" ht="15.75">
      <c r="A127" s="665"/>
      <c r="B127" s="666"/>
      <c r="C127" s="666"/>
      <c r="D127" s="667"/>
    </row>
    <row r="128" spans="1:4" ht="15.75">
      <c r="A128" s="668" t="s">
        <v>460</v>
      </c>
      <c r="B128" s="669"/>
      <c r="C128" s="669"/>
      <c r="D128" s="670"/>
    </row>
    <row r="129" spans="1:4" ht="15.75" hidden="1" outlineLevel="1">
      <c r="A129" s="697"/>
      <c r="B129" s="698"/>
      <c r="C129" s="698"/>
      <c r="D129" s="699"/>
    </row>
    <row r="130" spans="1:4" ht="15.75" hidden="1" outlineLevel="1">
      <c r="A130" s="113" t="s">
        <v>461</v>
      </c>
      <c r="B130" s="120" t="s">
        <v>462</v>
      </c>
      <c r="C130" s="33" t="s">
        <v>383</v>
      </c>
      <c r="D130" s="113" t="s">
        <v>352</v>
      </c>
    </row>
    <row r="131" spans="1:4" ht="15.75" hidden="1" outlineLevel="2">
      <c r="A131" s="140" t="s">
        <v>353</v>
      </c>
      <c r="B131" s="91" t="s">
        <v>463</v>
      </c>
      <c r="C131" s="53">
        <f>IF(C12&gt;60,5/C12,IF(C12&gt;48,4/C12,IF(C12&gt;36,3/C12,IF(C12&gt;24,2/C12,IF(C12&gt;12,1/C12,0)))))</f>
        <v>0.05</v>
      </c>
      <c r="D131" s="136">
        <f>SUM(D132:D136)</f>
        <v>118.85</v>
      </c>
    </row>
    <row r="132" spans="1:4" ht="15.75" hidden="1" outlineLevel="3">
      <c r="A132" s="141" t="s">
        <v>464</v>
      </c>
      <c r="B132" s="92" t="s">
        <v>465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>
      <c r="A133" s="141" t="s">
        <v>466</v>
      </c>
      <c r="B133" s="92" t="s">
        <v>467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>
      <c r="A134" s="141" t="s">
        <v>468</v>
      </c>
      <c r="B134" s="92" t="s">
        <v>469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>
      <c r="A135" s="141" t="s">
        <v>470</v>
      </c>
      <c r="B135" s="92" t="s">
        <v>471</v>
      </c>
      <c r="C135" s="93">
        <f>C63</f>
        <v>0.36799999999999999</v>
      </c>
      <c r="D135" s="143">
        <f>SUM(D132:D134)*C131</f>
        <v>5.49</v>
      </c>
    </row>
    <row r="136" spans="1:4" ht="15.75" hidden="1" outlineLevel="3">
      <c r="A136" s="141" t="s">
        <v>472</v>
      </c>
      <c r="B136" s="92" t="s">
        <v>473</v>
      </c>
      <c r="C136" s="144">
        <f>D124</f>
        <v>69.5</v>
      </c>
      <c r="D136" s="143">
        <f>C136*C131</f>
        <v>3.48</v>
      </c>
    </row>
    <row r="137" spans="1:4" ht="15.75" hidden="1" outlineLevel="2">
      <c r="A137" s="114" t="s">
        <v>322</v>
      </c>
      <c r="B137" s="34" t="s">
        <v>474</v>
      </c>
      <c r="C137" s="94">
        <v>0</v>
      </c>
      <c r="D137" s="127">
        <f>$C$131*(D39)*(C137/3)</f>
        <v>0</v>
      </c>
    </row>
    <row r="138" spans="1:4" ht="15.75" hidden="1" outlineLevel="1">
      <c r="A138" s="663" t="s">
        <v>475</v>
      </c>
      <c r="B138" s="664"/>
      <c r="C138" s="33">
        <f>C131+(D137/D39)</f>
        <v>0.05</v>
      </c>
      <c r="D138" s="119">
        <f>SUM(D131:D137)</f>
        <v>237.7</v>
      </c>
    </row>
    <row r="139" spans="1:4" ht="15.75" hidden="1" outlineLevel="1">
      <c r="A139" s="697"/>
      <c r="B139" s="698"/>
      <c r="C139" s="698"/>
      <c r="D139" s="699"/>
    </row>
    <row r="140" spans="1:4" ht="15.75" hidden="1" outlineLevel="2">
      <c r="A140" s="710" t="s">
        <v>476</v>
      </c>
      <c r="B140" s="145" t="s">
        <v>435</v>
      </c>
      <c r="C140" s="95">
        <v>220</v>
      </c>
      <c r="D140" s="146">
        <f>D39</f>
        <v>1839.73</v>
      </c>
    </row>
    <row r="141" spans="1:4" ht="15.75" hidden="1" outlineLevel="2">
      <c r="A141" s="711"/>
      <c r="B141" s="145" t="s">
        <v>477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>
      <c r="A142" s="711"/>
      <c r="B142" s="145" t="s">
        <v>478</v>
      </c>
      <c r="C142" s="53">
        <f>C63</f>
        <v>0.36799999999999999</v>
      </c>
      <c r="D142" s="147">
        <f>(D140+D141)*C142</f>
        <v>808.63</v>
      </c>
    </row>
    <row r="143" spans="1:4" ht="15.75" hidden="1" outlineLevel="2">
      <c r="A143" s="711"/>
      <c r="B143" s="145" t="s">
        <v>479</v>
      </c>
      <c r="C143" s="53">
        <f>D143/D140</f>
        <v>0.254</v>
      </c>
      <c r="D143" s="147">
        <f>D77</f>
        <v>467.37</v>
      </c>
    </row>
    <row r="144" spans="1:4" ht="15.75" hidden="1" outlineLevel="2">
      <c r="A144" s="712"/>
      <c r="B144" s="148" t="s">
        <v>480</v>
      </c>
      <c r="C144" s="53">
        <f>D144/D140</f>
        <v>3.78E-2</v>
      </c>
      <c r="D144" s="147">
        <f>D124</f>
        <v>69.5</v>
      </c>
    </row>
    <row r="145" spans="1:4" ht="15.75" hidden="1" outlineLevel="2">
      <c r="A145" s="713" t="s">
        <v>481</v>
      </c>
      <c r="B145" s="714"/>
      <c r="C145" s="96">
        <f>D145/D140</f>
        <v>1.9258</v>
      </c>
      <c r="D145" s="149">
        <f>SUM(D140:D144)</f>
        <v>3542.87</v>
      </c>
    </row>
    <row r="146" spans="1:4" ht="15.75" hidden="1" outlineLevel="2">
      <c r="A146" s="715"/>
      <c r="B146" s="715"/>
      <c r="C146" s="715"/>
      <c r="D146" s="716"/>
    </row>
    <row r="147" spans="1:4" ht="15.75" hidden="1" outlineLevel="1">
      <c r="A147" s="113" t="s">
        <v>482</v>
      </c>
      <c r="B147" s="120" t="s">
        <v>483</v>
      </c>
      <c r="C147" s="33" t="s">
        <v>383</v>
      </c>
      <c r="D147" s="113" t="s">
        <v>352</v>
      </c>
    </row>
    <row r="148" spans="1:4" ht="15.75" hidden="1" outlineLevel="2">
      <c r="A148" s="114" t="s">
        <v>322</v>
      </c>
      <c r="B148" s="34" t="s">
        <v>484</v>
      </c>
      <c r="C148" s="79">
        <f>5/252</f>
        <v>1.9800000000000002E-2</v>
      </c>
      <c r="D148" s="136">
        <f>C148*$D$145</f>
        <v>70.150000000000006</v>
      </c>
    </row>
    <row r="149" spans="1:4" ht="15.75" hidden="1" outlineLevel="2">
      <c r="A149" s="114" t="s">
        <v>325</v>
      </c>
      <c r="B149" s="34" t="s">
        <v>485</v>
      </c>
      <c r="C149" s="79">
        <f>1.383/252</f>
        <v>5.4999999999999997E-3</v>
      </c>
      <c r="D149" s="136">
        <f>C149*$D$145</f>
        <v>19.489999999999998</v>
      </c>
    </row>
    <row r="150" spans="1:4" ht="15.75" hidden="1" outlineLevel="2">
      <c r="A150" s="114" t="s">
        <v>328</v>
      </c>
      <c r="B150" s="34" t="s">
        <v>486</v>
      </c>
      <c r="C150" s="79">
        <f>1.3892/252</f>
        <v>5.4999999999999997E-3</v>
      </c>
      <c r="D150" s="136">
        <f t="shared" ref="D150:D153" si="1">C150*$D$145</f>
        <v>19.489999999999998</v>
      </c>
    </row>
    <row r="151" spans="1:4" ht="15.75" hidden="1" outlineLevel="2">
      <c r="A151" s="114" t="s">
        <v>331</v>
      </c>
      <c r="B151" s="34" t="s">
        <v>487</v>
      </c>
      <c r="C151" s="79">
        <f>0.65/252</f>
        <v>2.5999999999999999E-3</v>
      </c>
      <c r="D151" s="136">
        <f t="shared" si="1"/>
        <v>9.2100000000000009</v>
      </c>
    </row>
    <row r="152" spans="1:4" ht="15.75" hidden="1" outlineLevel="2">
      <c r="A152" s="114" t="s">
        <v>334</v>
      </c>
      <c r="B152" s="34" t="s">
        <v>488</v>
      </c>
      <c r="C152" s="79">
        <f>0.5052/252</f>
        <v>2E-3</v>
      </c>
      <c r="D152" s="136">
        <f t="shared" si="1"/>
        <v>7.09</v>
      </c>
    </row>
    <row r="153" spans="1:4" ht="15.75" hidden="1" outlineLevel="2">
      <c r="A153" s="114" t="s">
        <v>353</v>
      </c>
      <c r="B153" s="63" t="s">
        <v>489</v>
      </c>
      <c r="C153" s="71">
        <f>0.2/252</f>
        <v>8.0000000000000004E-4</v>
      </c>
      <c r="D153" s="136">
        <f t="shared" si="1"/>
        <v>2.83</v>
      </c>
    </row>
    <row r="154" spans="1:4" ht="15.75" hidden="1" outlineLevel="1">
      <c r="A154" s="663" t="s">
        <v>475</v>
      </c>
      <c r="B154" s="664"/>
      <c r="C154" s="33">
        <f>SUM(C148:C153)</f>
        <v>3.6200000000000003E-2</v>
      </c>
      <c r="D154" s="119">
        <f>SUM(D148:D153)</f>
        <v>128.26</v>
      </c>
    </row>
    <row r="155" spans="1:4" ht="15.75" hidden="1" outlineLevel="1">
      <c r="A155" s="697"/>
      <c r="B155" s="698"/>
      <c r="C155" s="698"/>
      <c r="D155" s="699"/>
    </row>
    <row r="156" spans="1:4" ht="15.75" hidden="1" outlineLevel="1">
      <c r="A156" s="701" t="s">
        <v>490</v>
      </c>
      <c r="B156" s="708"/>
      <c r="C156" s="33" t="s">
        <v>491</v>
      </c>
      <c r="D156" s="113" t="s">
        <v>352</v>
      </c>
    </row>
    <row r="157" spans="1:4" ht="15.75" hidden="1" outlineLevel="2">
      <c r="A157" s="709" t="s">
        <v>492</v>
      </c>
      <c r="B157" s="145" t="s">
        <v>493</v>
      </c>
      <c r="C157" s="97">
        <f>C153</f>
        <v>8.0000000000000004E-4</v>
      </c>
      <c r="D157" s="150">
        <f>C157*-D140</f>
        <v>-1.47</v>
      </c>
    </row>
    <row r="158" spans="1:4" ht="15.75" hidden="1" outlineLevel="2">
      <c r="A158" s="709"/>
      <c r="B158" s="151" t="s">
        <v>494</v>
      </c>
      <c r="C158" s="98">
        <v>0</v>
      </c>
      <c r="D158" s="152">
        <f>C158*-(D140/220/24*5)</f>
        <v>0</v>
      </c>
    </row>
    <row r="159" spans="1:4" ht="15.75" hidden="1" outlineLevel="2">
      <c r="A159" s="709"/>
      <c r="B159" s="151" t="s">
        <v>495</v>
      </c>
      <c r="C159" s="98">
        <v>0</v>
      </c>
      <c r="D159" s="152">
        <f>C159*-D141</f>
        <v>0</v>
      </c>
    </row>
    <row r="160" spans="1:4" ht="15.75" hidden="1" outlineLevel="2">
      <c r="A160" s="709"/>
      <c r="B160" s="145" t="s">
        <v>496</v>
      </c>
      <c r="C160" s="97">
        <f>C154</f>
        <v>3.6200000000000003E-2</v>
      </c>
      <c r="D160" s="150">
        <f>C160*-D66</f>
        <v>-3.08</v>
      </c>
    </row>
    <row r="161" spans="1:4" ht="15.75" hidden="1" outlineLevel="2">
      <c r="A161" s="709"/>
      <c r="B161" s="145" t="s">
        <v>497</v>
      </c>
      <c r="C161" s="97">
        <f>C154</f>
        <v>3.6200000000000003E-2</v>
      </c>
      <c r="D161" s="150">
        <f>C161*-D69</f>
        <v>-12.43</v>
      </c>
    </row>
    <row r="162" spans="1:4" ht="15.75" hidden="1" outlineLevel="2">
      <c r="A162" s="709"/>
      <c r="B162" s="148" t="s">
        <v>498</v>
      </c>
      <c r="C162" s="97">
        <f>C153</f>
        <v>8.0000000000000004E-4</v>
      </c>
      <c r="D162" s="150">
        <f>C162*-D74</f>
        <v>-0.02</v>
      </c>
    </row>
    <row r="163" spans="1:4" ht="15.75" hidden="1" outlineLevel="2">
      <c r="A163" s="709"/>
      <c r="B163" s="148" t="s">
        <v>499</v>
      </c>
      <c r="C163" s="99">
        <f>C152</f>
        <v>2E-3</v>
      </c>
      <c r="D163" s="136">
        <f>C163*-SUM(D55:D61)</f>
        <v>-1.17</v>
      </c>
    </row>
    <row r="164" spans="1:4" ht="15.75" hidden="1" outlineLevel="2">
      <c r="A164" s="709"/>
      <c r="B164" s="145" t="s">
        <v>500</v>
      </c>
      <c r="C164" s="97">
        <f>C153</f>
        <v>8.0000000000000004E-4</v>
      </c>
      <c r="D164" s="150">
        <f>C164*-D142</f>
        <v>-0.65</v>
      </c>
    </row>
    <row r="165" spans="1:4" ht="15.75" hidden="1" outlineLevel="1">
      <c r="A165" s="663" t="s">
        <v>501</v>
      </c>
      <c r="B165" s="664"/>
      <c r="C165" s="33">
        <f>D165/D140</f>
        <v>-1.0200000000000001E-2</v>
      </c>
      <c r="D165" s="119">
        <f>SUM(D157:D164)</f>
        <v>-18.82</v>
      </c>
    </row>
    <row r="166" spans="1:4" ht="15.75" hidden="1" outlineLevel="1">
      <c r="A166" s="697"/>
      <c r="B166" s="698"/>
      <c r="C166" s="698"/>
      <c r="D166" s="699"/>
    </row>
    <row r="167" spans="1:4" ht="15.75" hidden="1" outlineLevel="1">
      <c r="A167" s="663" t="s">
        <v>502</v>
      </c>
      <c r="B167" s="664"/>
      <c r="C167" s="33">
        <f>D167/D140</f>
        <v>5.9499999999999997E-2</v>
      </c>
      <c r="D167" s="119">
        <f>D154+D165</f>
        <v>109.44</v>
      </c>
    </row>
    <row r="168" spans="1:4" ht="15.75" hidden="1" outlineLevel="1">
      <c r="A168" s="697"/>
      <c r="B168" s="698"/>
      <c r="C168" s="698"/>
      <c r="D168" s="699"/>
    </row>
    <row r="169" spans="1:4" ht="15.75" hidden="1" outlineLevel="1">
      <c r="A169" s="701" t="s">
        <v>503</v>
      </c>
      <c r="B169" s="702"/>
      <c r="C169" s="113" t="s">
        <v>383</v>
      </c>
      <c r="D169" s="113" t="s">
        <v>352</v>
      </c>
    </row>
    <row r="170" spans="1:4" ht="15.75" hidden="1" outlineLevel="1">
      <c r="A170" s="114" t="s">
        <v>461</v>
      </c>
      <c r="B170" s="34" t="s">
        <v>462</v>
      </c>
      <c r="C170" s="37"/>
      <c r="D170" s="153">
        <f>D138</f>
        <v>237.7</v>
      </c>
    </row>
    <row r="171" spans="1:4" ht="15.75" hidden="1" outlineLevel="1">
      <c r="A171" s="114" t="s">
        <v>482</v>
      </c>
      <c r="B171" s="34" t="s">
        <v>483</v>
      </c>
      <c r="C171" s="37"/>
      <c r="D171" s="153">
        <f>D167</f>
        <v>109.44</v>
      </c>
    </row>
    <row r="172" spans="1:4" ht="15.75" collapsed="1">
      <c r="A172" s="663" t="s">
        <v>176</v>
      </c>
      <c r="B172" s="700"/>
      <c r="C172" s="664"/>
      <c r="D172" s="122">
        <f>SUM(D170:D171)</f>
        <v>347.14</v>
      </c>
    </row>
    <row r="173" spans="1:4" ht="15.75">
      <c r="A173" s="697"/>
      <c r="B173" s="698"/>
      <c r="C173" s="698"/>
      <c r="D173" s="699"/>
    </row>
    <row r="174" spans="1:4" ht="15.75">
      <c r="A174" s="668" t="s">
        <v>504</v>
      </c>
      <c r="B174" s="669"/>
      <c r="C174" s="669"/>
      <c r="D174" s="670"/>
    </row>
    <row r="175" spans="1:4" ht="15.75" hidden="1" outlineLevel="1">
      <c r="A175" s="697"/>
      <c r="B175" s="698"/>
      <c r="C175" s="698"/>
      <c r="D175" s="699"/>
    </row>
    <row r="176" spans="1:4" ht="15.75" hidden="1" outlineLevel="1">
      <c r="A176" s="66">
        <v>5</v>
      </c>
      <c r="B176" s="663" t="s">
        <v>505</v>
      </c>
      <c r="C176" s="664"/>
      <c r="D176" s="113" t="s">
        <v>352</v>
      </c>
    </row>
    <row r="177" spans="1:4" ht="15.75" hidden="1" outlineLevel="1">
      <c r="A177" s="114" t="s">
        <v>353</v>
      </c>
      <c r="B177" s="717" t="s">
        <v>506</v>
      </c>
      <c r="C177" s="718"/>
      <c r="D177" s="136">
        <f>INSUMOS!H14</f>
        <v>25.55</v>
      </c>
    </row>
    <row r="178" spans="1:4" ht="15.75" hidden="1" outlineLevel="1">
      <c r="A178" s="114" t="s">
        <v>322</v>
      </c>
      <c r="B178" s="717" t="s">
        <v>541</v>
      </c>
      <c r="C178" s="718"/>
      <c r="D178" s="154">
        <f>INSUMOS!H38</f>
        <v>20.63</v>
      </c>
    </row>
    <row r="179" spans="1:4" ht="15.75" hidden="1" outlineLevel="1">
      <c r="A179" s="114" t="s">
        <v>325</v>
      </c>
      <c r="B179" s="649" t="s">
        <v>508</v>
      </c>
      <c r="C179" s="650"/>
      <c r="D179" s="154">
        <f>MATERIAIS!P109</f>
        <v>845.56</v>
      </c>
    </row>
    <row r="180" spans="1:4" ht="15.75" hidden="1" outlineLevel="1">
      <c r="A180" s="114" t="s">
        <v>328</v>
      </c>
      <c r="B180" s="649" t="s">
        <v>509</v>
      </c>
      <c r="C180" s="650"/>
      <c r="D180" s="154">
        <f>EQUIPAMENTOS!Q111</f>
        <v>51.06</v>
      </c>
    </row>
    <row r="181" spans="1:4" ht="15.75" hidden="1" outlineLevel="1">
      <c r="A181" s="114" t="s">
        <v>331</v>
      </c>
      <c r="B181" s="651" t="s">
        <v>372</v>
      </c>
      <c r="C181" s="652"/>
      <c r="D181" s="133">
        <v>0</v>
      </c>
    </row>
    <row r="182" spans="1:4" ht="15.75" hidden="1" outlineLevel="1">
      <c r="A182" s="114" t="s">
        <v>334</v>
      </c>
      <c r="B182" s="651" t="s">
        <v>372</v>
      </c>
      <c r="C182" s="652"/>
      <c r="D182" s="133">
        <v>0</v>
      </c>
    </row>
    <row r="183" spans="1:4" ht="15.75" collapsed="1">
      <c r="A183" s="663" t="s">
        <v>176</v>
      </c>
      <c r="B183" s="700"/>
      <c r="C183" s="664"/>
      <c r="D183" s="119">
        <f>SUM(D177:D182)</f>
        <v>942.8</v>
      </c>
    </row>
    <row r="184" spans="1:4" ht="15.75">
      <c r="A184" s="665"/>
      <c r="B184" s="666"/>
      <c r="C184" s="666"/>
      <c r="D184" s="667"/>
    </row>
    <row r="185" spans="1:4" ht="15.75">
      <c r="A185" s="723" t="s">
        <v>510</v>
      </c>
      <c r="B185" s="723"/>
      <c r="C185" s="723"/>
      <c r="D185" s="155">
        <f>D39+D83+D126+D172+D183</f>
        <v>4676.92</v>
      </c>
    </row>
    <row r="186" spans="1:4" ht="15.75">
      <c r="A186" s="679"/>
      <c r="B186" s="679"/>
      <c r="C186" s="679"/>
      <c r="D186" s="679"/>
    </row>
    <row r="187" spans="1:4" ht="15.75">
      <c r="A187" s="724" t="s">
        <v>511</v>
      </c>
      <c r="B187" s="724"/>
      <c r="C187" s="724"/>
      <c r="D187" s="724"/>
    </row>
    <row r="188" spans="1:4" ht="15.75" hidden="1" outlineLevel="1">
      <c r="A188" s="725"/>
      <c r="B188" s="726"/>
      <c r="C188" s="726"/>
      <c r="D188" s="727"/>
    </row>
    <row r="189" spans="1:4" ht="15.75" hidden="1" outlineLevel="1">
      <c r="A189" s="66">
        <v>6</v>
      </c>
      <c r="B189" s="120" t="s">
        <v>512</v>
      </c>
      <c r="C189" s="113" t="s">
        <v>383</v>
      </c>
      <c r="D189" s="113" t="s">
        <v>352</v>
      </c>
    </row>
    <row r="190" spans="1:4" ht="15.75" hidden="1" outlineLevel="1">
      <c r="A190" s="114" t="s">
        <v>353</v>
      </c>
      <c r="B190" s="34" t="s">
        <v>513</v>
      </c>
      <c r="C190" s="72">
        <f>'SR - ASG'!C189</f>
        <v>2.6499999999999999E-2</v>
      </c>
      <c r="D190" s="108">
        <f>C190*D185</f>
        <v>123.94</v>
      </c>
    </row>
    <row r="191" spans="1:4" ht="15.75" hidden="1" outlineLevel="1">
      <c r="A191" s="719" t="s">
        <v>514</v>
      </c>
      <c r="B191" s="720"/>
      <c r="C191" s="722"/>
      <c r="D191" s="108">
        <f>D185+D190</f>
        <v>4800.8599999999997</v>
      </c>
    </row>
    <row r="192" spans="1:4" ht="15.75" hidden="1" outlineLevel="1">
      <c r="A192" s="114" t="s">
        <v>322</v>
      </c>
      <c r="B192" s="34" t="s">
        <v>515</v>
      </c>
      <c r="C192" s="72">
        <f>'SR - ASG'!C191</f>
        <v>0.1087</v>
      </c>
      <c r="D192" s="108">
        <f>C192*D191</f>
        <v>521.85</v>
      </c>
    </row>
    <row r="193" spans="1:4" ht="15.75" hidden="1" outlineLevel="1">
      <c r="A193" s="719" t="s">
        <v>514</v>
      </c>
      <c r="B193" s="720"/>
      <c r="C193" s="720"/>
      <c r="D193" s="108">
        <f>D192+D191</f>
        <v>5322.71</v>
      </c>
    </row>
    <row r="194" spans="1:4" ht="15.75" hidden="1" outlineLevel="1">
      <c r="A194" s="114" t="s">
        <v>325</v>
      </c>
      <c r="B194" s="649" t="s">
        <v>516</v>
      </c>
      <c r="C194" s="721"/>
      <c r="D194" s="650"/>
    </row>
    <row r="195" spans="1:4" ht="15.75" hidden="1" outlineLevel="1">
      <c r="A195" s="156"/>
      <c r="B195" s="65" t="s">
        <v>517</v>
      </c>
      <c r="C195" s="72">
        <v>6.4999999999999997E-3</v>
      </c>
      <c r="D195" s="108">
        <f>(D193/(1-C198)*C195)</f>
        <v>37.46</v>
      </c>
    </row>
    <row r="196" spans="1:4" ht="15.75" hidden="1" outlineLevel="1">
      <c r="A196" s="156"/>
      <c r="B196" s="65" t="s">
        <v>518</v>
      </c>
      <c r="C196" s="72">
        <v>0.03</v>
      </c>
      <c r="D196" s="108">
        <f>(D193/(1-C198)*C196)</f>
        <v>172.91</v>
      </c>
    </row>
    <row r="197" spans="1:4" ht="15.75" hidden="1" outlineLevel="1">
      <c r="A197" s="156"/>
      <c r="B197" s="65" t="s">
        <v>565</v>
      </c>
      <c r="C197" s="54">
        <v>0.04</v>
      </c>
      <c r="D197" s="108">
        <f>(D193/(1-C198)*C197)</f>
        <v>230.55</v>
      </c>
    </row>
    <row r="198" spans="1:4" ht="15.75" hidden="1" outlineLevel="1">
      <c r="A198" s="719" t="s">
        <v>520</v>
      </c>
      <c r="B198" s="722"/>
      <c r="C198" s="55">
        <f>SUM(C195:C197)</f>
        <v>7.6499999999999999E-2</v>
      </c>
      <c r="D198" s="108">
        <f>SUM(D195:D197)</f>
        <v>440.92</v>
      </c>
    </row>
    <row r="199" spans="1:4" ht="15.75" collapsed="1">
      <c r="A199" s="663" t="s">
        <v>176</v>
      </c>
      <c r="B199" s="664"/>
      <c r="C199" s="56">
        <f>(1+C190)*(1+C192)*(1/(1-C198))-1</f>
        <v>0.2324</v>
      </c>
      <c r="D199" s="111">
        <f>SUM(D198+D190+D192)</f>
        <v>1086.71</v>
      </c>
    </row>
    <row r="200" spans="1:4" ht="15.75">
      <c r="A200" s="665"/>
      <c r="B200" s="666"/>
      <c r="C200" s="666"/>
      <c r="D200" s="667"/>
    </row>
    <row r="201" spans="1:4" ht="15.75">
      <c r="A201" s="676" t="s">
        <v>521</v>
      </c>
      <c r="B201" s="678"/>
      <c r="C201" s="677"/>
      <c r="D201" s="57" t="s">
        <v>352</v>
      </c>
    </row>
    <row r="202" spans="1:4" ht="15.75">
      <c r="A202" s="661" t="s">
        <v>522</v>
      </c>
      <c r="B202" s="728"/>
      <c r="C202" s="728"/>
      <c r="D202" s="662"/>
    </row>
    <row r="203" spans="1:4" ht="15.75">
      <c r="A203" s="67" t="s">
        <v>353</v>
      </c>
      <c r="B203" s="661" t="s">
        <v>523</v>
      </c>
      <c r="C203" s="662"/>
      <c r="D203" s="107">
        <f>D39</f>
        <v>1839.73</v>
      </c>
    </row>
    <row r="204" spans="1:4" ht="15.75">
      <c r="A204" s="67" t="s">
        <v>322</v>
      </c>
      <c r="B204" s="661" t="s">
        <v>524</v>
      </c>
      <c r="C204" s="662"/>
      <c r="D204" s="107">
        <f>D83</f>
        <v>1396.07</v>
      </c>
    </row>
    <row r="205" spans="1:4" ht="15.75">
      <c r="A205" s="67" t="s">
        <v>325</v>
      </c>
      <c r="B205" s="661" t="s">
        <v>525</v>
      </c>
      <c r="C205" s="662"/>
      <c r="D205" s="107">
        <f>D126</f>
        <v>151.18</v>
      </c>
    </row>
    <row r="206" spans="1:4" ht="15.75">
      <c r="A206" s="67" t="s">
        <v>328</v>
      </c>
      <c r="B206" s="661" t="s">
        <v>526</v>
      </c>
      <c r="C206" s="662"/>
      <c r="D206" s="107">
        <f>D172</f>
        <v>347.14</v>
      </c>
    </row>
    <row r="207" spans="1:4" ht="15.75">
      <c r="A207" s="67" t="s">
        <v>331</v>
      </c>
      <c r="B207" s="661" t="s">
        <v>527</v>
      </c>
      <c r="C207" s="662"/>
      <c r="D207" s="107">
        <f>D183</f>
        <v>942.8</v>
      </c>
    </row>
    <row r="208" spans="1:4" ht="15.75">
      <c r="A208" s="738" t="s">
        <v>528</v>
      </c>
      <c r="B208" s="739"/>
      <c r="C208" s="740"/>
      <c r="D208" s="107">
        <f>SUM(D203:D207)</f>
        <v>4676.92</v>
      </c>
    </row>
    <row r="209" spans="1:4" ht="15.75">
      <c r="A209" s="67" t="s">
        <v>529</v>
      </c>
      <c r="B209" s="661" t="s">
        <v>530</v>
      </c>
      <c r="C209" s="662"/>
      <c r="D209" s="107">
        <f>D199</f>
        <v>1086.71</v>
      </c>
    </row>
    <row r="210" spans="1:4" ht="15.75">
      <c r="A210" s="676" t="s">
        <v>531</v>
      </c>
      <c r="B210" s="678"/>
      <c r="C210" s="677"/>
      <c r="D210" s="157">
        <f xml:space="preserve"> D208+D209</f>
        <v>5763.63</v>
      </c>
    </row>
    <row r="211" spans="1:4" ht="15.75">
      <c r="A211" s="27"/>
      <c r="B211" s="27"/>
      <c r="C211" s="27"/>
      <c r="D211" s="27"/>
    </row>
    <row r="212" spans="1:4" ht="15.75" thickBot="1">
      <c r="A212" s="20"/>
      <c r="B212" s="20"/>
      <c r="C212" s="20"/>
      <c r="D212" s="20"/>
    </row>
    <row r="213" spans="1:4" ht="15.75">
      <c r="A213" s="646" t="s">
        <v>532</v>
      </c>
      <c r="B213" s="647"/>
      <c r="C213" s="647"/>
      <c r="D213" s="648"/>
    </row>
    <row r="214" spans="1:4" ht="31.5">
      <c r="A214" s="175" t="s">
        <v>533</v>
      </c>
      <c r="B214" s="176" t="s">
        <v>534</v>
      </c>
      <c r="C214" s="177" t="s">
        <v>535</v>
      </c>
      <c r="D214" s="178" t="s">
        <v>536</v>
      </c>
    </row>
    <row r="215" spans="1:4" ht="16.5" thickBot="1">
      <c r="A215" s="179">
        <v>4</v>
      </c>
      <c r="B215" s="182">
        <f>1/(C11/A215)</f>
        <v>6.7558552150000001E-4</v>
      </c>
      <c r="C215" s="180">
        <f>D210</f>
        <v>5763.63</v>
      </c>
      <c r="D215" s="184">
        <f>C215*B215</f>
        <v>3.8938249790000001</v>
      </c>
    </row>
  </sheetData>
  <mergeCells count="108">
    <mergeCell ref="A208:C208"/>
    <mergeCell ref="B209:C209"/>
    <mergeCell ref="A210:C210"/>
    <mergeCell ref="A202:D202"/>
    <mergeCell ref="B203:C203"/>
    <mergeCell ref="B204:C204"/>
    <mergeCell ref="B205:C205"/>
    <mergeCell ref="B206:C206"/>
    <mergeCell ref="B207:C207"/>
    <mergeCell ref="A193:C193"/>
    <mergeCell ref="B194:D194"/>
    <mergeCell ref="A198:B198"/>
    <mergeCell ref="A199:B199"/>
    <mergeCell ref="A200:D200"/>
    <mergeCell ref="A201:C201"/>
    <mergeCell ref="A184:D184"/>
    <mergeCell ref="A185:C185"/>
    <mergeCell ref="A186:D186"/>
    <mergeCell ref="A187:D187"/>
    <mergeCell ref="A188:D188"/>
    <mergeCell ref="A191:C191"/>
    <mergeCell ref="B176:C176"/>
    <mergeCell ref="B177:C177"/>
    <mergeCell ref="B178:C178"/>
    <mergeCell ref="B179:C179"/>
    <mergeCell ref="A183:C183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40:D40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C11:D11"/>
    <mergeCell ref="C12:D12"/>
    <mergeCell ref="A13:D13"/>
    <mergeCell ref="A14:D14"/>
    <mergeCell ref="A15:D15"/>
    <mergeCell ref="C16:D16"/>
    <mergeCell ref="A213:D213"/>
    <mergeCell ref="B180:C180"/>
    <mergeCell ref="B182:C182"/>
    <mergeCell ref="B181:C181"/>
    <mergeCell ref="A5:D5"/>
    <mergeCell ref="C6:D6"/>
    <mergeCell ref="C7:D7"/>
    <mergeCell ref="C8:D8"/>
    <mergeCell ref="C9:D9"/>
    <mergeCell ref="C10:D10"/>
    <mergeCell ref="B20:C20"/>
    <mergeCell ref="B21:C21"/>
    <mergeCell ref="B22:C22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2"/>
  <dimension ref="A2:H20"/>
  <sheetViews>
    <sheetView workbookViewId="0">
      <selection activeCell="B9" sqref="B9"/>
    </sheetView>
  </sheetViews>
  <sheetFormatPr defaultRowHeight="15"/>
  <cols>
    <col min="1" max="1" width="10.140625" style="11" bestFit="1" customWidth="1"/>
    <col min="2" max="2" width="9.140625" style="11"/>
    <col min="3" max="3" width="12.5703125" customWidth="1"/>
    <col min="4" max="4" width="13.28515625" bestFit="1" customWidth="1"/>
    <col min="5" max="5" width="15.85546875" bestFit="1" customWidth="1"/>
    <col min="7" max="7" width="15.85546875" bestFit="1" customWidth="1"/>
    <col min="8" max="8" width="8.5703125" bestFit="1" customWidth="1"/>
  </cols>
  <sheetData>
    <row r="2" spans="1:8">
      <c r="A2" s="11" t="s">
        <v>21</v>
      </c>
      <c r="B2" s="11" t="s">
        <v>22</v>
      </c>
    </row>
    <row r="3" spans="1:8">
      <c r="A3" s="11">
        <v>5.5250000000000004E-3</v>
      </c>
      <c r="B3" s="11">
        <v>5.5250000000000004E-3</v>
      </c>
      <c r="C3" s="10"/>
      <c r="D3" s="10"/>
      <c r="E3" s="10"/>
      <c r="F3" s="10"/>
      <c r="G3" s="10"/>
      <c r="H3" s="10"/>
    </row>
    <row r="4" spans="1:8">
      <c r="A4" s="11">
        <v>2.7230000000000002E-3</v>
      </c>
      <c r="B4" s="11">
        <v>2.7230000000000002E-3</v>
      </c>
      <c r="C4" s="10"/>
      <c r="D4" s="10"/>
      <c r="E4" s="10"/>
      <c r="F4" s="10"/>
      <c r="G4" s="10"/>
      <c r="H4" s="10"/>
    </row>
    <row r="5" spans="1:8">
      <c r="A5" s="11">
        <v>5.4099999999999999E-3</v>
      </c>
      <c r="B5" s="11">
        <v>5.4099999999999999E-3</v>
      </c>
      <c r="C5" s="10"/>
      <c r="D5" s="10"/>
      <c r="E5" s="10"/>
      <c r="F5" s="10"/>
      <c r="G5" s="10"/>
      <c r="H5" s="10"/>
    </row>
    <row r="6" spans="1:8">
      <c r="A6" s="11">
        <v>6.1669999999999997E-3</v>
      </c>
      <c r="B6" s="11">
        <v>6.1669999999999997E-3</v>
      </c>
      <c r="C6" s="10"/>
      <c r="D6" s="10"/>
      <c r="E6" s="10"/>
      <c r="F6" s="10"/>
      <c r="G6" s="10"/>
      <c r="H6" s="10"/>
    </row>
    <row r="7" spans="1:8">
      <c r="A7" s="11">
        <v>6.0489999999999997E-3</v>
      </c>
      <c r="B7" s="11">
        <v>6.0489999999999997E-3</v>
      </c>
      <c r="C7" s="10"/>
      <c r="D7" s="10"/>
      <c r="E7" s="10"/>
      <c r="F7" s="10"/>
      <c r="G7" s="10"/>
      <c r="H7" s="10"/>
    </row>
    <row r="8" spans="1:8">
      <c r="A8" s="11">
        <v>7.4949999999999999E-3</v>
      </c>
      <c r="B8" s="11">
        <v>7.4949999999999999E-3</v>
      </c>
      <c r="C8" s="10"/>
      <c r="D8" s="10"/>
      <c r="E8" s="10"/>
      <c r="F8" s="10"/>
      <c r="G8" s="10"/>
      <c r="H8" s="10"/>
    </row>
    <row r="9" spans="1:8">
      <c r="A9" s="11">
        <v>5.581E-3</v>
      </c>
      <c r="B9" s="11">
        <v>5.581E-3</v>
      </c>
      <c r="C9" s="10"/>
      <c r="D9" s="10"/>
      <c r="E9" s="10"/>
      <c r="F9" s="10"/>
      <c r="G9" s="10"/>
      <c r="H9" s="10"/>
    </row>
    <row r="10" spans="1:8">
      <c r="A10" s="11">
        <v>1.5701E-2</v>
      </c>
      <c r="B10" s="11">
        <v>1.5701E-2</v>
      </c>
      <c r="C10" s="10"/>
      <c r="D10" s="10"/>
      <c r="E10" s="10"/>
      <c r="F10" s="10"/>
      <c r="G10" s="10"/>
      <c r="H10" s="10"/>
    </row>
    <row r="11" spans="1:8">
      <c r="A11" s="11">
        <v>5.9930000000000001E-3</v>
      </c>
      <c r="B11" s="11">
        <v>5.9930000000000001E-3</v>
      </c>
      <c r="C11" s="10"/>
      <c r="D11" s="10"/>
      <c r="E11" s="10"/>
      <c r="F11" s="10"/>
      <c r="G11" s="10"/>
      <c r="H11" s="10"/>
    </row>
    <row r="12" spans="1:8">
      <c r="A12" s="11">
        <v>1.2713E-2</v>
      </c>
      <c r="B12" s="11">
        <v>1.2713E-2</v>
      </c>
      <c r="C12" s="10"/>
      <c r="D12" s="10"/>
      <c r="E12" s="10"/>
      <c r="F12" s="10"/>
      <c r="G12" s="10"/>
      <c r="H12" s="10"/>
    </row>
    <row r="13" spans="1:8">
      <c r="A13" s="11">
        <v>5.8789999999999997E-3</v>
      </c>
      <c r="B13" s="11">
        <v>5.8789999999999997E-3</v>
      </c>
      <c r="C13" s="10"/>
      <c r="D13" s="10"/>
      <c r="E13" s="10"/>
      <c r="F13" s="10"/>
      <c r="G13" s="10"/>
      <c r="H13" s="10"/>
    </row>
    <row r="14" spans="1:8">
      <c r="A14" s="11">
        <v>1.2600999999999999E-2</v>
      </c>
      <c r="B14" s="11">
        <v>1.2600999999999999E-2</v>
      </c>
      <c r="C14" s="10"/>
      <c r="D14" s="10"/>
      <c r="E14" s="10"/>
      <c r="F14" s="10"/>
      <c r="G14" s="10"/>
      <c r="H14" s="10"/>
    </row>
    <row r="15" spans="1:8">
      <c r="A15" s="11">
        <v>6.2729999999999999E-3</v>
      </c>
      <c r="B15" s="11">
        <v>6.2729999999999999E-3</v>
      </c>
      <c r="C15" s="10"/>
      <c r="D15" s="10"/>
      <c r="E15" s="10"/>
      <c r="F15" s="10"/>
      <c r="G15" s="10"/>
      <c r="H15" s="10"/>
    </row>
    <row r="16" spans="1:8">
      <c r="A16" s="11">
        <v>1.3356E-2</v>
      </c>
      <c r="B16" s="11">
        <v>1.3356E-2</v>
      </c>
      <c r="C16" s="10"/>
      <c r="D16" s="10"/>
      <c r="E16" s="10"/>
      <c r="F16" s="10"/>
      <c r="G16" s="10"/>
      <c r="H16" s="10"/>
    </row>
    <row r="17" spans="1:8">
      <c r="A17" s="11">
        <v>6.7580000000000001E-3</v>
      </c>
      <c r="B17" s="11">
        <v>6.7580000000000001E-3</v>
      </c>
      <c r="C17" s="10"/>
      <c r="D17" s="10"/>
      <c r="E17" s="10"/>
      <c r="F17" s="10"/>
      <c r="G17" s="10"/>
      <c r="H17" s="10"/>
    </row>
    <row r="18" spans="1:8">
      <c r="A18" s="11">
        <v>1.3488E-2</v>
      </c>
      <c r="B18" s="11">
        <v>1.3488E-2</v>
      </c>
      <c r="C18" s="10"/>
      <c r="D18" s="10"/>
      <c r="E18" s="10"/>
      <c r="F18" s="10"/>
      <c r="G18" s="10"/>
      <c r="H18" s="10"/>
    </row>
    <row r="19" spans="1:8">
      <c r="C19" s="10"/>
      <c r="F19" s="10"/>
      <c r="G19" s="10"/>
    </row>
    <row r="20" spans="1:8">
      <c r="G20" s="10"/>
    </row>
  </sheetData>
  <conditionalFormatting sqref="H3:H18">
    <cfRule type="cellIs" dxfId="1" priority="2" operator="greaterThan">
      <formula>0</formula>
    </cfRule>
  </conditionalFormatting>
  <conditionalFormatting sqref="C3:C18">
    <cfRule type="cellIs" dxfId="0" priority="1" operator="greaterThan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8060F-56C4-484A-AF77-E197F2A8240F}">
  <sheetPr codeName="Planilha18">
    <pageSetUpPr fitToPage="1"/>
  </sheetPr>
  <dimension ref="A1:D214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>
      <c r="A1" s="680" t="s">
        <v>313</v>
      </c>
      <c r="B1" s="680"/>
      <c r="C1" s="680"/>
      <c r="D1" s="680"/>
    </row>
    <row r="2" spans="1:4" ht="15.75">
      <c r="A2" s="681" t="s">
        <v>314</v>
      </c>
      <c r="B2" s="681"/>
      <c r="C2" s="682" t="s">
        <v>315</v>
      </c>
      <c r="D2" s="683"/>
    </row>
    <row r="3" spans="1:4" ht="15.75">
      <c r="A3" s="681" t="s">
        <v>316</v>
      </c>
      <c r="B3" s="681"/>
      <c r="C3" s="682" t="s">
        <v>317</v>
      </c>
      <c r="D3" s="683"/>
    </row>
    <row r="4" spans="1:4" ht="15.75">
      <c r="A4" s="653"/>
      <c r="B4" s="653"/>
      <c r="C4" s="653"/>
      <c r="D4" s="653"/>
    </row>
    <row r="5" spans="1:4" ht="15.75">
      <c r="A5" s="653" t="s">
        <v>318</v>
      </c>
      <c r="B5" s="653"/>
      <c r="C5" s="653"/>
      <c r="D5" s="653"/>
    </row>
    <row r="6" spans="1:4" ht="15.75">
      <c r="A6" s="67" t="s">
        <v>319</v>
      </c>
      <c r="B6" s="65" t="s">
        <v>320</v>
      </c>
      <c r="C6" s="654" t="s">
        <v>321</v>
      </c>
      <c r="D6" s="655"/>
    </row>
    <row r="7" spans="1:4" ht="15.75">
      <c r="A7" s="67" t="s">
        <v>322</v>
      </c>
      <c r="B7" s="65" t="s">
        <v>323</v>
      </c>
      <c r="C7" s="656" t="s">
        <v>566</v>
      </c>
      <c r="D7" s="656"/>
    </row>
    <row r="8" spans="1:4" ht="15.75">
      <c r="A8" s="28" t="s">
        <v>325</v>
      </c>
      <c r="B8" s="29" t="s">
        <v>326</v>
      </c>
      <c r="C8" s="736" t="s">
        <v>567</v>
      </c>
      <c r="D8" s="737"/>
    </row>
    <row r="9" spans="1:4" ht="15.75">
      <c r="A9" s="67" t="s">
        <v>328</v>
      </c>
      <c r="B9" s="65" t="s">
        <v>329</v>
      </c>
      <c r="C9" s="659" t="s">
        <v>330</v>
      </c>
      <c r="D9" s="660"/>
    </row>
    <row r="10" spans="1:4" ht="15.75">
      <c r="A10" s="67" t="s">
        <v>331</v>
      </c>
      <c r="B10" s="65" t="s">
        <v>332</v>
      </c>
      <c r="C10" s="659" t="s">
        <v>333</v>
      </c>
      <c r="D10" s="660"/>
    </row>
    <row r="11" spans="1:4" ht="15.75">
      <c r="A11" s="67" t="s">
        <v>334</v>
      </c>
      <c r="B11" s="65" t="s">
        <v>335</v>
      </c>
      <c r="C11" s="686">
        <f>Resumo!F15</f>
        <v>2594.4499999999998</v>
      </c>
      <c r="D11" s="687"/>
    </row>
    <row r="12" spans="1:4" ht="15.75">
      <c r="A12" s="67" t="s">
        <v>394</v>
      </c>
      <c r="B12" s="65" t="s">
        <v>337</v>
      </c>
      <c r="C12" s="688">
        <f>Resumo!I5</f>
        <v>20</v>
      </c>
      <c r="D12" s="675"/>
    </row>
    <row r="13" spans="1:4" ht="15.75">
      <c r="A13" s="689"/>
      <c r="B13" s="690"/>
      <c r="C13" s="690"/>
      <c r="D13" s="690"/>
    </row>
    <row r="14" spans="1:4" ht="15.75">
      <c r="A14" s="691" t="s">
        <v>338</v>
      </c>
      <c r="B14" s="692"/>
      <c r="C14" s="692"/>
      <c r="D14" s="693"/>
    </row>
    <row r="15" spans="1:4" ht="15.75">
      <c r="A15" s="656" t="s">
        <v>339</v>
      </c>
      <c r="B15" s="656"/>
      <c r="C15" s="656"/>
      <c r="D15" s="656"/>
    </row>
    <row r="16" spans="1:4" ht="15.75">
      <c r="A16" s="67">
        <v>1</v>
      </c>
      <c r="B16" s="65" t="s">
        <v>340</v>
      </c>
      <c r="C16" s="659" t="s">
        <v>341</v>
      </c>
      <c r="D16" s="660" t="s">
        <v>62</v>
      </c>
    </row>
    <row r="17" spans="1:4" ht="15.75">
      <c r="A17" s="67">
        <v>2</v>
      </c>
      <c r="B17" s="30" t="s">
        <v>342</v>
      </c>
      <c r="C17" s="684" t="s">
        <v>343</v>
      </c>
      <c r="D17" s="685"/>
    </row>
    <row r="18" spans="1:4" ht="15.75">
      <c r="A18" s="656" t="s">
        <v>344</v>
      </c>
      <c r="B18" s="656"/>
      <c r="C18" s="656"/>
      <c r="D18" s="656"/>
    </row>
    <row r="19" spans="1:4" ht="15.75">
      <c r="A19" s="67">
        <v>3</v>
      </c>
      <c r="B19" s="661" t="s">
        <v>345</v>
      </c>
      <c r="C19" s="662"/>
      <c r="D19" s="106">
        <v>1314.09</v>
      </c>
    </row>
    <row r="20" spans="1:4" ht="15.75">
      <c r="A20" s="67">
        <v>4</v>
      </c>
      <c r="B20" s="661" t="s">
        <v>346</v>
      </c>
      <c r="C20" s="662"/>
      <c r="D20" s="158">
        <v>220</v>
      </c>
    </row>
    <row r="21" spans="1:4" ht="15.75">
      <c r="A21" s="67">
        <v>5</v>
      </c>
      <c r="B21" s="661" t="s">
        <v>347</v>
      </c>
      <c r="C21" s="662"/>
      <c r="D21" s="75" t="s">
        <v>348</v>
      </c>
    </row>
    <row r="22" spans="1:4" ht="15.75">
      <c r="A22" s="67">
        <v>6</v>
      </c>
      <c r="B22" s="661" t="s">
        <v>349</v>
      </c>
      <c r="C22" s="662"/>
      <c r="D22" s="76">
        <v>44562</v>
      </c>
    </row>
    <row r="23" spans="1:4" ht="15.75">
      <c r="A23" s="659"/>
      <c r="B23" s="671"/>
      <c r="C23" s="671"/>
      <c r="D23" s="660"/>
    </row>
    <row r="24" spans="1:4" ht="15.75">
      <c r="A24" s="672" t="s">
        <v>350</v>
      </c>
      <c r="B24" s="672"/>
      <c r="C24" s="672"/>
      <c r="D24" s="672"/>
    </row>
    <row r="25" spans="1:4" ht="15.75">
      <c r="A25" s="673"/>
      <c r="B25" s="674"/>
      <c r="C25" s="674"/>
      <c r="D25" s="675"/>
    </row>
    <row r="26" spans="1:4" ht="15.75">
      <c r="A26" s="66">
        <v>1</v>
      </c>
      <c r="B26" s="676" t="s">
        <v>351</v>
      </c>
      <c r="C26" s="677"/>
      <c r="D26" s="66" t="s">
        <v>352</v>
      </c>
    </row>
    <row r="27" spans="1:4" ht="15.75" hidden="1" outlineLevel="1">
      <c r="A27" s="67" t="s">
        <v>353</v>
      </c>
      <c r="B27" s="65" t="s">
        <v>354</v>
      </c>
      <c r="C27" s="73">
        <f>'SR - ASG'!C27</f>
        <v>220</v>
      </c>
      <c r="D27" s="107">
        <f>D19/220*C27</f>
        <v>1314.09</v>
      </c>
    </row>
    <row r="28" spans="1:4" ht="15.75" hidden="1" outlineLevel="1">
      <c r="A28" s="67" t="s">
        <v>322</v>
      </c>
      <c r="B28" s="65" t="s">
        <v>557</v>
      </c>
      <c r="C28" s="31">
        <v>0</v>
      </c>
      <c r="D28" s="107">
        <f>C28*D27</f>
        <v>0</v>
      </c>
    </row>
    <row r="29" spans="1:4" ht="15.75" hidden="1" outlineLevel="1">
      <c r="A29" s="67" t="s">
        <v>325</v>
      </c>
      <c r="B29" s="65" t="s">
        <v>356</v>
      </c>
      <c r="C29" s="31">
        <v>0.4</v>
      </c>
      <c r="D29" s="107">
        <f>C29*D27</f>
        <v>525.64</v>
      </c>
    </row>
    <row r="30" spans="1:4" ht="15.75" hidden="1" outlineLevel="1">
      <c r="A30" s="67" t="s">
        <v>328</v>
      </c>
      <c r="B30" s="65" t="s">
        <v>357</v>
      </c>
      <c r="C30" s="159">
        <v>0</v>
      </c>
      <c r="D30" s="108">
        <f>SUM(D31:D32)</f>
        <v>0</v>
      </c>
    </row>
    <row r="31" spans="1:4" ht="15.75" hidden="1" outlineLevel="2">
      <c r="A31" s="80" t="s">
        <v>358</v>
      </c>
      <c r="B31" s="65" t="s">
        <v>359</v>
      </c>
      <c r="C31" s="81">
        <v>0.2</v>
      </c>
      <c r="D31" s="108">
        <f>(SUM(D27:D29)/C27)*C31*15*C30</f>
        <v>0</v>
      </c>
    </row>
    <row r="32" spans="1:4" ht="15.75" hidden="1" outlineLevel="2">
      <c r="A32" s="80" t="s">
        <v>360</v>
      </c>
      <c r="B32" s="65" t="s">
        <v>361</v>
      </c>
      <c r="C32" s="82">
        <f>C30*(60/52.5)/8</f>
        <v>0</v>
      </c>
      <c r="D32" s="108">
        <f>(SUM(D27:D29)/C27)*(C31)*15*C32</f>
        <v>0</v>
      </c>
    </row>
    <row r="33" spans="1:4" ht="15.75" hidden="1" outlineLevel="1">
      <c r="A33" s="67" t="s">
        <v>331</v>
      </c>
      <c r="B33" s="65" t="s">
        <v>362</v>
      </c>
      <c r="C33" s="31" t="s">
        <v>363</v>
      </c>
      <c r="D33" s="1">
        <f>SUM(D34:D37)</f>
        <v>0</v>
      </c>
    </row>
    <row r="34" spans="1:4" ht="15.75" hidden="1" outlineLevel="2">
      <c r="A34" s="83" t="s">
        <v>364</v>
      </c>
      <c r="B34" s="84" t="s">
        <v>365</v>
      </c>
      <c r="C34" s="85">
        <v>0</v>
      </c>
      <c r="D34" s="109">
        <f>(SUM($D$27:$D$29)/$C$27)*C34*1.5</f>
        <v>0</v>
      </c>
    </row>
    <row r="35" spans="1:4" ht="15.75" hidden="1" outlineLevel="2">
      <c r="A35" s="83" t="s">
        <v>366</v>
      </c>
      <c r="B35" s="86" t="s">
        <v>367</v>
      </c>
      <c r="C35" s="87">
        <v>0</v>
      </c>
      <c r="D35" s="109">
        <f>(SUM($D$27:$D$29)/$C$27)*C35*((60/52.5)*1.2*1.5)</f>
        <v>0</v>
      </c>
    </row>
    <row r="36" spans="1:4" ht="15.75" hidden="1" outlineLevel="2">
      <c r="A36" s="83" t="s">
        <v>368</v>
      </c>
      <c r="B36" s="84" t="s">
        <v>369</v>
      </c>
      <c r="C36" s="88">
        <f>C34*0.1429</f>
        <v>0</v>
      </c>
      <c r="D36" s="109">
        <f>(SUM($D$27:$D$29)/$C$27)*C36*2</f>
        <v>0</v>
      </c>
    </row>
    <row r="37" spans="1:4" ht="15.75" hidden="1" outlineLevel="2">
      <c r="A37" s="83" t="s">
        <v>370</v>
      </c>
      <c r="B37" s="84" t="s">
        <v>371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>
      <c r="A38" s="67" t="s">
        <v>334</v>
      </c>
      <c r="B38" s="58" t="s">
        <v>372</v>
      </c>
      <c r="C38" s="59">
        <v>0</v>
      </c>
      <c r="D38" s="110">
        <v>0</v>
      </c>
    </row>
    <row r="39" spans="1:4" ht="15.75" collapsed="1">
      <c r="A39" s="676" t="s">
        <v>373</v>
      </c>
      <c r="B39" s="678"/>
      <c r="C39" s="677"/>
      <c r="D39" s="111">
        <f>SUM(D27:D30,D33,D38)</f>
        <v>1839.73</v>
      </c>
    </row>
    <row r="40" spans="1:4" ht="15.75">
      <c r="A40" s="679"/>
      <c r="B40" s="679"/>
      <c r="C40" s="679"/>
      <c r="D40" s="679"/>
    </row>
    <row r="41" spans="1:4" ht="15.75" hidden="1" outlineLevel="1">
      <c r="A41" s="89" t="s">
        <v>374</v>
      </c>
      <c r="B41" s="112" t="s">
        <v>375</v>
      </c>
      <c r="C41" s="113" t="s">
        <v>376</v>
      </c>
      <c r="D41" s="113" t="s">
        <v>352</v>
      </c>
    </row>
    <row r="42" spans="1:4" ht="15.75" hidden="1" outlineLevel="1">
      <c r="A42" s="114" t="s">
        <v>353</v>
      </c>
      <c r="B42" s="30" t="s">
        <v>377</v>
      </c>
      <c r="C42" s="90">
        <v>0</v>
      </c>
      <c r="D42" s="115">
        <f>(SUM(D27)/$C$27)*C42*1.5</f>
        <v>0</v>
      </c>
    </row>
    <row r="43" spans="1:4" ht="15.75" hidden="1" outlineLevel="1">
      <c r="A43" s="116" t="s">
        <v>325</v>
      </c>
      <c r="B43" s="117" t="s">
        <v>378</v>
      </c>
      <c r="C43" s="118">
        <v>0</v>
      </c>
      <c r="D43" s="107">
        <f>C43*177</f>
        <v>0</v>
      </c>
    </row>
    <row r="44" spans="1:4" ht="15.75" hidden="1" outlineLevel="1">
      <c r="A44" s="67" t="s">
        <v>328</v>
      </c>
      <c r="B44" s="58" t="s">
        <v>372</v>
      </c>
      <c r="C44" s="59">
        <v>0</v>
      </c>
      <c r="D44" s="110">
        <v>0</v>
      </c>
    </row>
    <row r="45" spans="1:4" ht="15.75" collapsed="1">
      <c r="A45" s="663" t="s">
        <v>379</v>
      </c>
      <c r="B45" s="664"/>
      <c r="C45" s="33">
        <f>D45/D39</f>
        <v>0</v>
      </c>
      <c r="D45" s="119">
        <f>SUM(D42:D43)</f>
        <v>0</v>
      </c>
    </row>
    <row r="46" spans="1:4" ht="15.75">
      <c r="A46" s="665"/>
      <c r="B46" s="666"/>
      <c r="C46" s="666"/>
      <c r="D46" s="667"/>
    </row>
    <row r="47" spans="1:4" ht="15.75">
      <c r="A47" s="668" t="s">
        <v>380</v>
      </c>
      <c r="B47" s="669"/>
      <c r="C47" s="669"/>
      <c r="D47" s="670"/>
    </row>
    <row r="48" spans="1:4" ht="15.75" hidden="1" outlineLevel="1">
      <c r="A48" s="665"/>
      <c r="B48" s="666"/>
      <c r="C48" s="666"/>
      <c r="D48" s="667"/>
    </row>
    <row r="49" spans="1:4" ht="15.75" hidden="1" outlineLevel="1">
      <c r="A49" s="113" t="s">
        <v>381</v>
      </c>
      <c r="B49" s="112" t="s">
        <v>382</v>
      </c>
      <c r="C49" s="113" t="s">
        <v>383</v>
      </c>
      <c r="D49" s="113" t="s">
        <v>352</v>
      </c>
    </row>
    <row r="50" spans="1:4" ht="15.75" hidden="1" outlineLevel="2">
      <c r="A50" s="116" t="s">
        <v>353</v>
      </c>
      <c r="B50" s="117" t="s">
        <v>384</v>
      </c>
      <c r="C50" s="32">
        <f>1/12</f>
        <v>8.3299999999999999E-2</v>
      </c>
      <c r="D50" s="107">
        <f>C50*D39</f>
        <v>153.25</v>
      </c>
    </row>
    <row r="51" spans="1:4" ht="15.75" hidden="1" outlineLevel="2">
      <c r="A51" s="116" t="s">
        <v>322</v>
      </c>
      <c r="B51" s="117" t="s">
        <v>385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>
      <c r="A52" s="663" t="s">
        <v>176</v>
      </c>
      <c r="B52" s="664"/>
      <c r="C52" s="33">
        <f>SUM(C50:C51)</f>
        <v>0.1</v>
      </c>
      <c r="D52" s="119">
        <f>SUM(D50:D51)</f>
        <v>183.97</v>
      </c>
    </row>
    <row r="53" spans="1:4" ht="15.75" hidden="1" outlineLevel="1">
      <c r="A53" s="665"/>
      <c r="B53" s="666"/>
      <c r="C53" s="666"/>
      <c r="D53" s="667"/>
    </row>
    <row r="54" spans="1:4" ht="15.75" hidden="1" outlineLevel="1">
      <c r="A54" s="113" t="s">
        <v>386</v>
      </c>
      <c r="B54" s="120" t="s">
        <v>387</v>
      </c>
      <c r="C54" s="113" t="s">
        <v>383</v>
      </c>
      <c r="D54" s="121" t="s">
        <v>352</v>
      </c>
    </row>
    <row r="55" spans="1:4" ht="15.75" hidden="1" outlineLevel="2">
      <c r="A55" s="114" t="s">
        <v>353</v>
      </c>
      <c r="B55" s="34" t="s">
        <v>388</v>
      </c>
      <c r="C55" s="35">
        <v>0.2</v>
      </c>
      <c r="D55" s="107">
        <f t="shared" ref="D55:D62" si="0">C55*($D$39+$D$52)</f>
        <v>404.74</v>
      </c>
    </row>
    <row r="56" spans="1:4" ht="15.75" hidden="1" outlineLevel="2">
      <c r="A56" s="114" t="s">
        <v>322</v>
      </c>
      <c r="B56" s="34" t="s">
        <v>389</v>
      </c>
      <c r="C56" s="35">
        <v>2.5000000000000001E-2</v>
      </c>
      <c r="D56" s="107">
        <f t="shared" si="0"/>
        <v>50.59</v>
      </c>
    </row>
    <row r="57" spans="1:4" ht="15.75" hidden="1" outlineLevel="2">
      <c r="A57" s="114" t="s">
        <v>325</v>
      </c>
      <c r="B57" s="34" t="s">
        <v>390</v>
      </c>
      <c r="C57" s="68">
        <v>0.03</v>
      </c>
      <c r="D57" s="107">
        <f t="shared" si="0"/>
        <v>60.71</v>
      </c>
    </row>
    <row r="58" spans="1:4" ht="15.75" hidden="1" outlineLevel="2">
      <c r="A58" s="114" t="s">
        <v>328</v>
      </c>
      <c r="B58" s="34" t="s">
        <v>391</v>
      </c>
      <c r="C58" s="35">
        <v>1.4999999999999999E-2</v>
      </c>
      <c r="D58" s="107">
        <f t="shared" si="0"/>
        <v>30.36</v>
      </c>
    </row>
    <row r="59" spans="1:4" ht="15.75" hidden="1" outlineLevel="2">
      <c r="A59" s="114" t="s">
        <v>331</v>
      </c>
      <c r="B59" s="34" t="s">
        <v>392</v>
      </c>
      <c r="C59" s="35">
        <v>0.01</v>
      </c>
      <c r="D59" s="107">
        <f t="shared" si="0"/>
        <v>20.239999999999998</v>
      </c>
    </row>
    <row r="60" spans="1:4" ht="15.75" hidden="1" outlineLevel="2">
      <c r="A60" s="114" t="s">
        <v>334</v>
      </c>
      <c r="B60" s="34" t="s">
        <v>393</v>
      </c>
      <c r="C60" s="35">
        <v>6.0000000000000001E-3</v>
      </c>
      <c r="D60" s="107">
        <f t="shared" si="0"/>
        <v>12.14</v>
      </c>
    </row>
    <row r="61" spans="1:4" ht="15.75" hidden="1" outlineLevel="2">
      <c r="A61" s="114" t="s">
        <v>394</v>
      </c>
      <c r="B61" s="34" t="s">
        <v>395</v>
      </c>
      <c r="C61" s="35">
        <v>2E-3</v>
      </c>
      <c r="D61" s="107">
        <f t="shared" si="0"/>
        <v>4.05</v>
      </c>
    </row>
    <row r="62" spans="1:4" ht="15.75" hidden="1" outlineLevel="2">
      <c r="A62" s="114" t="s">
        <v>336</v>
      </c>
      <c r="B62" s="34" t="s">
        <v>396</v>
      </c>
      <c r="C62" s="35">
        <v>0.08</v>
      </c>
      <c r="D62" s="107">
        <f t="shared" si="0"/>
        <v>161.9</v>
      </c>
    </row>
    <row r="63" spans="1:4" ht="15.75" hidden="1" outlineLevel="1">
      <c r="A63" s="663" t="s">
        <v>176</v>
      </c>
      <c r="B63" s="664"/>
      <c r="C63" s="36">
        <f>SUM(C55:C62)</f>
        <v>0.36799999999999999</v>
      </c>
      <c r="D63" s="122">
        <f>SUM(D55:D62)</f>
        <v>744.73</v>
      </c>
    </row>
    <row r="64" spans="1:4" ht="15.75" hidden="1" outlineLevel="1">
      <c r="A64" s="665"/>
      <c r="B64" s="666"/>
      <c r="C64" s="666"/>
      <c r="D64" s="667"/>
    </row>
    <row r="65" spans="1:4" ht="15.75" hidden="1" outlineLevel="1">
      <c r="A65" s="113" t="s">
        <v>397</v>
      </c>
      <c r="B65" s="120" t="s">
        <v>398</v>
      </c>
      <c r="C65" s="113" t="s">
        <v>399</v>
      </c>
      <c r="D65" s="113" t="s">
        <v>352</v>
      </c>
    </row>
    <row r="66" spans="1:4" ht="15.75" hidden="1" outlineLevel="2">
      <c r="A66" s="114" t="s">
        <v>353</v>
      </c>
      <c r="B66" s="34" t="s">
        <v>400</v>
      </c>
      <c r="C66" s="123">
        <v>4</v>
      </c>
      <c r="D66" s="124">
        <f>IF(D67+D68&gt;0,(D67+D68),0)</f>
        <v>89.15</v>
      </c>
    </row>
    <row r="67" spans="1:4" ht="15.75" hidden="1" outlineLevel="3">
      <c r="A67" s="125" t="s">
        <v>401</v>
      </c>
      <c r="B67" s="34" t="s">
        <v>402</v>
      </c>
      <c r="C67" s="126">
        <v>21</v>
      </c>
      <c r="D67" s="127">
        <f>C66*C67*2</f>
        <v>168</v>
      </c>
    </row>
    <row r="68" spans="1:4" ht="15.75" hidden="1" outlineLevel="3">
      <c r="A68" s="125" t="s">
        <v>403</v>
      </c>
      <c r="B68" s="34" t="s">
        <v>404</v>
      </c>
      <c r="C68" s="128">
        <v>0.06</v>
      </c>
      <c r="D68" s="127">
        <f>-D27*C68</f>
        <v>-78.849999999999994</v>
      </c>
    </row>
    <row r="69" spans="1:4" ht="15.75" hidden="1" outlineLevel="2">
      <c r="A69" s="114" t="s">
        <v>322</v>
      </c>
      <c r="B69" s="34" t="s">
        <v>405</v>
      </c>
      <c r="C69" s="129">
        <f>'SR - ASG'!C69</f>
        <v>20.18</v>
      </c>
      <c r="D69" s="124">
        <f>D70+D71</f>
        <v>343.26</v>
      </c>
    </row>
    <row r="70" spans="1:4" ht="15.75" hidden="1" outlineLevel="3">
      <c r="A70" s="125" t="s">
        <v>406</v>
      </c>
      <c r="B70" s="34" t="s">
        <v>407</v>
      </c>
      <c r="C70" s="126">
        <v>21</v>
      </c>
      <c r="D70" s="127">
        <f>C69*C70</f>
        <v>423.78</v>
      </c>
    </row>
    <row r="71" spans="1:4" ht="15.75" hidden="1" outlineLevel="3">
      <c r="A71" s="125" t="s">
        <v>408</v>
      </c>
      <c r="B71" s="34" t="s">
        <v>409</v>
      </c>
      <c r="C71" s="130">
        <v>-0.19</v>
      </c>
      <c r="D71" s="127">
        <f>D70*C71</f>
        <v>-80.52</v>
      </c>
    </row>
    <row r="72" spans="1:4" ht="15.75" hidden="1" outlineLevel="2">
      <c r="A72" s="114" t="s">
        <v>325</v>
      </c>
      <c r="B72" s="77" t="s">
        <v>410</v>
      </c>
      <c r="C72" s="129">
        <v>17.32</v>
      </c>
      <c r="D72" s="132">
        <f>C72</f>
        <v>17.32</v>
      </c>
    </row>
    <row r="73" spans="1:4" ht="15.75" hidden="1" outlineLevel="2">
      <c r="A73" s="114" t="s">
        <v>328</v>
      </c>
      <c r="B73" s="78" t="s">
        <v>411</v>
      </c>
      <c r="C73" s="129">
        <f>140*3</f>
        <v>420</v>
      </c>
      <c r="D73" s="132">
        <f>C73*C152</f>
        <v>0.84</v>
      </c>
    </row>
    <row r="74" spans="1:4" ht="15.75" hidden="1" outlineLevel="2">
      <c r="A74" s="114" t="s">
        <v>331</v>
      </c>
      <c r="B74" s="77" t="s">
        <v>412</v>
      </c>
      <c r="C74" s="129">
        <v>21</v>
      </c>
      <c r="D74" s="132">
        <f>C74</f>
        <v>21</v>
      </c>
    </row>
    <row r="75" spans="1:4" ht="15.75" hidden="1" outlineLevel="2">
      <c r="A75" s="114" t="s">
        <v>334</v>
      </c>
      <c r="B75" s="77" t="s">
        <v>372</v>
      </c>
      <c r="C75" s="131">
        <v>0</v>
      </c>
      <c r="D75" s="132">
        <f>C75*D39</f>
        <v>0</v>
      </c>
    </row>
    <row r="76" spans="1:4" ht="15.75" hidden="1" outlineLevel="2">
      <c r="A76" s="114" t="s">
        <v>394</v>
      </c>
      <c r="B76" s="77" t="s">
        <v>372</v>
      </c>
      <c r="C76" s="129">
        <v>0</v>
      </c>
      <c r="D76" s="133">
        <f>C76</f>
        <v>0</v>
      </c>
    </row>
    <row r="77" spans="1:4" ht="15.75" hidden="1" outlineLevel="1">
      <c r="A77" s="663" t="s">
        <v>413</v>
      </c>
      <c r="B77" s="700"/>
      <c r="C77" s="664"/>
      <c r="D77" s="119">
        <f>SUM(D66,D69,D72:D76)</f>
        <v>471.57</v>
      </c>
    </row>
    <row r="78" spans="1:4" ht="15.75" hidden="1" outlineLevel="1">
      <c r="A78" s="665"/>
      <c r="B78" s="666"/>
      <c r="C78" s="666"/>
      <c r="D78" s="667"/>
    </row>
    <row r="79" spans="1:4" ht="15.75" hidden="1" outlineLevel="1">
      <c r="A79" s="701" t="s">
        <v>414</v>
      </c>
      <c r="B79" s="702"/>
      <c r="C79" s="113" t="s">
        <v>383</v>
      </c>
      <c r="D79" s="113" t="s">
        <v>352</v>
      </c>
    </row>
    <row r="80" spans="1:4" ht="15.75" hidden="1" outlineLevel="1">
      <c r="A80" s="114" t="s">
        <v>415</v>
      </c>
      <c r="B80" s="34" t="s">
        <v>382</v>
      </c>
      <c r="C80" s="37">
        <f>C52</f>
        <v>0.1</v>
      </c>
      <c r="D80" s="107">
        <f>D52</f>
        <v>183.97</v>
      </c>
    </row>
    <row r="81" spans="1:4" ht="15.75" hidden="1" outlineLevel="1">
      <c r="A81" s="114" t="s">
        <v>386</v>
      </c>
      <c r="B81" s="34" t="s">
        <v>387</v>
      </c>
      <c r="C81" s="37">
        <f>C63</f>
        <v>0.36799999999999999</v>
      </c>
      <c r="D81" s="107">
        <f>D63</f>
        <v>744.73</v>
      </c>
    </row>
    <row r="82" spans="1:4" ht="15.75" hidden="1" outlineLevel="1">
      <c r="A82" s="114" t="s">
        <v>416</v>
      </c>
      <c r="B82" s="34" t="s">
        <v>398</v>
      </c>
      <c r="C82" s="37">
        <f>D77/D39</f>
        <v>0.25629999999999997</v>
      </c>
      <c r="D82" s="107">
        <f>D77</f>
        <v>471.57</v>
      </c>
    </row>
    <row r="83" spans="1:4" ht="15.75" collapsed="1">
      <c r="A83" s="663" t="s">
        <v>176</v>
      </c>
      <c r="B83" s="700"/>
      <c r="C83" s="664"/>
      <c r="D83" s="119">
        <f>SUM(D80:D82)</f>
        <v>1400.27</v>
      </c>
    </row>
    <row r="84" spans="1:4" ht="15.75">
      <c r="A84" s="665"/>
      <c r="B84" s="666"/>
      <c r="C84" s="666"/>
      <c r="D84" s="667"/>
    </row>
    <row r="85" spans="1:4" ht="15.75">
      <c r="A85" s="694" t="s">
        <v>417</v>
      </c>
      <c r="B85" s="695"/>
      <c r="C85" s="695"/>
      <c r="D85" s="696"/>
    </row>
    <row r="86" spans="1:4" ht="15.75" hidden="1" outlineLevel="1">
      <c r="A86" s="665"/>
      <c r="B86" s="666"/>
      <c r="C86" s="666"/>
      <c r="D86" s="667"/>
    </row>
    <row r="87" spans="1:4" ht="15.75" hidden="1" outlineLevel="1">
      <c r="A87" s="66" t="s">
        <v>418</v>
      </c>
      <c r="B87" s="112" t="s">
        <v>419</v>
      </c>
      <c r="C87" s="113" t="s">
        <v>383</v>
      </c>
      <c r="D87" s="113" t="s">
        <v>352</v>
      </c>
    </row>
    <row r="88" spans="1:4" ht="15.75" hidden="1" outlineLevel="2">
      <c r="A88" s="38" t="s">
        <v>353</v>
      </c>
      <c r="B88" s="39" t="s">
        <v>420</v>
      </c>
      <c r="C88" s="38" t="s">
        <v>363</v>
      </c>
      <c r="D88" s="134">
        <f>IF(C99&gt;1,SUM(D89:D92)*2,SUM(D89:D92))</f>
        <v>2592.48</v>
      </c>
    </row>
    <row r="89" spans="1:4" ht="15.75" hidden="1" outlineLevel="3">
      <c r="A89" s="40" t="s">
        <v>421</v>
      </c>
      <c r="B89" s="41" t="s">
        <v>422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>
      <c r="A90" s="40" t="s">
        <v>423</v>
      </c>
      <c r="B90" s="41" t="s">
        <v>424</v>
      </c>
      <c r="C90" s="32">
        <f>1/12</f>
        <v>8.3299999999999999E-2</v>
      </c>
      <c r="D90" s="134">
        <f>C90*D89</f>
        <v>168.57</v>
      </c>
    </row>
    <row r="91" spans="1:4" ht="15.75" hidden="1" outlineLevel="3">
      <c r="A91" s="40" t="s">
        <v>425</v>
      </c>
      <c r="B91" s="41" t="s">
        <v>426</v>
      </c>
      <c r="C91" s="32">
        <f>(1/12)+(1/12/3)</f>
        <v>0.1111</v>
      </c>
      <c r="D91" s="135">
        <f>C91*D89</f>
        <v>224.83</v>
      </c>
    </row>
    <row r="92" spans="1:4" ht="15.75" hidden="1" outlineLevel="3">
      <c r="A92" s="40" t="s">
        <v>427</v>
      </c>
      <c r="B92" s="41" t="s">
        <v>428</v>
      </c>
      <c r="C92" s="42">
        <v>0.08</v>
      </c>
      <c r="D92" s="134">
        <f>SUM(D89:D90)*C92</f>
        <v>175.38</v>
      </c>
    </row>
    <row r="93" spans="1:4" ht="15.75" hidden="1" outlineLevel="2">
      <c r="A93" s="38" t="s">
        <v>322</v>
      </c>
      <c r="B93" s="39" t="s">
        <v>429</v>
      </c>
      <c r="C93" s="43">
        <v>0.4</v>
      </c>
      <c r="D93" s="134">
        <f>C93*D94</f>
        <v>1297.1300000000001</v>
      </c>
    </row>
    <row r="94" spans="1:4" ht="15.75" hidden="1" outlineLevel="3">
      <c r="A94" s="38" t="s">
        <v>430</v>
      </c>
      <c r="B94" s="39" t="s">
        <v>431</v>
      </c>
      <c r="C94" s="43">
        <f>C62</f>
        <v>0.08</v>
      </c>
      <c r="D94" s="134">
        <f>C94*D95</f>
        <v>3242.83</v>
      </c>
    </row>
    <row r="95" spans="1:4" ht="15.75" hidden="1" outlineLevel="3">
      <c r="A95" s="38" t="s">
        <v>432</v>
      </c>
      <c r="B95" s="44" t="s">
        <v>433</v>
      </c>
      <c r="C95" s="45" t="s">
        <v>363</v>
      </c>
      <c r="D95" s="135">
        <f>SUM(D96:D98)</f>
        <v>40535.379999999997</v>
      </c>
    </row>
    <row r="96" spans="1:4" ht="15.75" hidden="1" outlineLevel="3">
      <c r="A96" s="40" t="s">
        <v>434</v>
      </c>
      <c r="B96" s="41" t="s">
        <v>435</v>
      </c>
      <c r="C96" s="46">
        <f>C12-C98</f>
        <v>19</v>
      </c>
      <c r="D96" s="134">
        <f>D39*C96</f>
        <v>34954.870000000003</v>
      </c>
    </row>
    <row r="97" spans="1:4" ht="15.75" hidden="1" outlineLevel="3">
      <c r="A97" s="40" t="s">
        <v>436</v>
      </c>
      <c r="B97" s="41" t="s">
        <v>437</v>
      </c>
      <c r="C97" s="47">
        <f>C12/12</f>
        <v>1.7</v>
      </c>
      <c r="D97" s="134">
        <f>D39*C97</f>
        <v>3127.54</v>
      </c>
    </row>
    <row r="98" spans="1:4" ht="15.75" hidden="1" outlineLevel="3">
      <c r="A98" s="40" t="s">
        <v>438</v>
      </c>
      <c r="B98" s="41" t="s">
        <v>439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>
      <c r="A99" s="663" t="s">
        <v>176</v>
      </c>
      <c r="B99" s="664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>
      <c r="A100" s="697"/>
      <c r="B100" s="698"/>
      <c r="C100" s="698"/>
      <c r="D100" s="699"/>
    </row>
    <row r="101" spans="1:4" ht="15.75" hidden="1" outlineLevel="1">
      <c r="A101" s="66" t="s">
        <v>440</v>
      </c>
      <c r="B101" s="112" t="s">
        <v>441</v>
      </c>
      <c r="C101" s="113" t="s">
        <v>383</v>
      </c>
      <c r="D101" s="113" t="s">
        <v>352</v>
      </c>
    </row>
    <row r="102" spans="1:4" ht="15.75" hidden="1" outlineLevel="2">
      <c r="A102" s="38" t="s">
        <v>353</v>
      </c>
      <c r="B102" s="44" t="s">
        <v>442</v>
      </c>
      <c r="C102" s="48">
        <f>IF(C111&gt;1,(1/30*7)*2,(1/30*7))</f>
        <v>0.23330000000000001</v>
      </c>
      <c r="D102" s="135">
        <f>C102*SUM(D103:D107)</f>
        <v>793.77</v>
      </c>
    </row>
    <row r="103" spans="1:4" ht="15.75" hidden="1" outlineLevel="3">
      <c r="A103" s="40" t="s">
        <v>421</v>
      </c>
      <c r="B103" s="41" t="s">
        <v>443</v>
      </c>
      <c r="C103" s="38">
        <v>1</v>
      </c>
      <c r="D103" s="134">
        <f>D39</f>
        <v>1839.73</v>
      </c>
    </row>
    <row r="104" spans="1:4" ht="15.75" hidden="1" outlineLevel="3">
      <c r="A104" s="40" t="s">
        <v>423</v>
      </c>
      <c r="B104" s="41" t="s">
        <v>444</v>
      </c>
      <c r="C104" s="32">
        <f>1/12</f>
        <v>8.3299999999999999E-2</v>
      </c>
      <c r="D104" s="134">
        <f>C104*D103</f>
        <v>153.25</v>
      </c>
    </row>
    <row r="105" spans="1:4" ht="15.75" hidden="1" outlineLevel="3">
      <c r="A105" s="40" t="s">
        <v>425</v>
      </c>
      <c r="B105" s="41" t="s">
        <v>445</v>
      </c>
      <c r="C105" s="32">
        <f>(1/12)+(1/12/3)</f>
        <v>0.1111</v>
      </c>
      <c r="D105" s="134">
        <f>C105*D103</f>
        <v>204.39</v>
      </c>
    </row>
    <row r="106" spans="1:4" ht="15.75" hidden="1" outlineLevel="3">
      <c r="A106" s="40" t="s">
        <v>427</v>
      </c>
      <c r="B106" s="49" t="s">
        <v>446</v>
      </c>
      <c r="C106" s="50">
        <f>C63</f>
        <v>0.36799999999999999</v>
      </c>
      <c r="D106" s="135">
        <f>C106*(D103+D104)</f>
        <v>733.42</v>
      </c>
    </row>
    <row r="107" spans="1:4" ht="15.75" hidden="1" outlineLevel="3">
      <c r="A107" s="40" t="s">
        <v>447</v>
      </c>
      <c r="B107" s="49" t="s">
        <v>448</v>
      </c>
      <c r="C107" s="45">
        <v>1</v>
      </c>
      <c r="D107" s="135">
        <f>D77</f>
        <v>471.57</v>
      </c>
    </row>
    <row r="108" spans="1:4" ht="15.75" hidden="1" outlineLevel="2">
      <c r="A108" s="38" t="s">
        <v>322</v>
      </c>
      <c r="B108" s="39" t="s">
        <v>449</v>
      </c>
      <c r="C108" s="43">
        <v>0.4</v>
      </c>
      <c r="D108" s="134">
        <f>C108*D109</f>
        <v>1297.1300000000001</v>
      </c>
    </row>
    <row r="109" spans="1:4" ht="15.75" hidden="1" outlineLevel="2">
      <c r="A109" s="38" t="s">
        <v>430</v>
      </c>
      <c r="B109" s="39" t="s">
        <v>431</v>
      </c>
      <c r="C109" s="43">
        <f>C62</f>
        <v>0.08</v>
      </c>
      <c r="D109" s="134">
        <f>C109*D110</f>
        <v>3242.83</v>
      </c>
    </row>
    <row r="110" spans="1:4" ht="15.75" hidden="1" outlineLevel="2">
      <c r="A110" s="38" t="s">
        <v>432</v>
      </c>
      <c r="B110" s="44" t="s">
        <v>433</v>
      </c>
      <c r="C110" s="45" t="s">
        <v>363</v>
      </c>
      <c r="D110" s="135">
        <f>D95</f>
        <v>40535.379999999997</v>
      </c>
    </row>
    <row r="111" spans="1:4" ht="15.75" hidden="1" outlineLevel="1">
      <c r="A111" s="663" t="s">
        <v>176</v>
      </c>
      <c r="B111" s="664"/>
      <c r="C111" s="69">
        <f>'SR - ASG'!C111</f>
        <v>0.94450000000000001</v>
      </c>
      <c r="D111" s="119">
        <f>IF(C111&gt;1,D102+D108,(D102+D108)*C111)</f>
        <v>1974.86</v>
      </c>
    </row>
    <row r="112" spans="1:4" ht="15.75" hidden="1" outlineLevel="1">
      <c r="A112" s="697"/>
      <c r="B112" s="698"/>
      <c r="C112" s="698"/>
      <c r="D112" s="699"/>
    </row>
    <row r="113" spans="1:4" ht="15.75" hidden="1" outlineLevel="1">
      <c r="A113" s="66" t="s">
        <v>450</v>
      </c>
      <c r="B113" s="112" t="s">
        <v>451</v>
      </c>
      <c r="C113" s="113" t="s">
        <v>383</v>
      </c>
      <c r="D113" s="113" t="s">
        <v>352</v>
      </c>
    </row>
    <row r="114" spans="1:4" ht="15.75" hidden="1" outlineLevel="2">
      <c r="A114" s="114" t="s">
        <v>353</v>
      </c>
      <c r="B114" s="34" t="s">
        <v>452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>
      <c r="A115" s="114" t="s">
        <v>322</v>
      </c>
      <c r="B115" s="51" t="s">
        <v>453</v>
      </c>
      <c r="C115" s="37">
        <f>C114/3</f>
        <v>1.11E-2</v>
      </c>
      <c r="D115" s="137">
        <f>C115*D39</f>
        <v>20.420000000000002</v>
      </c>
    </row>
    <row r="116" spans="1:4" ht="15.75" hidden="1" outlineLevel="1">
      <c r="A116" s="663" t="s">
        <v>176</v>
      </c>
      <c r="B116" s="664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>
      <c r="A117" s="697"/>
      <c r="B117" s="698"/>
      <c r="C117" s="698"/>
      <c r="D117" s="699"/>
    </row>
    <row r="118" spans="1:4" ht="15.75" hidden="1" outlineLevel="1">
      <c r="A118" s="701" t="s">
        <v>454</v>
      </c>
      <c r="B118" s="702"/>
      <c r="C118" s="113" t="s">
        <v>383</v>
      </c>
      <c r="D118" s="113" t="s">
        <v>352</v>
      </c>
    </row>
    <row r="119" spans="1:4" ht="15.75" hidden="1" outlineLevel="1">
      <c r="A119" s="114" t="s">
        <v>418</v>
      </c>
      <c r="B119" s="34" t="s">
        <v>419</v>
      </c>
      <c r="C119" s="37">
        <f>C99</f>
        <v>5.5500000000000001E-2</v>
      </c>
      <c r="D119" s="107">
        <f>D99</f>
        <v>215.87</v>
      </c>
    </row>
    <row r="120" spans="1:4" ht="15.75" hidden="1" outlineLevel="1">
      <c r="A120" s="116" t="s">
        <v>440</v>
      </c>
      <c r="B120" s="34" t="s">
        <v>441</v>
      </c>
      <c r="C120" s="52">
        <f>C111</f>
        <v>0.94450000000000001</v>
      </c>
      <c r="D120" s="107">
        <f>D111</f>
        <v>1974.86</v>
      </c>
    </row>
    <row r="121" spans="1:4" ht="15.75" hidden="1" outlineLevel="1">
      <c r="A121" s="707" t="s">
        <v>455</v>
      </c>
      <c r="B121" s="707"/>
      <c r="C121" s="707"/>
      <c r="D121" s="138">
        <f>D119+D120</f>
        <v>2190.73</v>
      </c>
    </row>
    <row r="122" spans="1:4" ht="15.75" hidden="1" outlineLevel="1">
      <c r="A122" s="703" t="s">
        <v>456</v>
      </c>
      <c r="B122" s="704"/>
      <c r="C122" s="70">
        <f>'SR - ASG'!C122</f>
        <v>0.63570000000000004</v>
      </c>
      <c r="D122" s="61">
        <f>C122*D121</f>
        <v>1392.65</v>
      </c>
    </row>
    <row r="123" spans="1:4" ht="15.75" hidden="1" outlineLevel="1">
      <c r="A123" s="703" t="s">
        <v>457</v>
      </c>
      <c r="B123" s="70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>
      <c r="A124" s="705" t="s">
        <v>458</v>
      </c>
      <c r="B124" s="706"/>
      <c r="C124" s="74">
        <f>1/C12</f>
        <v>0.05</v>
      </c>
      <c r="D124" s="62">
        <f>(D122+D123)*C124</f>
        <v>69.53</v>
      </c>
    </row>
    <row r="125" spans="1:4" ht="15.75" hidden="1" outlineLevel="1">
      <c r="A125" s="116" t="s">
        <v>450</v>
      </c>
      <c r="B125" s="34" t="s">
        <v>459</v>
      </c>
      <c r="C125" s="52"/>
      <c r="D125" s="127">
        <f>D116</f>
        <v>81.680000000000007</v>
      </c>
    </row>
    <row r="126" spans="1:4" ht="15.75" collapsed="1">
      <c r="A126" s="663" t="s">
        <v>176</v>
      </c>
      <c r="B126" s="664"/>
      <c r="C126" s="33"/>
      <c r="D126" s="139">
        <f>D124+D125</f>
        <v>151.21</v>
      </c>
    </row>
    <row r="127" spans="1:4" ht="15.75">
      <c r="A127" s="665"/>
      <c r="B127" s="666"/>
      <c r="C127" s="666"/>
      <c r="D127" s="667"/>
    </row>
    <row r="128" spans="1:4" ht="15.75">
      <c r="A128" s="668" t="s">
        <v>460</v>
      </c>
      <c r="B128" s="669"/>
      <c r="C128" s="669"/>
      <c r="D128" s="670"/>
    </row>
    <row r="129" spans="1:4" ht="15.75" hidden="1" outlineLevel="1">
      <c r="A129" s="697"/>
      <c r="B129" s="698"/>
      <c r="C129" s="698"/>
      <c r="D129" s="699"/>
    </row>
    <row r="130" spans="1:4" ht="15.75" hidden="1" outlineLevel="1">
      <c r="A130" s="113" t="s">
        <v>461</v>
      </c>
      <c r="B130" s="120" t="s">
        <v>462</v>
      </c>
      <c r="C130" s="33" t="s">
        <v>383</v>
      </c>
      <c r="D130" s="113" t="s">
        <v>352</v>
      </c>
    </row>
    <row r="131" spans="1:4" ht="15.75" hidden="1" outlineLevel="2">
      <c r="A131" s="140" t="s">
        <v>353</v>
      </c>
      <c r="B131" s="91" t="s">
        <v>463</v>
      </c>
      <c r="C131" s="53">
        <f>IF(C12&gt;60,5/C12,IF(C12&gt;48,4/C12,IF(C12&gt;36,3/C12,IF(C12&gt;24,2/C12,IF(C12&gt;12,1/C12,0)))))</f>
        <v>0.05</v>
      </c>
      <c r="D131" s="136">
        <f>SUM(D132:D136)</f>
        <v>118.85</v>
      </c>
    </row>
    <row r="132" spans="1:4" ht="15.75" hidden="1" outlineLevel="3">
      <c r="A132" s="141" t="s">
        <v>464</v>
      </c>
      <c r="B132" s="92" t="s">
        <v>465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>
      <c r="A133" s="141" t="s">
        <v>466</v>
      </c>
      <c r="B133" s="92" t="s">
        <v>467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>
      <c r="A134" s="141" t="s">
        <v>468</v>
      </c>
      <c r="B134" s="92" t="s">
        <v>469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>
      <c r="A135" s="141" t="s">
        <v>470</v>
      </c>
      <c r="B135" s="92" t="s">
        <v>471</v>
      </c>
      <c r="C135" s="93">
        <f>C63</f>
        <v>0.36799999999999999</v>
      </c>
      <c r="D135" s="143">
        <f>SUM(D132:D134)*C131</f>
        <v>5.49</v>
      </c>
    </row>
    <row r="136" spans="1:4" ht="15.75" hidden="1" outlineLevel="3">
      <c r="A136" s="141" t="s">
        <v>472</v>
      </c>
      <c r="B136" s="92" t="s">
        <v>473</v>
      </c>
      <c r="C136" s="144">
        <f>D124</f>
        <v>69.53</v>
      </c>
      <c r="D136" s="143">
        <f>C136*C131</f>
        <v>3.48</v>
      </c>
    </row>
    <row r="137" spans="1:4" ht="15.75" hidden="1" outlineLevel="2">
      <c r="A137" s="114" t="s">
        <v>322</v>
      </c>
      <c r="B137" s="34" t="s">
        <v>474</v>
      </c>
      <c r="C137" s="94">
        <v>0</v>
      </c>
      <c r="D137" s="127">
        <f>$C$131*(D39)*(C137/3)</f>
        <v>0</v>
      </c>
    </row>
    <row r="138" spans="1:4" ht="15.75" hidden="1" outlineLevel="1">
      <c r="A138" s="663" t="s">
        <v>475</v>
      </c>
      <c r="B138" s="664"/>
      <c r="C138" s="33">
        <f>C131+(D137/D39)</f>
        <v>0.05</v>
      </c>
      <c r="D138" s="119">
        <f>SUM(D131:D137)</f>
        <v>237.7</v>
      </c>
    </row>
    <row r="139" spans="1:4" ht="15.75" hidden="1" outlineLevel="1">
      <c r="A139" s="697"/>
      <c r="B139" s="698"/>
      <c r="C139" s="698"/>
      <c r="D139" s="699"/>
    </row>
    <row r="140" spans="1:4" ht="15.75" hidden="1" outlineLevel="2">
      <c r="A140" s="710" t="s">
        <v>476</v>
      </c>
      <c r="B140" s="145" t="s">
        <v>435</v>
      </c>
      <c r="C140" s="95">
        <v>220</v>
      </c>
      <c r="D140" s="146">
        <f>D39</f>
        <v>1839.73</v>
      </c>
    </row>
    <row r="141" spans="1:4" ht="15.75" hidden="1" outlineLevel="2">
      <c r="A141" s="711"/>
      <c r="B141" s="145" t="s">
        <v>477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>
      <c r="A142" s="711"/>
      <c r="B142" s="145" t="s">
        <v>478</v>
      </c>
      <c r="C142" s="53">
        <f>C63</f>
        <v>0.36799999999999999</v>
      </c>
      <c r="D142" s="147">
        <f>(D140+D141)*C142</f>
        <v>808.63</v>
      </c>
    </row>
    <row r="143" spans="1:4" ht="15.75" hidden="1" outlineLevel="2">
      <c r="A143" s="711"/>
      <c r="B143" s="145" t="s">
        <v>479</v>
      </c>
      <c r="C143" s="53">
        <f>D143/D140</f>
        <v>0.25629999999999997</v>
      </c>
      <c r="D143" s="147">
        <f>D77</f>
        <v>471.57</v>
      </c>
    </row>
    <row r="144" spans="1:4" ht="15.75" hidden="1" outlineLevel="2">
      <c r="A144" s="712"/>
      <c r="B144" s="148" t="s">
        <v>480</v>
      </c>
      <c r="C144" s="53">
        <f>D144/D140</f>
        <v>3.78E-2</v>
      </c>
      <c r="D144" s="147">
        <f>D124</f>
        <v>69.53</v>
      </c>
    </row>
    <row r="145" spans="1:4" ht="15.75" hidden="1" outlineLevel="2">
      <c r="A145" s="713" t="s">
        <v>481</v>
      </c>
      <c r="B145" s="714"/>
      <c r="C145" s="96">
        <f>D145/D140</f>
        <v>1.9280999999999999</v>
      </c>
      <c r="D145" s="149">
        <f>SUM(D140:D144)</f>
        <v>3547.1</v>
      </c>
    </row>
    <row r="146" spans="1:4" ht="15.75" hidden="1" outlineLevel="2">
      <c r="A146" s="715"/>
      <c r="B146" s="715"/>
      <c r="C146" s="715"/>
      <c r="D146" s="716"/>
    </row>
    <row r="147" spans="1:4" ht="15.75" hidden="1" outlineLevel="1">
      <c r="A147" s="113" t="s">
        <v>482</v>
      </c>
      <c r="B147" s="120" t="s">
        <v>483</v>
      </c>
      <c r="C147" s="33" t="s">
        <v>383</v>
      </c>
      <c r="D147" s="113" t="s">
        <v>352</v>
      </c>
    </row>
    <row r="148" spans="1:4" ht="15.75" hidden="1" outlineLevel="2">
      <c r="A148" s="114" t="s">
        <v>322</v>
      </c>
      <c r="B148" s="34" t="s">
        <v>484</v>
      </c>
      <c r="C148" s="79">
        <f>5/252</f>
        <v>1.9800000000000002E-2</v>
      </c>
      <c r="D148" s="136">
        <f>C148*$D$145</f>
        <v>70.23</v>
      </c>
    </row>
    <row r="149" spans="1:4" ht="15.75" hidden="1" outlineLevel="2">
      <c r="A149" s="114" t="s">
        <v>325</v>
      </c>
      <c r="B149" s="34" t="s">
        <v>485</v>
      </c>
      <c r="C149" s="79">
        <f>1.383/252</f>
        <v>5.4999999999999997E-3</v>
      </c>
      <c r="D149" s="136">
        <f>C149*$D$145</f>
        <v>19.510000000000002</v>
      </c>
    </row>
    <row r="150" spans="1:4" ht="15.75" hidden="1" outlineLevel="2">
      <c r="A150" s="114" t="s">
        <v>328</v>
      </c>
      <c r="B150" s="34" t="s">
        <v>486</v>
      </c>
      <c r="C150" s="79">
        <f>1.3892/252</f>
        <v>5.4999999999999997E-3</v>
      </c>
      <c r="D150" s="136">
        <f t="shared" ref="D150:D153" si="1">C150*$D$145</f>
        <v>19.510000000000002</v>
      </c>
    </row>
    <row r="151" spans="1:4" ht="15.75" hidden="1" outlineLevel="2">
      <c r="A151" s="114" t="s">
        <v>331</v>
      </c>
      <c r="B151" s="34" t="s">
        <v>487</v>
      </c>
      <c r="C151" s="79">
        <f>0.65/252</f>
        <v>2.5999999999999999E-3</v>
      </c>
      <c r="D151" s="136">
        <f t="shared" si="1"/>
        <v>9.2200000000000006</v>
      </c>
    </row>
    <row r="152" spans="1:4" ht="15.75" hidden="1" outlineLevel="2">
      <c r="A152" s="114" t="s">
        <v>334</v>
      </c>
      <c r="B152" s="34" t="s">
        <v>488</v>
      </c>
      <c r="C152" s="79">
        <f>0.5052/252</f>
        <v>2E-3</v>
      </c>
      <c r="D152" s="136">
        <f t="shared" si="1"/>
        <v>7.09</v>
      </c>
    </row>
    <row r="153" spans="1:4" ht="15.75" hidden="1" outlineLevel="2">
      <c r="A153" s="114" t="s">
        <v>353</v>
      </c>
      <c r="B153" s="63" t="s">
        <v>489</v>
      </c>
      <c r="C153" s="71">
        <f>0.2/252</f>
        <v>8.0000000000000004E-4</v>
      </c>
      <c r="D153" s="136">
        <f t="shared" si="1"/>
        <v>2.84</v>
      </c>
    </row>
    <row r="154" spans="1:4" ht="15.75" hidden="1" outlineLevel="1">
      <c r="A154" s="663" t="s">
        <v>475</v>
      </c>
      <c r="B154" s="664"/>
      <c r="C154" s="33">
        <f>SUM(C148:C153)</f>
        <v>3.6200000000000003E-2</v>
      </c>
      <c r="D154" s="119">
        <f>SUM(D148:D153)</f>
        <v>128.4</v>
      </c>
    </row>
    <row r="155" spans="1:4" ht="15.75" hidden="1" outlineLevel="1">
      <c r="A155" s="697"/>
      <c r="B155" s="698"/>
      <c r="C155" s="698"/>
      <c r="D155" s="699"/>
    </row>
    <row r="156" spans="1:4" ht="15.75" hidden="1" outlineLevel="1">
      <c r="A156" s="701" t="s">
        <v>490</v>
      </c>
      <c r="B156" s="708"/>
      <c r="C156" s="33" t="s">
        <v>491</v>
      </c>
      <c r="D156" s="113" t="s">
        <v>352</v>
      </c>
    </row>
    <row r="157" spans="1:4" ht="15.75" hidden="1" outlineLevel="2">
      <c r="A157" s="709" t="s">
        <v>492</v>
      </c>
      <c r="B157" s="145" t="s">
        <v>493</v>
      </c>
      <c r="C157" s="97">
        <f>C153</f>
        <v>8.0000000000000004E-4</v>
      </c>
      <c r="D157" s="150">
        <f>C157*-D140</f>
        <v>-1.47</v>
      </c>
    </row>
    <row r="158" spans="1:4" ht="15.75" hidden="1" outlineLevel="2">
      <c r="A158" s="709"/>
      <c r="B158" s="151" t="s">
        <v>494</v>
      </c>
      <c r="C158" s="98">
        <v>0</v>
      </c>
      <c r="D158" s="152">
        <f>C158*-(D140/220/24*5)</f>
        <v>0</v>
      </c>
    </row>
    <row r="159" spans="1:4" ht="15.75" hidden="1" outlineLevel="2">
      <c r="A159" s="709"/>
      <c r="B159" s="151" t="s">
        <v>495</v>
      </c>
      <c r="C159" s="98">
        <v>0</v>
      </c>
      <c r="D159" s="152">
        <f>C159*-D141</f>
        <v>0</v>
      </c>
    </row>
    <row r="160" spans="1:4" ht="15.75" hidden="1" outlineLevel="2">
      <c r="A160" s="709"/>
      <c r="B160" s="145" t="s">
        <v>496</v>
      </c>
      <c r="C160" s="97">
        <f>C154</f>
        <v>3.6200000000000003E-2</v>
      </c>
      <c r="D160" s="150">
        <f>C160*-D66</f>
        <v>-3.23</v>
      </c>
    </row>
    <row r="161" spans="1:4" ht="15.75" hidden="1" outlineLevel="2">
      <c r="A161" s="709"/>
      <c r="B161" s="145" t="s">
        <v>497</v>
      </c>
      <c r="C161" s="97">
        <f>C154</f>
        <v>3.6200000000000003E-2</v>
      </c>
      <c r="D161" s="150">
        <f>C161*-D69</f>
        <v>-12.43</v>
      </c>
    </row>
    <row r="162" spans="1:4" ht="15.75" hidden="1" outlineLevel="2">
      <c r="A162" s="709"/>
      <c r="B162" s="148" t="s">
        <v>498</v>
      </c>
      <c r="C162" s="97">
        <f>C153</f>
        <v>8.0000000000000004E-4</v>
      </c>
      <c r="D162" s="150">
        <f>C162*-D74</f>
        <v>-0.02</v>
      </c>
    </row>
    <row r="163" spans="1:4" ht="15.75" hidden="1" outlineLevel="2">
      <c r="A163" s="709"/>
      <c r="B163" s="148" t="s">
        <v>499</v>
      </c>
      <c r="C163" s="99">
        <f>C152</f>
        <v>2E-3</v>
      </c>
      <c r="D163" s="136">
        <f>C163*-SUM(D55:D61)</f>
        <v>-1.17</v>
      </c>
    </row>
    <row r="164" spans="1:4" ht="15.75" hidden="1" outlineLevel="2">
      <c r="A164" s="709"/>
      <c r="B164" s="145" t="s">
        <v>500</v>
      </c>
      <c r="C164" s="97">
        <f>C153</f>
        <v>8.0000000000000004E-4</v>
      </c>
      <c r="D164" s="150">
        <f>C164*-D142</f>
        <v>-0.65</v>
      </c>
    </row>
    <row r="165" spans="1:4" ht="15.75" hidden="1" outlineLevel="1">
      <c r="A165" s="663" t="s">
        <v>501</v>
      </c>
      <c r="B165" s="664"/>
      <c r="C165" s="33">
        <f>D165/D140</f>
        <v>-1.03E-2</v>
      </c>
      <c r="D165" s="119">
        <f>SUM(D157:D164)</f>
        <v>-18.97</v>
      </c>
    </row>
    <row r="166" spans="1:4" ht="15.75" hidden="1" outlineLevel="1">
      <c r="A166" s="697"/>
      <c r="B166" s="698"/>
      <c r="C166" s="698"/>
      <c r="D166" s="699"/>
    </row>
    <row r="167" spans="1:4" ht="15.75" hidden="1" outlineLevel="1">
      <c r="A167" s="663" t="s">
        <v>502</v>
      </c>
      <c r="B167" s="664"/>
      <c r="C167" s="33">
        <f>D167/D140</f>
        <v>5.9499999999999997E-2</v>
      </c>
      <c r="D167" s="119">
        <f>D154+D165</f>
        <v>109.43</v>
      </c>
    </row>
    <row r="168" spans="1:4" ht="15.75" hidden="1" outlineLevel="1">
      <c r="A168" s="697"/>
      <c r="B168" s="698"/>
      <c r="C168" s="698"/>
      <c r="D168" s="699"/>
    </row>
    <row r="169" spans="1:4" ht="15.75" hidden="1" outlineLevel="1">
      <c r="A169" s="701" t="s">
        <v>503</v>
      </c>
      <c r="B169" s="702"/>
      <c r="C169" s="113" t="s">
        <v>383</v>
      </c>
      <c r="D169" s="113" t="s">
        <v>352</v>
      </c>
    </row>
    <row r="170" spans="1:4" ht="15.75" hidden="1" outlineLevel="1">
      <c r="A170" s="114" t="s">
        <v>461</v>
      </c>
      <c r="B170" s="34" t="s">
        <v>462</v>
      </c>
      <c r="C170" s="37"/>
      <c r="D170" s="153">
        <f>D138</f>
        <v>237.7</v>
      </c>
    </row>
    <row r="171" spans="1:4" ht="15.75" hidden="1" outlineLevel="1">
      <c r="A171" s="114" t="s">
        <v>482</v>
      </c>
      <c r="B171" s="34" t="s">
        <v>483</v>
      </c>
      <c r="C171" s="37"/>
      <c r="D171" s="153">
        <f>D167</f>
        <v>109.43</v>
      </c>
    </row>
    <row r="172" spans="1:4" ht="15.75" collapsed="1">
      <c r="A172" s="663" t="s">
        <v>176</v>
      </c>
      <c r="B172" s="700"/>
      <c r="C172" s="664"/>
      <c r="D172" s="122">
        <f>SUM(D170:D171)</f>
        <v>347.13</v>
      </c>
    </row>
    <row r="173" spans="1:4" ht="15.75">
      <c r="A173" s="697"/>
      <c r="B173" s="698"/>
      <c r="C173" s="698"/>
      <c r="D173" s="699"/>
    </row>
    <row r="174" spans="1:4" ht="15.75">
      <c r="A174" s="668" t="s">
        <v>504</v>
      </c>
      <c r="B174" s="669"/>
      <c r="C174" s="669"/>
      <c r="D174" s="670"/>
    </row>
    <row r="175" spans="1:4" ht="15.75" hidden="1" outlineLevel="1">
      <c r="A175" s="697"/>
      <c r="B175" s="698"/>
      <c r="C175" s="698"/>
      <c r="D175" s="699"/>
    </row>
    <row r="176" spans="1:4" ht="15.75" hidden="1" outlineLevel="1">
      <c r="A176" s="66">
        <v>5</v>
      </c>
      <c r="B176" s="663" t="s">
        <v>505</v>
      </c>
      <c r="C176" s="664"/>
      <c r="D176" s="113" t="s">
        <v>352</v>
      </c>
    </row>
    <row r="177" spans="1:4" ht="15.75" hidden="1" outlineLevel="1">
      <c r="A177" s="114" t="s">
        <v>353</v>
      </c>
      <c r="B177" s="717" t="s">
        <v>506</v>
      </c>
      <c r="C177" s="718"/>
      <c r="D177" s="136">
        <f>INSUMOS!H14</f>
        <v>25.55</v>
      </c>
    </row>
    <row r="178" spans="1:4" ht="15.75" hidden="1" outlineLevel="1">
      <c r="A178" s="114" t="s">
        <v>322</v>
      </c>
      <c r="B178" s="717" t="s">
        <v>541</v>
      </c>
      <c r="C178" s="718"/>
      <c r="D178" s="154">
        <f>INSUMOS!H39</f>
        <v>38.97</v>
      </c>
    </row>
    <row r="179" spans="1:4" ht="15.75" hidden="1" outlineLevel="1">
      <c r="A179" s="114" t="s">
        <v>325</v>
      </c>
      <c r="B179" s="649" t="s">
        <v>508</v>
      </c>
      <c r="C179" s="650"/>
      <c r="D179" s="154">
        <f>MATERIAIS!O109</f>
        <v>1437.72</v>
      </c>
    </row>
    <row r="180" spans="1:4" ht="15.75" hidden="1" outlineLevel="1">
      <c r="A180" s="114" t="s">
        <v>328</v>
      </c>
      <c r="B180" s="649" t="s">
        <v>509</v>
      </c>
      <c r="C180" s="650"/>
      <c r="D180" s="154">
        <f>EQUIPAMENTOS!P111</f>
        <v>44.03</v>
      </c>
    </row>
    <row r="181" spans="1:4" ht="15.75" hidden="1" outlineLevel="1">
      <c r="A181" s="114" t="s">
        <v>331</v>
      </c>
      <c r="B181" s="651" t="s">
        <v>372</v>
      </c>
      <c r="C181" s="652"/>
      <c r="D181" s="133">
        <v>0</v>
      </c>
    </row>
    <row r="182" spans="1:4" ht="15.75" collapsed="1">
      <c r="A182" s="663" t="s">
        <v>176</v>
      </c>
      <c r="B182" s="700"/>
      <c r="C182" s="664"/>
      <c r="D182" s="119">
        <f>SUM(D177:D181)</f>
        <v>1546.27</v>
      </c>
    </row>
    <row r="183" spans="1:4" ht="15.75">
      <c r="A183" s="665"/>
      <c r="B183" s="666"/>
      <c r="C183" s="666"/>
      <c r="D183" s="667"/>
    </row>
    <row r="184" spans="1:4" ht="15.75">
      <c r="A184" s="723" t="s">
        <v>510</v>
      </c>
      <c r="B184" s="723"/>
      <c r="C184" s="723"/>
      <c r="D184" s="155">
        <f>D39+D83+D126+D172+D182</f>
        <v>5284.61</v>
      </c>
    </row>
    <row r="185" spans="1:4" ht="15.75">
      <c r="A185" s="679"/>
      <c r="B185" s="679"/>
      <c r="C185" s="679"/>
      <c r="D185" s="679"/>
    </row>
    <row r="186" spans="1:4" ht="15.75">
      <c r="A186" s="724" t="s">
        <v>511</v>
      </c>
      <c r="B186" s="724"/>
      <c r="C186" s="724"/>
      <c r="D186" s="724"/>
    </row>
    <row r="187" spans="1:4" ht="15.75" hidden="1" outlineLevel="1">
      <c r="A187" s="725"/>
      <c r="B187" s="726"/>
      <c r="C187" s="726"/>
      <c r="D187" s="727"/>
    </row>
    <row r="188" spans="1:4" ht="15.75" hidden="1" outlineLevel="1">
      <c r="A188" s="66">
        <v>6</v>
      </c>
      <c r="B188" s="120" t="s">
        <v>512</v>
      </c>
      <c r="C188" s="113" t="s">
        <v>383</v>
      </c>
      <c r="D188" s="113" t="s">
        <v>352</v>
      </c>
    </row>
    <row r="189" spans="1:4" ht="15.75" hidden="1" outlineLevel="1">
      <c r="A189" s="114" t="s">
        <v>353</v>
      </c>
      <c r="B189" s="34" t="s">
        <v>513</v>
      </c>
      <c r="C189" s="72">
        <f>'SR - ASG'!C189</f>
        <v>2.6499999999999999E-2</v>
      </c>
      <c r="D189" s="108">
        <f>C189*D184</f>
        <v>140.04</v>
      </c>
    </row>
    <row r="190" spans="1:4" ht="15.75" hidden="1" outlineLevel="1">
      <c r="A190" s="719" t="s">
        <v>514</v>
      </c>
      <c r="B190" s="720"/>
      <c r="C190" s="722"/>
      <c r="D190" s="108">
        <f>D184+D189</f>
        <v>5424.65</v>
      </c>
    </row>
    <row r="191" spans="1:4" ht="15.75" hidden="1" outlineLevel="1">
      <c r="A191" s="114" t="s">
        <v>322</v>
      </c>
      <c r="B191" s="34" t="s">
        <v>515</v>
      </c>
      <c r="C191" s="72">
        <f>'SR - ASG'!C191</f>
        <v>0.1087</v>
      </c>
      <c r="D191" s="108">
        <f>C191*D190</f>
        <v>589.66</v>
      </c>
    </row>
    <row r="192" spans="1:4" ht="15.75" hidden="1" outlineLevel="1">
      <c r="A192" s="719" t="s">
        <v>514</v>
      </c>
      <c r="B192" s="720"/>
      <c r="C192" s="720"/>
      <c r="D192" s="108">
        <f>D191+D190</f>
        <v>6014.31</v>
      </c>
    </row>
    <row r="193" spans="1:4" ht="15.75" hidden="1" outlineLevel="1">
      <c r="A193" s="114" t="s">
        <v>325</v>
      </c>
      <c r="B193" s="649" t="s">
        <v>516</v>
      </c>
      <c r="C193" s="721"/>
      <c r="D193" s="650"/>
    </row>
    <row r="194" spans="1:4" ht="15.75" hidden="1" outlineLevel="1">
      <c r="A194" s="156"/>
      <c r="B194" s="65" t="s">
        <v>517</v>
      </c>
      <c r="C194" s="72">
        <v>6.4999999999999997E-3</v>
      </c>
      <c r="D194" s="108">
        <f>(D192/(1-C197)*C194)</f>
        <v>41.43</v>
      </c>
    </row>
    <row r="195" spans="1:4" ht="15.75" hidden="1" outlineLevel="1">
      <c r="A195" s="156"/>
      <c r="B195" s="65" t="s">
        <v>518</v>
      </c>
      <c r="C195" s="72">
        <v>0.03</v>
      </c>
      <c r="D195" s="108">
        <f>(D192/(1-C197)*C195)</f>
        <v>191.23</v>
      </c>
    </row>
    <row r="196" spans="1:4" ht="15.75" hidden="1" outlineLevel="1">
      <c r="A196" s="156"/>
      <c r="B196" s="65" t="s">
        <v>568</v>
      </c>
      <c r="C196" s="54">
        <v>0.02</v>
      </c>
      <c r="D196" s="108">
        <f>(D192/(1-C197)*C196)</f>
        <v>127.49</v>
      </c>
    </row>
    <row r="197" spans="1:4" ht="15.75" hidden="1" outlineLevel="1">
      <c r="A197" s="719" t="s">
        <v>520</v>
      </c>
      <c r="B197" s="722"/>
      <c r="C197" s="55">
        <f>SUM(C194:C196)</f>
        <v>5.6500000000000002E-2</v>
      </c>
      <c r="D197" s="108">
        <f>SUM(D194:D196)</f>
        <v>360.15</v>
      </c>
    </row>
    <row r="198" spans="1:4" ht="15.75" collapsed="1">
      <c r="A198" s="663" t="s">
        <v>176</v>
      </c>
      <c r="B198" s="664"/>
      <c r="C198" s="56">
        <f>(1+C189)*(1+C191)*(1/(1-C197))-1</f>
        <v>0.20619999999999999</v>
      </c>
      <c r="D198" s="111">
        <f>SUM(D197+D189+D191)</f>
        <v>1089.8499999999999</v>
      </c>
    </row>
    <row r="199" spans="1:4" ht="15.75">
      <c r="A199" s="665"/>
      <c r="B199" s="666"/>
      <c r="C199" s="666"/>
      <c r="D199" s="667"/>
    </row>
    <row r="200" spans="1:4" ht="15.75">
      <c r="A200" s="676" t="s">
        <v>521</v>
      </c>
      <c r="B200" s="678"/>
      <c r="C200" s="677"/>
      <c r="D200" s="57" t="s">
        <v>352</v>
      </c>
    </row>
    <row r="201" spans="1:4" ht="15.75">
      <c r="A201" s="661" t="s">
        <v>522</v>
      </c>
      <c r="B201" s="728"/>
      <c r="C201" s="728"/>
      <c r="D201" s="662"/>
    </row>
    <row r="202" spans="1:4" ht="15.75">
      <c r="A202" s="67" t="s">
        <v>353</v>
      </c>
      <c r="B202" s="661" t="s">
        <v>523</v>
      </c>
      <c r="C202" s="662"/>
      <c r="D202" s="107">
        <f>D39</f>
        <v>1839.73</v>
      </c>
    </row>
    <row r="203" spans="1:4" ht="15.75">
      <c r="A203" s="67" t="s">
        <v>322</v>
      </c>
      <c r="B203" s="661" t="s">
        <v>524</v>
      </c>
      <c r="C203" s="662"/>
      <c r="D203" s="107">
        <f>D83</f>
        <v>1400.27</v>
      </c>
    </row>
    <row r="204" spans="1:4" ht="15.75">
      <c r="A204" s="67" t="s">
        <v>325</v>
      </c>
      <c r="B204" s="661" t="s">
        <v>525</v>
      </c>
      <c r="C204" s="662"/>
      <c r="D204" s="107">
        <f>D126</f>
        <v>151.21</v>
      </c>
    </row>
    <row r="205" spans="1:4" ht="15.75">
      <c r="A205" s="67" t="s">
        <v>328</v>
      </c>
      <c r="B205" s="661" t="s">
        <v>526</v>
      </c>
      <c r="C205" s="662"/>
      <c r="D205" s="107">
        <f>D172</f>
        <v>347.13</v>
      </c>
    </row>
    <row r="206" spans="1:4" ht="15.75">
      <c r="A206" s="67" t="s">
        <v>331</v>
      </c>
      <c r="B206" s="661" t="s">
        <v>527</v>
      </c>
      <c r="C206" s="662"/>
      <c r="D206" s="107">
        <f>D182</f>
        <v>1546.27</v>
      </c>
    </row>
    <row r="207" spans="1:4" ht="15.75">
      <c r="A207" s="738" t="s">
        <v>528</v>
      </c>
      <c r="B207" s="739"/>
      <c r="C207" s="740"/>
      <c r="D207" s="107">
        <f>SUM(D202:D206)</f>
        <v>5284.61</v>
      </c>
    </row>
    <row r="208" spans="1:4" ht="15.75">
      <c r="A208" s="67" t="s">
        <v>529</v>
      </c>
      <c r="B208" s="661" t="s">
        <v>530</v>
      </c>
      <c r="C208" s="662"/>
      <c r="D208" s="107">
        <f>D198</f>
        <v>1089.8499999999999</v>
      </c>
    </row>
    <row r="209" spans="1:4" ht="15.75">
      <c r="A209" s="676" t="s">
        <v>531</v>
      </c>
      <c r="B209" s="678"/>
      <c r="C209" s="677"/>
      <c r="D209" s="157">
        <f xml:space="preserve"> D207+D208</f>
        <v>6374.46</v>
      </c>
    </row>
    <row r="210" spans="1:4" ht="15.75">
      <c r="A210" s="27"/>
      <c r="B210" s="27"/>
      <c r="C210" s="27"/>
      <c r="D210" s="27"/>
    </row>
    <row r="211" spans="1:4" ht="15.75" thickBot="1">
      <c r="A211" s="20"/>
      <c r="B211" s="20"/>
      <c r="C211" s="20"/>
      <c r="D211" s="20"/>
    </row>
    <row r="212" spans="1:4" ht="15.75">
      <c r="A212" s="646" t="s">
        <v>532</v>
      </c>
      <c r="B212" s="647"/>
      <c r="C212" s="647"/>
      <c r="D212" s="648"/>
    </row>
    <row r="213" spans="1:4" ht="31.5">
      <c r="A213" s="175" t="s">
        <v>533</v>
      </c>
      <c r="B213" s="176" t="s">
        <v>534</v>
      </c>
      <c r="C213" s="177" t="s">
        <v>535</v>
      </c>
      <c r="D213" s="178" t="s">
        <v>536</v>
      </c>
    </row>
    <row r="214" spans="1:4" ht="16.5" thickBot="1">
      <c r="A214" s="179">
        <v>2</v>
      </c>
      <c r="B214" s="182">
        <f>1/(C11/A214)</f>
        <v>7.7087629359999998E-4</v>
      </c>
      <c r="C214" s="180">
        <f>D209</f>
        <v>6374.46</v>
      </c>
      <c r="D214" s="184">
        <f>C214*B214</f>
        <v>4.9139200990000003</v>
      </c>
    </row>
  </sheetData>
  <mergeCells count="107">
    <mergeCell ref="A207:C207"/>
    <mergeCell ref="B208:C208"/>
    <mergeCell ref="A209:C209"/>
    <mergeCell ref="A201:D201"/>
    <mergeCell ref="B202:C202"/>
    <mergeCell ref="B203:C203"/>
    <mergeCell ref="B204:C204"/>
    <mergeCell ref="B205:C205"/>
    <mergeCell ref="B206:C206"/>
    <mergeCell ref="A192:C192"/>
    <mergeCell ref="B193:D193"/>
    <mergeCell ref="A197:B197"/>
    <mergeCell ref="A198:B198"/>
    <mergeCell ref="A199:D199"/>
    <mergeCell ref="A200:C200"/>
    <mergeCell ref="A183:D183"/>
    <mergeCell ref="A184:C184"/>
    <mergeCell ref="A185:D185"/>
    <mergeCell ref="A186:D186"/>
    <mergeCell ref="A187:D187"/>
    <mergeCell ref="A190:C190"/>
    <mergeCell ref="B176:C176"/>
    <mergeCell ref="B177:C177"/>
    <mergeCell ref="B178:C178"/>
    <mergeCell ref="B179:C179"/>
    <mergeCell ref="B181:C181"/>
    <mergeCell ref="A182:C182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212:D212"/>
    <mergeCell ref="B180:C180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04618-6589-403C-B2C9-C785FC7275C5}">
  <sheetPr codeName="Planilha19">
    <pageSetUpPr fitToPage="1"/>
  </sheetPr>
  <dimension ref="A1:D214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>
      <c r="A1" s="680" t="s">
        <v>313</v>
      </c>
      <c r="B1" s="680"/>
      <c r="C1" s="680"/>
      <c r="D1" s="680"/>
    </row>
    <row r="2" spans="1:4" ht="15.75">
      <c r="A2" s="681" t="s">
        <v>314</v>
      </c>
      <c r="B2" s="681"/>
      <c r="C2" s="682" t="s">
        <v>315</v>
      </c>
      <c r="D2" s="683"/>
    </row>
    <row r="3" spans="1:4" ht="15.75">
      <c r="A3" s="681" t="s">
        <v>316</v>
      </c>
      <c r="B3" s="681"/>
      <c r="C3" s="682" t="s">
        <v>317</v>
      </c>
      <c r="D3" s="683"/>
    </row>
    <row r="4" spans="1:4" ht="15.75">
      <c r="A4" s="653"/>
      <c r="B4" s="653"/>
      <c r="C4" s="653"/>
      <c r="D4" s="653"/>
    </row>
    <row r="5" spans="1:4" ht="15.75">
      <c r="A5" s="653" t="s">
        <v>318</v>
      </c>
      <c r="B5" s="653"/>
      <c r="C5" s="653"/>
      <c r="D5" s="653"/>
    </row>
    <row r="6" spans="1:4" ht="15.75">
      <c r="A6" s="67" t="s">
        <v>319</v>
      </c>
      <c r="B6" s="65" t="s">
        <v>320</v>
      </c>
      <c r="C6" s="654" t="s">
        <v>321</v>
      </c>
      <c r="D6" s="655"/>
    </row>
    <row r="7" spans="1:4" ht="15.75">
      <c r="A7" s="67" t="s">
        <v>322</v>
      </c>
      <c r="B7" s="65" t="s">
        <v>323</v>
      </c>
      <c r="C7" s="656" t="s">
        <v>569</v>
      </c>
      <c r="D7" s="656"/>
    </row>
    <row r="8" spans="1:4" ht="15.75">
      <c r="A8" s="28" t="s">
        <v>325</v>
      </c>
      <c r="B8" s="29" t="s">
        <v>326</v>
      </c>
      <c r="C8" s="736" t="s">
        <v>327</v>
      </c>
      <c r="D8" s="737"/>
    </row>
    <row r="9" spans="1:4" ht="15.75">
      <c r="A9" s="67" t="s">
        <v>328</v>
      </c>
      <c r="B9" s="65" t="s">
        <v>329</v>
      </c>
      <c r="C9" s="659" t="s">
        <v>330</v>
      </c>
      <c r="D9" s="660"/>
    </row>
    <row r="10" spans="1:4" ht="15.75">
      <c r="A10" s="67" t="s">
        <v>331</v>
      </c>
      <c r="B10" s="65" t="s">
        <v>332</v>
      </c>
      <c r="C10" s="659" t="s">
        <v>333</v>
      </c>
      <c r="D10" s="660"/>
    </row>
    <row r="11" spans="1:4" ht="15.75">
      <c r="A11" s="67" t="s">
        <v>334</v>
      </c>
      <c r="B11" s="65" t="s">
        <v>335</v>
      </c>
      <c r="C11" s="686">
        <f>Resumo!F16</f>
        <v>1170.08</v>
      </c>
      <c r="D11" s="687"/>
    </row>
    <row r="12" spans="1:4" ht="15.75">
      <c r="A12" s="67" t="s">
        <v>394</v>
      </c>
      <c r="B12" s="65" t="s">
        <v>337</v>
      </c>
      <c r="C12" s="688">
        <f>Resumo!I5</f>
        <v>20</v>
      </c>
      <c r="D12" s="675"/>
    </row>
    <row r="13" spans="1:4" ht="15.75">
      <c r="A13" s="689"/>
      <c r="B13" s="690"/>
      <c r="C13" s="690"/>
      <c r="D13" s="690"/>
    </row>
    <row r="14" spans="1:4" ht="15.75">
      <c r="A14" s="691" t="s">
        <v>338</v>
      </c>
      <c r="B14" s="692"/>
      <c r="C14" s="692"/>
      <c r="D14" s="693"/>
    </row>
    <row r="15" spans="1:4" ht="15.75">
      <c r="A15" s="656" t="s">
        <v>339</v>
      </c>
      <c r="B15" s="656"/>
      <c r="C15" s="656"/>
      <c r="D15" s="656"/>
    </row>
    <row r="16" spans="1:4" ht="15.75">
      <c r="A16" s="67">
        <v>1</v>
      </c>
      <c r="B16" s="65" t="s">
        <v>340</v>
      </c>
      <c r="C16" s="659" t="s">
        <v>341</v>
      </c>
      <c r="D16" s="660" t="s">
        <v>62</v>
      </c>
    </row>
    <row r="17" spans="1:4" ht="15.75">
      <c r="A17" s="67">
        <v>2</v>
      </c>
      <c r="B17" s="30" t="s">
        <v>342</v>
      </c>
      <c r="C17" s="684" t="s">
        <v>343</v>
      </c>
      <c r="D17" s="685"/>
    </row>
    <row r="18" spans="1:4" ht="15.75">
      <c r="A18" s="656" t="s">
        <v>344</v>
      </c>
      <c r="B18" s="656"/>
      <c r="C18" s="656"/>
      <c r="D18" s="656"/>
    </row>
    <row r="19" spans="1:4" ht="15.75">
      <c r="A19" s="67">
        <v>3</v>
      </c>
      <c r="B19" s="661" t="s">
        <v>345</v>
      </c>
      <c r="C19" s="662"/>
      <c r="D19" s="106">
        <v>1314.09</v>
      </c>
    </row>
    <row r="20" spans="1:4" ht="15.75">
      <c r="A20" s="67">
        <v>4</v>
      </c>
      <c r="B20" s="661" t="s">
        <v>346</v>
      </c>
      <c r="C20" s="662"/>
      <c r="D20" s="158">
        <v>220</v>
      </c>
    </row>
    <row r="21" spans="1:4" ht="15.75">
      <c r="A21" s="67">
        <v>5</v>
      </c>
      <c r="B21" s="661" t="s">
        <v>347</v>
      </c>
      <c r="C21" s="662"/>
      <c r="D21" s="75" t="s">
        <v>348</v>
      </c>
    </row>
    <row r="22" spans="1:4" ht="15.75">
      <c r="A22" s="67">
        <v>6</v>
      </c>
      <c r="B22" s="661" t="s">
        <v>349</v>
      </c>
      <c r="C22" s="662"/>
      <c r="D22" s="76">
        <v>44562</v>
      </c>
    </row>
    <row r="23" spans="1:4" ht="15.75">
      <c r="A23" s="659"/>
      <c r="B23" s="671"/>
      <c r="C23" s="671"/>
      <c r="D23" s="660"/>
    </row>
    <row r="24" spans="1:4" ht="15.75">
      <c r="A24" s="672" t="s">
        <v>350</v>
      </c>
      <c r="B24" s="672"/>
      <c r="C24" s="672"/>
      <c r="D24" s="672"/>
    </row>
    <row r="25" spans="1:4" ht="15.75">
      <c r="A25" s="673"/>
      <c r="B25" s="674"/>
      <c r="C25" s="674"/>
      <c r="D25" s="675"/>
    </row>
    <row r="26" spans="1:4" ht="15.75">
      <c r="A26" s="66">
        <v>1</v>
      </c>
      <c r="B26" s="676" t="s">
        <v>351</v>
      </c>
      <c r="C26" s="677"/>
      <c r="D26" s="66" t="s">
        <v>352</v>
      </c>
    </row>
    <row r="27" spans="1:4" ht="15.75" hidden="1" outlineLevel="1">
      <c r="A27" s="67" t="s">
        <v>353</v>
      </c>
      <c r="B27" s="65" t="s">
        <v>354</v>
      </c>
      <c r="C27" s="73">
        <f>'SR - ASG'!C27</f>
        <v>220</v>
      </c>
      <c r="D27" s="107">
        <f>D19/220*C27</f>
        <v>1314.09</v>
      </c>
    </row>
    <row r="28" spans="1:4" ht="15.75" hidden="1" outlineLevel="1">
      <c r="A28" s="67" t="s">
        <v>322</v>
      </c>
      <c r="B28" s="65" t="s">
        <v>557</v>
      </c>
      <c r="C28" s="31">
        <v>0</v>
      </c>
      <c r="D28" s="107">
        <f>C28*D27</f>
        <v>0</v>
      </c>
    </row>
    <row r="29" spans="1:4" ht="15.75" hidden="1" outlineLevel="1">
      <c r="A29" s="67" t="s">
        <v>325</v>
      </c>
      <c r="B29" s="65" t="s">
        <v>356</v>
      </c>
      <c r="C29" s="31">
        <v>0.4</v>
      </c>
      <c r="D29" s="107">
        <f>C29*D27</f>
        <v>525.64</v>
      </c>
    </row>
    <row r="30" spans="1:4" ht="15.75" hidden="1" outlineLevel="1">
      <c r="A30" s="67" t="s">
        <v>328</v>
      </c>
      <c r="B30" s="65" t="s">
        <v>357</v>
      </c>
      <c r="C30" s="159">
        <v>0</v>
      </c>
      <c r="D30" s="108">
        <f>SUM(D31:D32)</f>
        <v>0</v>
      </c>
    </row>
    <row r="31" spans="1:4" ht="15.75" hidden="1" outlineLevel="2">
      <c r="A31" s="80" t="s">
        <v>358</v>
      </c>
      <c r="B31" s="65" t="s">
        <v>359</v>
      </c>
      <c r="C31" s="81">
        <v>0.2</v>
      </c>
      <c r="D31" s="108">
        <f>(SUM(D27:D29)/C27)*C31*15*C30</f>
        <v>0</v>
      </c>
    </row>
    <row r="32" spans="1:4" ht="15.75" hidden="1" outlineLevel="2">
      <c r="A32" s="80" t="s">
        <v>360</v>
      </c>
      <c r="B32" s="65" t="s">
        <v>361</v>
      </c>
      <c r="C32" s="82">
        <f>C30*(60/52.5)/8</f>
        <v>0</v>
      </c>
      <c r="D32" s="108">
        <f>(SUM(D27:D29)/C27)*(C31)*15*C32</f>
        <v>0</v>
      </c>
    </row>
    <row r="33" spans="1:4" ht="15.75" hidden="1" outlineLevel="1">
      <c r="A33" s="67" t="s">
        <v>331</v>
      </c>
      <c r="B33" s="65" t="s">
        <v>362</v>
      </c>
      <c r="C33" s="31" t="s">
        <v>363</v>
      </c>
      <c r="D33" s="1">
        <f>SUM(D34:D37)</f>
        <v>0</v>
      </c>
    </row>
    <row r="34" spans="1:4" ht="15.75" hidden="1" outlineLevel="2">
      <c r="A34" s="83" t="s">
        <v>364</v>
      </c>
      <c r="B34" s="84" t="s">
        <v>365</v>
      </c>
      <c r="C34" s="85">
        <v>0</v>
      </c>
      <c r="D34" s="109">
        <f>(SUM($D$27:$D$29)/$C$27)*C34*1.5</f>
        <v>0</v>
      </c>
    </row>
    <row r="35" spans="1:4" ht="15.75" hidden="1" outlineLevel="2">
      <c r="A35" s="83" t="s">
        <v>366</v>
      </c>
      <c r="B35" s="86" t="s">
        <v>367</v>
      </c>
      <c r="C35" s="87">
        <v>0</v>
      </c>
      <c r="D35" s="109">
        <f>(SUM($D$27:$D$29)/$C$27)*C35*((60/52.5)*1.2*1.5)</f>
        <v>0</v>
      </c>
    </row>
    <row r="36" spans="1:4" ht="15.75" hidden="1" outlineLevel="2">
      <c r="A36" s="83" t="s">
        <v>368</v>
      </c>
      <c r="B36" s="84" t="s">
        <v>369</v>
      </c>
      <c r="C36" s="88">
        <f>C34*0.1429</f>
        <v>0</v>
      </c>
      <c r="D36" s="109">
        <f>(SUM($D$27:$D$29)/$C$27)*C36*2</f>
        <v>0</v>
      </c>
    </row>
    <row r="37" spans="1:4" ht="15.75" hidden="1" outlineLevel="2">
      <c r="A37" s="83" t="s">
        <v>370</v>
      </c>
      <c r="B37" s="84" t="s">
        <v>371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>
      <c r="A38" s="67" t="s">
        <v>334</v>
      </c>
      <c r="B38" s="58" t="s">
        <v>372</v>
      </c>
      <c r="C38" s="59">
        <v>0</v>
      </c>
      <c r="D38" s="110">
        <v>0</v>
      </c>
    </row>
    <row r="39" spans="1:4" ht="15.75" collapsed="1">
      <c r="A39" s="676" t="s">
        <v>373</v>
      </c>
      <c r="B39" s="678"/>
      <c r="C39" s="677"/>
      <c r="D39" s="111">
        <f>SUM(D27:D30,D33,D38)</f>
        <v>1839.73</v>
      </c>
    </row>
    <row r="40" spans="1:4" ht="15.75">
      <c r="A40" s="679"/>
      <c r="B40" s="679"/>
      <c r="C40" s="679"/>
      <c r="D40" s="679"/>
    </row>
    <row r="41" spans="1:4" ht="15.75" hidden="1" outlineLevel="1">
      <c r="A41" s="89" t="s">
        <v>374</v>
      </c>
      <c r="B41" s="112" t="s">
        <v>375</v>
      </c>
      <c r="C41" s="113" t="s">
        <v>376</v>
      </c>
      <c r="D41" s="113" t="s">
        <v>352</v>
      </c>
    </row>
    <row r="42" spans="1:4" ht="15.75" hidden="1" outlineLevel="1">
      <c r="A42" s="114" t="s">
        <v>353</v>
      </c>
      <c r="B42" s="30" t="s">
        <v>377</v>
      </c>
      <c r="C42" s="90">
        <v>0</v>
      </c>
      <c r="D42" s="115">
        <f>(SUM(D27)/$C$27)*C42*1.5</f>
        <v>0</v>
      </c>
    </row>
    <row r="43" spans="1:4" ht="15.75" hidden="1" outlineLevel="1">
      <c r="A43" s="116" t="s">
        <v>325</v>
      </c>
      <c r="B43" s="117" t="s">
        <v>378</v>
      </c>
      <c r="C43" s="118">
        <v>0</v>
      </c>
      <c r="D43" s="107">
        <f>C43*177</f>
        <v>0</v>
      </c>
    </row>
    <row r="44" spans="1:4" ht="15.75" hidden="1" outlineLevel="1">
      <c r="A44" s="67" t="s">
        <v>328</v>
      </c>
      <c r="B44" s="58" t="s">
        <v>372</v>
      </c>
      <c r="C44" s="59">
        <v>0</v>
      </c>
      <c r="D44" s="110">
        <v>0</v>
      </c>
    </row>
    <row r="45" spans="1:4" ht="15.75" collapsed="1">
      <c r="A45" s="663" t="s">
        <v>379</v>
      </c>
      <c r="B45" s="664"/>
      <c r="C45" s="33">
        <f>D45/D39</f>
        <v>0</v>
      </c>
      <c r="D45" s="119">
        <f>SUM(D42:D43)</f>
        <v>0</v>
      </c>
    </row>
    <row r="46" spans="1:4" ht="15.75">
      <c r="A46" s="665"/>
      <c r="B46" s="666"/>
      <c r="C46" s="666"/>
      <c r="D46" s="667"/>
    </row>
    <row r="47" spans="1:4" ht="15.75">
      <c r="A47" s="668" t="s">
        <v>380</v>
      </c>
      <c r="B47" s="669"/>
      <c r="C47" s="669"/>
      <c r="D47" s="670"/>
    </row>
    <row r="48" spans="1:4" ht="15.75" hidden="1" outlineLevel="1">
      <c r="A48" s="665"/>
      <c r="B48" s="666"/>
      <c r="C48" s="666"/>
      <c r="D48" s="667"/>
    </row>
    <row r="49" spans="1:4" ht="15.75" hidden="1" outlineLevel="1">
      <c r="A49" s="113" t="s">
        <v>381</v>
      </c>
      <c r="B49" s="112" t="s">
        <v>382</v>
      </c>
      <c r="C49" s="113" t="s">
        <v>383</v>
      </c>
      <c r="D49" s="113" t="s">
        <v>352</v>
      </c>
    </row>
    <row r="50" spans="1:4" ht="15.75" hidden="1" outlineLevel="2">
      <c r="A50" s="116" t="s">
        <v>353</v>
      </c>
      <c r="B50" s="117" t="s">
        <v>384</v>
      </c>
      <c r="C50" s="32">
        <f>1/12</f>
        <v>8.3299999999999999E-2</v>
      </c>
      <c r="D50" s="107">
        <f>C50*D39</f>
        <v>153.25</v>
      </c>
    </row>
    <row r="51" spans="1:4" ht="15.75" hidden="1" outlineLevel="2">
      <c r="A51" s="116" t="s">
        <v>322</v>
      </c>
      <c r="B51" s="117" t="s">
        <v>385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>
      <c r="A52" s="663" t="s">
        <v>176</v>
      </c>
      <c r="B52" s="664"/>
      <c r="C52" s="33">
        <f>SUM(C50:C51)</f>
        <v>0.1</v>
      </c>
      <c r="D52" s="119">
        <f>SUM(D50:D51)</f>
        <v>183.97</v>
      </c>
    </row>
    <row r="53" spans="1:4" ht="15.75" hidden="1" outlineLevel="1">
      <c r="A53" s="665"/>
      <c r="B53" s="666"/>
      <c r="C53" s="666"/>
      <c r="D53" s="667"/>
    </row>
    <row r="54" spans="1:4" ht="15.75" hidden="1" outlineLevel="1">
      <c r="A54" s="113" t="s">
        <v>386</v>
      </c>
      <c r="B54" s="120" t="s">
        <v>387</v>
      </c>
      <c r="C54" s="113" t="s">
        <v>383</v>
      </c>
      <c r="D54" s="121" t="s">
        <v>352</v>
      </c>
    </row>
    <row r="55" spans="1:4" ht="15.75" hidden="1" outlineLevel="2">
      <c r="A55" s="114" t="s">
        <v>353</v>
      </c>
      <c r="B55" s="34" t="s">
        <v>388</v>
      </c>
      <c r="C55" s="35">
        <v>0.2</v>
      </c>
      <c r="D55" s="107">
        <f t="shared" ref="D55:D62" si="0">C55*($D$39+$D$52)</f>
        <v>404.74</v>
      </c>
    </row>
    <row r="56" spans="1:4" ht="15.75" hidden="1" outlineLevel="2">
      <c r="A56" s="114" t="s">
        <v>322</v>
      </c>
      <c r="B56" s="34" t="s">
        <v>389</v>
      </c>
      <c r="C56" s="35">
        <v>2.5000000000000001E-2</v>
      </c>
      <c r="D56" s="107">
        <f t="shared" si="0"/>
        <v>50.59</v>
      </c>
    </row>
    <row r="57" spans="1:4" ht="15.75" hidden="1" outlineLevel="2">
      <c r="A57" s="114" t="s">
        <v>325</v>
      </c>
      <c r="B57" s="34" t="s">
        <v>390</v>
      </c>
      <c r="C57" s="68">
        <v>0.03</v>
      </c>
      <c r="D57" s="107">
        <f t="shared" si="0"/>
        <v>60.71</v>
      </c>
    </row>
    <row r="58" spans="1:4" ht="15.75" hidden="1" outlineLevel="2">
      <c r="A58" s="114" t="s">
        <v>328</v>
      </c>
      <c r="B58" s="34" t="s">
        <v>391</v>
      </c>
      <c r="C58" s="35">
        <v>1.4999999999999999E-2</v>
      </c>
      <c r="D58" s="107">
        <f t="shared" si="0"/>
        <v>30.36</v>
      </c>
    </row>
    <row r="59" spans="1:4" ht="15.75" hidden="1" outlineLevel="2">
      <c r="A59" s="114" t="s">
        <v>331</v>
      </c>
      <c r="B59" s="34" t="s">
        <v>392</v>
      </c>
      <c r="C59" s="35">
        <v>0.01</v>
      </c>
      <c r="D59" s="107">
        <f t="shared" si="0"/>
        <v>20.239999999999998</v>
      </c>
    </row>
    <row r="60" spans="1:4" ht="15.75" hidden="1" outlineLevel="2">
      <c r="A60" s="114" t="s">
        <v>334</v>
      </c>
      <c r="B60" s="34" t="s">
        <v>393</v>
      </c>
      <c r="C60" s="35">
        <v>6.0000000000000001E-3</v>
      </c>
      <c r="D60" s="107">
        <f t="shared" si="0"/>
        <v>12.14</v>
      </c>
    </row>
    <row r="61" spans="1:4" ht="15.75" hidden="1" outlineLevel="2">
      <c r="A61" s="114" t="s">
        <v>394</v>
      </c>
      <c r="B61" s="34" t="s">
        <v>395</v>
      </c>
      <c r="C61" s="35">
        <v>2E-3</v>
      </c>
      <c r="D61" s="107">
        <f t="shared" si="0"/>
        <v>4.05</v>
      </c>
    </row>
    <row r="62" spans="1:4" ht="15.75" hidden="1" outlineLevel="2">
      <c r="A62" s="114" t="s">
        <v>336</v>
      </c>
      <c r="B62" s="34" t="s">
        <v>396</v>
      </c>
      <c r="C62" s="35">
        <v>0.08</v>
      </c>
      <c r="D62" s="107">
        <f t="shared" si="0"/>
        <v>161.9</v>
      </c>
    </row>
    <row r="63" spans="1:4" ht="15.75" hidden="1" outlineLevel="1">
      <c r="A63" s="663" t="s">
        <v>176</v>
      </c>
      <c r="B63" s="664"/>
      <c r="C63" s="36">
        <f>SUM(C55:C62)</f>
        <v>0.36799999999999999</v>
      </c>
      <c r="D63" s="122">
        <f>SUM(D55:D62)</f>
        <v>744.73</v>
      </c>
    </row>
    <row r="64" spans="1:4" ht="15.75" hidden="1" outlineLevel="1">
      <c r="A64" s="665"/>
      <c r="B64" s="666"/>
      <c r="C64" s="666"/>
      <c r="D64" s="667"/>
    </row>
    <row r="65" spans="1:4" ht="15.75" hidden="1" outlineLevel="1">
      <c r="A65" s="113" t="s">
        <v>397</v>
      </c>
      <c r="B65" s="120" t="s">
        <v>398</v>
      </c>
      <c r="C65" s="113" t="s">
        <v>399</v>
      </c>
      <c r="D65" s="113" t="s">
        <v>352</v>
      </c>
    </row>
    <row r="66" spans="1:4" ht="15.75" hidden="1" outlineLevel="2">
      <c r="A66" s="114" t="s">
        <v>353</v>
      </c>
      <c r="B66" s="34" t="s">
        <v>400</v>
      </c>
      <c r="C66" s="123">
        <v>3.5</v>
      </c>
      <c r="D66" s="124">
        <f>IF(D67+D68&gt;0,(D67+D68),0)</f>
        <v>68.150000000000006</v>
      </c>
    </row>
    <row r="67" spans="1:4" ht="15.75" hidden="1" outlineLevel="3">
      <c r="A67" s="125" t="s">
        <v>401</v>
      </c>
      <c r="B67" s="34" t="s">
        <v>402</v>
      </c>
      <c r="C67" s="126">
        <v>21</v>
      </c>
      <c r="D67" s="127">
        <f>C66*C67*2</f>
        <v>147</v>
      </c>
    </row>
    <row r="68" spans="1:4" ht="15.75" hidden="1" outlineLevel="3">
      <c r="A68" s="125" t="s">
        <v>403</v>
      </c>
      <c r="B68" s="34" t="s">
        <v>404</v>
      </c>
      <c r="C68" s="128">
        <v>0.06</v>
      </c>
      <c r="D68" s="127">
        <f>-D27*C68</f>
        <v>-78.849999999999994</v>
      </c>
    </row>
    <row r="69" spans="1:4" ht="15.75" hidden="1" outlineLevel="2">
      <c r="A69" s="114" t="s">
        <v>322</v>
      </c>
      <c r="B69" s="34" t="s">
        <v>405</v>
      </c>
      <c r="C69" s="129">
        <f>'SR - ASG'!C69</f>
        <v>20.18</v>
      </c>
      <c r="D69" s="124">
        <f>D70+D71</f>
        <v>343.26</v>
      </c>
    </row>
    <row r="70" spans="1:4" ht="15.75" hidden="1" outlineLevel="3">
      <c r="A70" s="125" t="s">
        <v>406</v>
      </c>
      <c r="B70" s="34" t="s">
        <v>407</v>
      </c>
      <c r="C70" s="126">
        <v>21</v>
      </c>
      <c r="D70" s="127">
        <f>C69*C70</f>
        <v>423.78</v>
      </c>
    </row>
    <row r="71" spans="1:4" ht="15.75" hidden="1" outlineLevel="3">
      <c r="A71" s="125" t="s">
        <v>408</v>
      </c>
      <c r="B71" s="34" t="s">
        <v>409</v>
      </c>
      <c r="C71" s="130">
        <v>-0.19</v>
      </c>
      <c r="D71" s="127">
        <f>D70*C71</f>
        <v>-80.52</v>
      </c>
    </row>
    <row r="72" spans="1:4" ht="15.75" hidden="1" outlineLevel="2">
      <c r="A72" s="114" t="s">
        <v>325</v>
      </c>
      <c r="B72" s="77" t="s">
        <v>410</v>
      </c>
      <c r="C72" s="129">
        <v>17.32</v>
      </c>
      <c r="D72" s="132">
        <f>C72</f>
        <v>17.32</v>
      </c>
    </row>
    <row r="73" spans="1:4" ht="15.75" hidden="1" outlineLevel="2">
      <c r="A73" s="114" t="s">
        <v>328</v>
      </c>
      <c r="B73" s="78" t="s">
        <v>411</v>
      </c>
      <c r="C73" s="129">
        <f>140*3</f>
        <v>420</v>
      </c>
      <c r="D73" s="132">
        <f>C73*C152</f>
        <v>0.84</v>
      </c>
    </row>
    <row r="74" spans="1:4" ht="15.75" hidden="1" outlineLevel="2">
      <c r="A74" s="114" t="s">
        <v>331</v>
      </c>
      <c r="B74" s="77" t="s">
        <v>412</v>
      </c>
      <c r="C74" s="129">
        <v>21</v>
      </c>
      <c r="D74" s="132">
        <f>C74</f>
        <v>21</v>
      </c>
    </row>
    <row r="75" spans="1:4" ht="15.75" hidden="1" outlineLevel="2">
      <c r="A75" s="114" t="s">
        <v>334</v>
      </c>
      <c r="B75" s="77" t="s">
        <v>372</v>
      </c>
      <c r="C75" s="131">
        <v>0</v>
      </c>
      <c r="D75" s="132">
        <f>C75*D39</f>
        <v>0</v>
      </c>
    </row>
    <row r="76" spans="1:4" ht="15.75" hidden="1" outlineLevel="2">
      <c r="A76" s="114" t="s">
        <v>394</v>
      </c>
      <c r="B76" s="77" t="s">
        <v>372</v>
      </c>
      <c r="C76" s="129">
        <v>0</v>
      </c>
      <c r="D76" s="133">
        <f>C76</f>
        <v>0</v>
      </c>
    </row>
    <row r="77" spans="1:4" ht="15.75" hidden="1" outlineLevel="1">
      <c r="A77" s="663" t="s">
        <v>413</v>
      </c>
      <c r="B77" s="700"/>
      <c r="C77" s="664"/>
      <c r="D77" s="119">
        <f>SUM(D66,D69,D72:D76)</f>
        <v>450.57</v>
      </c>
    </row>
    <row r="78" spans="1:4" ht="15.75" hidden="1" outlineLevel="1">
      <c r="A78" s="665"/>
      <c r="B78" s="666"/>
      <c r="C78" s="666"/>
      <c r="D78" s="667"/>
    </row>
    <row r="79" spans="1:4" ht="15.75" hidden="1" outlineLevel="1">
      <c r="A79" s="701" t="s">
        <v>414</v>
      </c>
      <c r="B79" s="702"/>
      <c r="C79" s="113" t="s">
        <v>383</v>
      </c>
      <c r="D79" s="113" t="s">
        <v>352</v>
      </c>
    </row>
    <row r="80" spans="1:4" ht="15.75" hidden="1" outlineLevel="1">
      <c r="A80" s="114" t="s">
        <v>415</v>
      </c>
      <c r="B80" s="34" t="s">
        <v>382</v>
      </c>
      <c r="C80" s="37">
        <f>C52</f>
        <v>0.1</v>
      </c>
      <c r="D80" s="107">
        <f>D52</f>
        <v>183.97</v>
      </c>
    </row>
    <row r="81" spans="1:4" ht="15.75" hidden="1" outlineLevel="1">
      <c r="A81" s="114" t="s">
        <v>386</v>
      </c>
      <c r="B81" s="34" t="s">
        <v>387</v>
      </c>
      <c r="C81" s="37">
        <f>C63</f>
        <v>0.36799999999999999</v>
      </c>
      <c r="D81" s="107">
        <f>D63</f>
        <v>744.73</v>
      </c>
    </row>
    <row r="82" spans="1:4" ht="15.75" hidden="1" outlineLevel="1">
      <c r="A82" s="114" t="s">
        <v>416</v>
      </c>
      <c r="B82" s="34" t="s">
        <v>398</v>
      </c>
      <c r="C82" s="37">
        <f>D77/D39</f>
        <v>0.24490000000000001</v>
      </c>
      <c r="D82" s="107">
        <f>D77</f>
        <v>450.57</v>
      </c>
    </row>
    <row r="83" spans="1:4" ht="15.75" collapsed="1">
      <c r="A83" s="663" t="s">
        <v>176</v>
      </c>
      <c r="B83" s="700"/>
      <c r="C83" s="664"/>
      <c r="D83" s="119">
        <f>SUM(D80:D82)</f>
        <v>1379.27</v>
      </c>
    </row>
    <row r="84" spans="1:4" ht="15.75">
      <c r="A84" s="665"/>
      <c r="B84" s="666"/>
      <c r="C84" s="666"/>
      <c r="D84" s="667"/>
    </row>
    <row r="85" spans="1:4" ht="15.75">
      <c r="A85" s="694" t="s">
        <v>417</v>
      </c>
      <c r="B85" s="695"/>
      <c r="C85" s="695"/>
      <c r="D85" s="696"/>
    </row>
    <row r="86" spans="1:4" ht="15.75" hidden="1" outlineLevel="1">
      <c r="A86" s="665"/>
      <c r="B86" s="666"/>
      <c r="C86" s="666"/>
      <c r="D86" s="667"/>
    </row>
    <row r="87" spans="1:4" ht="15.75" hidden="1" outlineLevel="1">
      <c r="A87" s="66" t="s">
        <v>418</v>
      </c>
      <c r="B87" s="112" t="s">
        <v>419</v>
      </c>
      <c r="C87" s="113" t="s">
        <v>383</v>
      </c>
      <c r="D87" s="113" t="s">
        <v>352</v>
      </c>
    </row>
    <row r="88" spans="1:4" ht="15.75" hidden="1" outlineLevel="2">
      <c r="A88" s="38" t="s">
        <v>353</v>
      </c>
      <c r="B88" s="39" t="s">
        <v>420</v>
      </c>
      <c r="C88" s="38" t="s">
        <v>363</v>
      </c>
      <c r="D88" s="134">
        <f>IF(C99&gt;1,SUM(D89:D92)*2,SUM(D89:D92))</f>
        <v>2592.48</v>
      </c>
    </row>
    <row r="89" spans="1:4" ht="15.75" hidden="1" outlineLevel="3">
      <c r="A89" s="40" t="s">
        <v>421</v>
      </c>
      <c r="B89" s="41" t="s">
        <v>422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>
      <c r="A90" s="40" t="s">
        <v>423</v>
      </c>
      <c r="B90" s="41" t="s">
        <v>424</v>
      </c>
      <c r="C90" s="32">
        <f>1/12</f>
        <v>8.3299999999999999E-2</v>
      </c>
      <c r="D90" s="134">
        <f>C90*D89</f>
        <v>168.57</v>
      </c>
    </row>
    <row r="91" spans="1:4" ht="15.75" hidden="1" outlineLevel="3">
      <c r="A91" s="40" t="s">
        <v>425</v>
      </c>
      <c r="B91" s="41" t="s">
        <v>426</v>
      </c>
      <c r="C91" s="32">
        <f>(1/12)+(1/12/3)</f>
        <v>0.1111</v>
      </c>
      <c r="D91" s="135">
        <f>C91*D89</f>
        <v>224.83</v>
      </c>
    </row>
    <row r="92" spans="1:4" ht="15.75" hidden="1" outlineLevel="3">
      <c r="A92" s="40" t="s">
        <v>427</v>
      </c>
      <c r="B92" s="41" t="s">
        <v>428</v>
      </c>
      <c r="C92" s="42">
        <v>0.08</v>
      </c>
      <c r="D92" s="134">
        <f>SUM(D89:D90)*C92</f>
        <v>175.38</v>
      </c>
    </row>
    <row r="93" spans="1:4" ht="15.75" hidden="1" outlineLevel="2">
      <c r="A93" s="38" t="s">
        <v>322</v>
      </c>
      <c r="B93" s="39" t="s">
        <v>429</v>
      </c>
      <c r="C93" s="43">
        <v>0.4</v>
      </c>
      <c r="D93" s="134">
        <f>C93*D94</f>
        <v>1297.1300000000001</v>
      </c>
    </row>
    <row r="94" spans="1:4" ht="15.75" hidden="1" outlineLevel="3">
      <c r="A94" s="38" t="s">
        <v>430</v>
      </c>
      <c r="B94" s="39" t="s">
        <v>431</v>
      </c>
      <c r="C94" s="43">
        <f>C62</f>
        <v>0.08</v>
      </c>
      <c r="D94" s="134">
        <f>C94*D95</f>
        <v>3242.83</v>
      </c>
    </row>
    <row r="95" spans="1:4" ht="15.75" hidden="1" outlineLevel="3">
      <c r="A95" s="38" t="s">
        <v>432</v>
      </c>
      <c r="B95" s="44" t="s">
        <v>433</v>
      </c>
      <c r="C95" s="45" t="s">
        <v>363</v>
      </c>
      <c r="D95" s="135">
        <f>SUM(D96:D98)</f>
        <v>40535.379999999997</v>
      </c>
    </row>
    <row r="96" spans="1:4" ht="15.75" hidden="1" outlineLevel="3">
      <c r="A96" s="40" t="s">
        <v>434</v>
      </c>
      <c r="B96" s="41" t="s">
        <v>435</v>
      </c>
      <c r="C96" s="46">
        <f>C12-C98</f>
        <v>19</v>
      </c>
      <c r="D96" s="134">
        <f>D39*C96</f>
        <v>34954.870000000003</v>
      </c>
    </row>
    <row r="97" spans="1:4" ht="15.75" hidden="1" outlineLevel="3">
      <c r="A97" s="40" t="s">
        <v>436</v>
      </c>
      <c r="B97" s="41" t="s">
        <v>437</v>
      </c>
      <c r="C97" s="47">
        <f>C12/12</f>
        <v>1.7</v>
      </c>
      <c r="D97" s="134">
        <f>D39*C97</f>
        <v>3127.54</v>
      </c>
    </row>
    <row r="98" spans="1:4" ht="15.75" hidden="1" outlineLevel="3">
      <c r="A98" s="40" t="s">
        <v>438</v>
      </c>
      <c r="B98" s="41" t="s">
        <v>439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>
      <c r="A99" s="663" t="s">
        <v>176</v>
      </c>
      <c r="B99" s="664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>
      <c r="A100" s="697"/>
      <c r="B100" s="698"/>
      <c r="C100" s="698"/>
      <c r="D100" s="699"/>
    </row>
    <row r="101" spans="1:4" ht="15.75" hidden="1" outlineLevel="1">
      <c r="A101" s="66" t="s">
        <v>440</v>
      </c>
      <c r="B101" s="112" t="s">
        <v>441</v>
      </c>
      <c r="C101" s="113" t="s">
        <v>383</v>
      </c>
      <c r="D101" s="113" t="s">
        <v>352</v>
      </c>
    </row>
    <row r="102" spans="1:4" ht="15.75" hidden="1" outlineLevel="2">
      <c r="A102" s="38" t="s">
        <v>353</v>
      </c>
      <c r="B102" s="44" t="s">
        <v>442</v>
      </c>
      <c r="C102" s="48">
        <f>IF(C111&gt;1,(1/30*7)*2,(1/30*7))</f>
        <v>0.23330000000000001</v>
      </c>
      <c r="D102" s="135">
        <f>C102*SUM(D103:D107)</f>
        <v>788.87</v>
      </c>
    </row>
    <row r="103" spans="1:4" ht="15.75" hidden="1" outlineLevel="3">
      <c r="A103" s="40" t="s">
        <v>421</v>
      </c>
      <c r="B103" s="41" t="s">
        <v>443</v>
      </c>
      <c r="C103" s="38">
        <v>1</v>
      </c>
      <c r="D103" s="134">
        <f>D39</f>
        <v>1839.73</v>
      </c>
    </row>
    <row r="104" spans="1:4" ht="15.75" hidden="1" outlineLevel="3">
      <c r="A104" s="40" t="s">
        <v>423</v>
      </c>
      <c r="B104" s="41" t="s">
        <v>444</v>
      </c>
      <c r="C104" s="32">
        <f>1/12</f>
        <v>8.3299999999999999E-2</v>
      </c>
      <c r="D104" s="134">
        <f>C104*D103</f>
        <v>153.25</v>
      </c>
    </row>
    <row r="105" spans="1:4" ht="15.75" hidden="1" outlineLevel="3">
      <c r="A105" s="40" t="s">
        <v>425</v>
      </c>
      <c r="B105" s="41" t="s">
        <v>445</v>
      </c>
      <c r="C105" s="32">
        <f>(1/12)+(1/12/3)</f>
        <v>0.1111</v>
      </c>
      <c r="D105" s="134">
        <f>C105*D103</f>
        <v>204.39</v>
      </c>
    </row>
    <row r="106" spans="1:4" ht="15.75" hidden="1" outlineLevel="3">
      <c r="A106" s="40" t="s">
        <v>427</v>
      </c>
      <c r="B106" s="49" t="s">
        <v>446</v>
      </c>
      <c r="C106" s="50">
        <f>C63</f>
        <v>0.36799999999999999</v>
      </c>
      <c r="D106" s="135">
        <f>C106*(D103+D104)</f>
        <v>733.42</v>
      </c>
    </row>
    <row r="107" spans="1:4" ht="15.75" hidden="1" outlineLevel="3">
      <c r="A107" s="40" t="s">
        <v>447</v>
      </c>
      <c r="B107" s="49" t="s">
        <v>448</v>
      </c>
      <c r="C107" s="45">
        <v>1</v>
      </c>
      <c r="D107" s="135">
        <f>D77</f>
        <v>450.57</v>
      </c>
    </row>
    <row r="108" spans="1:4" ht="15.75" hidden="1" outlineLevel="2">
      <c r="A108" s="38" t="s">
        <v>322</v>
      </c>
      <c r="B108" s="39" t="s">
        <v>449</v>
      </c>
      <c r="C108" s="43">
        <v>0.4</v>
      </c>
      <c r="D108" s="134">
        <f>C108*D109</f>
        <v>1297.1300000000001</v>
      </c>
    </row>
    <row r="109" spans="1:4" ht="15.75" hidden="1" outlineLevel="2">
      <c r="A109" s="38" t="s">
        <v>430</v>
      </c>
      <c r="B109" s="39" t="s">
        <v>431</v>
      </c>
      <c r="C109" s="43">
        <f>C62</f>
        <v>0.08</v>
      </c>
      <c r="D109" s="134">
        <f>C109*D110</f>
        <v>3242.83</v>
      </c>
    </row>
    <row r="110" spans="1:4" ht="15.75" hidden="1" outlineLevel="2">
      <c r="A110" s="38" t="s">
        <v>432</v>
      </c>
      <c r="B110" s="44" t="s">
        <v>433</v>
      </c>
      <c r="C110" s="45" t="s">
        <v>363</v>
      </c>
      <c r="D110" s="135">
        <f>D95</f>
        <v>40535.379999999997</v>
      </c>
    </row>
    <row r="111" spans="1:4" ht="15.75" hidden="1" outlineLevel="1">
      <c r="A111" s="663" t="s">
        <v>176</v>
      </c>
      <c r="B111" s="664"/>
      <c r="C111" s="69">
        <f>'SR - ASG'!C111</f>
        <v>0.94450000000000001</v>
      </c>
      <c r="D111" s="119">
        <f>IF(C111&gt;1,D102+D108,(D102+D108)*C111)</f>
        <v>1970.23</v>
      </c>
    </row>
    <row r="112" spans="1:4" ht="15.75" hidden="1" outlineLevel="1">
      <c r="A112" s="697"/>
      <c r="B112" s="698"/>
      <c r="C112" s="698"/>
      <c r="D112" s="699"/>
    </row>
    <row r="113" spans="1:4" ht="15.75" hidden="1" outlineLevel="1">
      <c r="A113" s="66" t="s">
        <v>450</v>
      </c>
      <c r="B113" s="112" t="s">
        <v>451</v>
      </c>
      <c r="C113" s="113" t="s">
        <v>383</v>
      </c>
      <c r="D113" s="113" t="s">
        <v>352</v>
      </c>
    </row>
    <row r="114" spans="1:4" ht="15.75" hidden="1" outlineLevel="2">
      <c r="A114" s="114" t="s">
        <v>353</v>
      </c>
      <c r="B114" s="34" t="s">
        <v>452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>
      <c r="A115" s="114" t="s">
        <v>322</v>
      </c>
      <c r="B115" s="51" t="s">
        <v>453</v>
      </c>
      <c r="C115" s="37">
        <f>C114/3</f>
        <v>1.11E-2</v>
      </c>
      <c r="D115" s="137">
        <f>C115*D39</f>
        <v>20.420000000000002</v>
      </c>
    </row>
    <row r="116" spans="1:4" ht="15.75" hidden="1" outlineLevel="1">
      <c r="A116" s="663" t="s">
        <v>176</v>
      </c>
      <c r="B116" s="664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>
      <c r="A117" s="697"/>
      <c r="B117" s="698"/>
      <c r="C117" s="698"/>
      <c r="D117" s="699"/>
    </row>
    <row r="118" spans="1:4" ht="15.75" hidden="1" outlineLevel="1">
      <c r="A118" s="701" t="s">
        <v>454</v>
      </c>
      <c r="B118" s="702"/>
      <c r="C118" s="113" t="s">
        <v>383</v>
      </c>
      <c r="D118" s="113" t="s">
        <v>352</v>
      </c>
    </row>
    <row r="119" spans="1:4" ht="15.75" hidden="1" outlineLevel="1">
      <c r="A119" s="114" t="s">
        <v>418</v>
      </c>
      <c r="B119" s="34" t="s">
        <v>419</v>
      </c>
      <c r="C119" s="37">
        <f>C99</f>
        <v>5.5500000000000001E-2</v>
      </c>
      <c r="D119" s="107">
        <f>D99</f>
        <v>215.87</v>
      </c>
    </row>
    <row r="120" spans="1:4" ht="15.75" hidden="1" outlineLevel="1">
      <c r="A120" s="116" t="s">
        <v>440</v>
      </c>
      <c r="B120" s="34" t="s">
        <v>441</v>
      </c>
      <c r="C120" s="52">
        <f>C111</f>
        <v>0.94450000000000001</v>
      </c>
      <c r="D120" s="107">
        <f>D111</f>
        <v>1970.23</v>
      </c>
    </row>
    <row r="121" spans="1:4" ht="15.75" hidden="1" outlineLevel="1">
      <c r="A121" s="707" t="s">
        <v>455</v>
      </c>
      <c r="B121" s="707"/>
      <c r="C121" s="707"/>
      <c r="D121" s="138">
        <f>D119+D120</f>
        <v>2186.1</v>
      </c>
    </row>
    <row r="122" spans="1:4" ht="15.75" hidden="1" outlineLevel="1">
      <c r="A122" s="703" t="s">
        <v>456</v>
      </c>
      <c r="B122" s="704"/>
      <c r="C122" s="70">
        <f>'SR - ASG'!C122</f>
        <v>0.63570000000000004</v>
      </c>
      <c r="D122" s="61">
        <f>C122*D121</f>
        <v>1389.7</v>
      </c>
    </row>
    <row r="123" spans="1:4" ht="15.75" hidden="1" outlineLevel="1">
      <c r="A123" s="703" t="s">
        <v>457</v>
      </c>
      <c r="B123" s="70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>
      <c r="A124" s="705" t="s">
        <v>458</v>
      </c>
      <c r="B124" s="706"/>
      <c r="C124" s="74">
        <f>1/C12</f>
        <v>0.05</v>
      </c>
      <c r="D124" s="62">
        <f>(D122+D123)*C124</f>
        <v>69.38</v>
      </c>
    </row>
    <row r="125" spans="1:4" ht="15.75" hidden="1" outlineLevel="1">
      <c r="A125" s="116" t="s">
        <v>450</v>
      </c>
      <c r="B125" s="34" t="s">
        <v>459</v>
      </c>
      <c r="C125" s="52"/>
      <c r="D125" s="127">
        <f>D116</f>
        <v>81.680000000000007</v>
      </c>
    </row>
    <row r="126" spans="1:4" ht="15.75" collapsed="1">
      <c r="A126" s="663" t="s">
        <v>176</v>
      </c>
      <c r="B126" s="664"/>
      <c r="C126" s="33"/>
      <c r="D126" s="139">
        <f>D124+D125</f>
        <v>151.06</v>
      </c>
    </row>
    <row r="127" spans="1:4" ht="15.75">
      <c r="A127" s="665"/>
      <c r="B127" s="666"/>
      <c r="C127" s="666"/>
      <c r="D127" s="667"/>
    </row>
    <row r="128" spans="1:4" ht="15.75">
      <c r="A128" s="668" t="s">
        <v>460</v>
      </c>
      <c r="B128" s="669"/>
      <c r="C128" s="669"/>
      <c r="D128" s="670"/>
    </row>
    <row r="129" spans="1:4" ht="15.75" hidden="1" outlineLevel="1">
      <c r="A129" s="697"/>
      <c r="B129" s="698"/>
      <c r="C129" s="698"/>
      <c r="D129" s="699"/>
    </row>
    <row r="130" spans="1:4" ht="15.75" hidden="1" outlineLevel="1">
      <c r="A130" s="113" t="s">
        <v>461</v>
      </c>
      <c r="B130" s="120" t="s">
        <v>462</v>
      </c>
      <c r="C130" s="33" t="s">
        <v>383</v>
      </c>
      <c r="D130" s="113" t="s">
        <v>352</v>
      </c>
    </row>
    <row r="131" spans="1:4" ht="15.75" hidden="1" outlineLevel="2">
      <c r="A131" s="140" t="s">
        <v>353</v>
      </c>
      <c r="B131" s="91" t="s">
        <v>463</v>
      </c>
      <c r="C131" s="53">
        <f>IF(C12&gt;60,5/C12,IF(C12&gt;48,4/C12,IF(C12&gt;36,3/C12,IF(C12&gt;24,2/C12,IF(C12&gt;12,1/C12,0)))))</f>
        <v>0.05</v>
      </c>
      <c r="D131" s="136">
        <f>SUM(D132:D136)</f>
        <v>118.84</v>
      </c>
    </row>
    <row r="132" spans="1:4" ht="15.75" hidden="1" outlineLevel="3">
      <c r="A132" s="141" t="s">
        <v>464</v>
      </c>
      <c r="B132" s="92" t="s">
        <v>465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>
      <c r="A133" s="141" t="s">
        <v>466</v>
      </c>
      <c r="B133" s="92" t="s">
        <v>467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>
      <c r="A134" s="141" t="s">
        <v>468</v>
      </c>
      <c r="B134" s="92" t="s">
        <v>469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>
      <c r="A135" s="141" t="s">
        <v>470</v>
      </c>
      <c r="B135" s="92" t="s">
        <v>471</v>
      </c>
      <c r="C135" s="93">
        <f>C63</f>
        <v>0.36799999999999999</v>
      </c>
      <c r="D135" s="143">
        <f>SUM(D132:D134)*C131</f>
        <v>5.49</v>
      </c>
    </row>
    <row r="136" spans="1:4" ht="15.75" hidden="1" outlineLevel="3">
      <c r="A136" s="141" t="s">
        <v>472</v>
      </c>
      <c r="B136" s="92" t="s">
        <v>473</v>
      </c>
      <c r="C136" s="144">
        <f>D124</f>
        <v>69.38</v>
      </c>
      <c r="D136" s="143">
        <f>C136*C131</f>
        <v>3.47</v>
      </c>
    </row>
    <row r="137" spans="1:4" ht="15.75" hidden="1" outlineLevel="2">
      <c r="A137" s="114" t="s">
        <v>322</v>
      </c>
      <c r="B137" s="34" t="s">
        <v>474</v>
      </c>
      <c r="C137" s="94">
        <v>0</v>
      </c>
      <c r="D137" s="127">
        <f>$C$131*(D39)*(C137/3)</f>
        <v>0</v>
      </c>
    </row>
    <row r="138" spans="1:4" ht="15.75" hidden="1" outlineLevel="1">
      <c r="A138" s="663" t="s">
        <v>475</v>
      </c>
      <c r="B138" s="664"/>
      <c r="C138" s="33">
        <f>C131+(D137/D39)</f>
        <v>0.05</v>
      </c>
      <c r="D138" s="119">
        <f>SUM(D131:D137)</f>
        <v>237.68</v>
      </c>
    </row>
    <row r="139" spans="1:4" ht="15.75" hidden="1" outlineLevel="1">
      <c r="A139" s="697"/>
      <c r="B139" s="698"/>
      <c r="C139" s="698"/>
      <c r="D139" s="699"/>
    </row>
    <row r="140" spans="1:4" ht="15.75" hidden="1" outlineLevel="2">
      <c r="A140" s="710" t="s">
        <v>476</v>
      </c>
      <c r="B140" s="145" t="s">
        <v>435</v>
      </c>
      <c r="C140" s="95">
        <v>220</v>
      </c>
      <c r="D140" s="146">
        <f>D39</f>
        <v>1839.73</v>
      </c>
    </row>
    <row r="141" spans="1:4" ht="15.75" hidden="1" outlineLevel="2">
      <c r="A141" s="711"/>
      <c r="B141" s="145" t="s">
        <v>477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>
      <c r="A142" s="711"/>
      <c r="B142" s="145" t="s">
        <v>478</v>
      </c>
      <c r="C142" s="53">
        <f>C63</f>
        <v>0.36799999999999999</v>
      </c>
      <c r="D142" s="147">
        <f>(D140+D141)*C142</f>
        <v>808.63</v>
      </c>
    </row>
    <row r="143" spans="1:4" ht="15.75" hidden="1" outlineLevel="2">
      <c r="A143" s="711"/>
      <c r="B143" s="145" t="s">
        <v>479</v>
      </c>
      <c r="C143" s="53">
        <f>D143/D140</f>
        <v>0.24490000000000001</v>
      </c>
      <c r="D143" s="147">
        <f>D77</f>
        <v>450.57</v>
      </c>
    </row>
    <row r="144" spans="1:4" ht="15.75" hidden="1" outlineLevel="2">
      <c r="A144" s="712"/>
      <c r="B144" s="148" t="s">
        <v>480</v>
      </c>
      <c r="C144" s="53">
        <f>D144/D140</f>
        <v>3.7699999999999997E-2</v>
      </c>
      <c r="D144" s="147">
        <f>D124</f>
        <v>69.38</v>
      </c>
    </row>
    <row r="145" spans="1:4" ht="15.75" hidden="1" outlineLevel="2">
      <c r="A145" s="713" t="s">
        <v>481</v>
      </c>
      <c r="B145" s="714"/>
      <c r="C145" s="96">
        <f>D145/D140</f>
        <v>1.9166000000000001</v>
      </c>
      <c r="D145" s="149">
        <f>SUM(D140:D144)</f>
        <v>3525.95</v>
      </c>
    </row>
    <row r="146" spans="1:4" ht="15.75" hidden="1" outlineLevel="2">
      <c r="A146" s="715"/>
      <c r="B146" s="715"/>
      <c r="C146" s="715"/>
      <c r="D146" s="716"/>
    </row>
    <row r="147" spans="1:4" ht="15.75" hidden="1" outlineLevel="1">
      <c r="A147" s="113" t="s">
        <v>482</v>
      </c>
      <c r="B147" s="120" t="s">
        <v>483</v>
      </c>
      <c r="C147" s="33" t="s">
        <v>383</v>
      </c>
      <c r="D147" s="113" t="s">
        <v>352</v>
      </c>
    </row>
    <row r="148" spans="1:4" ht="15.75" hidden="1" outlineLevel="2">
      <c r="A148" s="114" t="s">
        <v>322</v>
      </c>
      <c r="B148" s="34" t="s">
        <v>484</v>
      </c>
      <c r="C148" s="79">
        <f>5/252</f>
        <v>1.9800000000000002E-2</v>
      </c>
      <c r="D148" s="136">
        <f>C148*$D$145</f>
        <v>69.81</v>
      </c>
    </row>
    <row r="149" spans="1:4" ht="15.75" hidden="1" outlineLevel="2">
      <c r="A149" s="114" t="s">
        <v>325</v>
      </c>
      <c r="B149" s="34" t="s">
        <v>485</v>
      </c>
      <c r="C149" s="79">
        <f>1.383/252</f>
        <v>5.4999999999999997E-3</v>
      </c>
      <c r="D149" s="136">
        <f>C149*$D$145</f>
        <v>19.39</v>
      </c>
    </row>
    <row r="150" spans="1:4" ht="15.75" hidden="1" outlineLevel="2">
      <c r="A150" s="114" t="s">
        <v>328</v>
      </c>
      <c r="B150" s="34" t="s">
        <v>486</v>
      </c>
      <c r="C150" s="79">
        <f>1.3892/252</f>
        <v>5.4999999999999997E-3</v>
      </c>
      <c r="D150" s="136">
        <f t="shared" ref="D150:D153" si="1">C150*$D$145</f>
        <v>19.39</v>
      </c>
    </row>
    <row r="151" spans="1:4" ht="15.75" hidden="1" outlineLevel="2">
      <c r="A151" s="114" t="s">
        <v>331</v>
      </c>
      <c r="B151" s="34" t="s">
        <v>487</v>
      </c>
      <c r="C151" s="79">
        <f>0.65/252</f>
        <v>2.5999999999999999E-3</v>
      </c>
      <c r="D151" s="136">
        <f t="shared" si="1"/>
        <v>9.17</v>
      </c>
    </row>
    <row r="152" spans="1:4" ht="15.75" hidden="1" outlineLevel="2">
      <c r="A152" s="114" t="s">
        <v>334</v>
      </c>
      <c r="B152" s="34" t="s">
        <v>488</v>
      </c>
      <c r="C152" s="79">
        <f>0.5052/252</f>
        <v>2E-3</v>
      </c>
      <c r="D152" s="136">
        <f t="shared" si="1"/>
        <v>7.05</v>
      </c>
    </row>
    <row r="153" spans="1:4" ht="15.75" hidden="1" outlineLevel="2">
      <c r="A153" s="114" t="s">
        <v>353</v>
      </c>
      <c r="B153" s="63" t="s">
        <v>489</v>
      </c>
      <c r="C153" s="71">
        <f>0.2/252</f>
        <v>8.0000000000000004E-4</v>
      </c>
      <c r="D153" s="136">
        <f t="shared" si="1"/>
        <v>2.82</v>
      </c>
    </row>
    <row r="154" spans="1:4" ht="15.75" hidden="1" outlineLevel="1">
      <c r="A154" s="663" t="s">
        <v>475</v>
      </c>
      <c r="B154" s="664"/>
      <c r="C154" s="33">
        <f>SUM(C148:C153)</f>
        <v>3.6200000000000003E-2</v>
      </c>
      <c r="D154" s="119">
        <f>SUM(D148:D153)</f>
        <v>127.63</v>
      </c>
    </row>
    <row r="155" spans="1:4" ht="15.75" hidden="1" outlineLevel="1">
      <c r="A155" s="697"/>
      <c r="B155" s="698"/>
      <c r="C155" s="698"/>
      <c r="D155" s="699"/>
    </row>
    <row r="156" spans="1:4" ht="15.75" hidden="1" outlineLevel="1">
      <c r="A156" s="701" t="s">
        <v>490</v>
      </c>
      <c r="B156" s="708"/>
      <c r="C156" s="33" t="s">
        <v>491</v>
      </c>
      <c r="D156" s="113" t="s">
        <v>352</v>
      </c>
    </row>
    <row r="157" spans="1:4" ht="15.75" hidden="1" outlineLevel="2">
      <c r="A157" s="709" t="s">
        <v>492</v>
      </c>
      <c r="B157" s="145" t="s">
        <v>493</v>
      </c>
      <c r="C157" s="97">
        <f>C153</f>
        <v>8.0000000000000004E-4</v>
      </c>
      <c r="D157" s="150">
        <f>C157*-D140</f>
        <v>-1.47</v>
      </c>
    </row>
    <row r="158" spans="1:4" ht="15.75" hidden="1" outlineLevel="2">
      <c r="A158" s="709"/>
      <c r="B158" s="151" t="s">
        <v>494</v>
      </c>
      <c r="C158" s="98">
        <v>0</v>
      </c>
      <c r="D158" s="152">
        <f>C158*-(D140/220/24*5)</f>
        <v>0</v>
      </c>
    </row>
    <row r="159" spans="1:4" ht="15.75" hidden="1" outlineLevel="2">
      <c r="A159" s="709"/>
      <c r="B159" s="151" t="s">
        <v>495</v>
      </c>
      <c r="C159" s="98">
        <v>0</v>
      </c>
      <c r="D159" s="152">
        <f>C159*-D141</f>
        <v>0</v>
      </c>
    </row>
    <row r="160" spans="1:4" ht="15.75" hidden="1" outlineLevel="2">
      <c r="A160" s="709"/>
      <c r="B160" s="145" t="s">
        <v>496</v>
      </c>
      <c r="C160" s="97">
        <f>C154</f>
        <v>3.6200000000000003E-2</v>
      </c>
      <c r="D160" s="150">
        <f>C160*-D66</f>
        <v>-2.4700000000000002</v>
      </c>
    </row>
    <row r="161" spans="1:4" ht="15.75" hidden="1" outlineLevel="2">
      <c r="A161" s="709"/>
      <c r="B161" s="145" t="s">
        <v>497</v>
      </c>
      <c r="C161" s="97">
        <f>C154</f>
        <v>3.6200000000000003E-2</v>
      </c>
      <c r="D161" s="150">
        <f>C161*-D69</f>
        <v>-12.43</v>
      </c>
    </row>
    <row r="162" spans="1:4" ht="15.75" hidden="1" outlineLevel="2">
      <c r="A162" s="709"/>
      <c r="B162" s="148" t="s">
        <v>498</v>
      </c>
      <c r="C162" s="97">
        <f>C153</f>
        <v>8.0000000000000004E-4</v>
      </c>
      <c r="D162" s="150">
        <f>C162*-D74</f>
        <v>-0.02</v>
      </c>
    </row>
    <row r="163" spans="1:4" ht="15.75" hidden="1" outlineLevel="2">
      <c r="A163" s="709"/>
      <c r="B163" s="148" t="s">
        <v>499</v>
      </c>
      <c r="C163" s="99">
        <f>C152</f>
        <v>2E-3</v>
      </c>
      <c r="D163" s="136">
        <f>C163*-SUM(D55:D61)</f>
        <v>-1.17</v>
      </c>
    </row>
    <row r="164" spans="1:4" ht="15.75" hidden="1" outlineLevel="2">
      <c r="A164" s="709"/>
      <c r="B164" s="145" t="s">
        <v>500</v>
      </c>
      <c r="C164" s="97">
        <f>C153</f>
        <v>8.0000000000000004E-4</v>
      </c>
      <c r="D164" s="150">
        <f>C164*-D142</f>
        <v>-0.65</v>
      </c>
    </row>
    <row r="165" spans="1:4" ht="15.75" hidden="1" outlineLevel="1">
      <c r="A165" s="663" t="s">
        <v>501</v>
      </c>
      <c r="B165" s="664"/>
      <c r="C165" s="33">
        <f>D165/D140</f>
        <v>-9.9000000000000008E-3</v>
      </c>
      <c r="D165" s="119">
        <f>SUM(D157:D164)</f>
        <v>-18.21</v>
      </c>
    </row>
    <row r="166" spans="1:4" ht="15.75" hidden="1" outlineLevel="1">
      <c r="A166" s="697"/>
      <c r="B166" s="698"/>
      <c r="C166" s="698"/>
      <c r="D166" s="699"/>
    </row>
    <row r="167" spans="1:4" ht="15.75" hidden="1" outlineLevel="1">
      <c r="A167" s="663" t="s">
        <v>502</v>
      </c>
      <c r="B167" s="664"/>
      <c r="C167" s="33">
        <f>D167/D140</f>
        <v>5.9499999999999997E-2</v>
      </c>
      <c r="D167" s="119">
        <f>D154+D165</f>
        <v>109.42</v>
      </c>
    </row>
    <row r="168" spans="1:4" ht="15.75" hidden="1" outlineLevel="1">
      <c r="A168" s="697"/>
      <c r="B168" s="698"/>
      <c r="C168" s="698"/>
      <c r="D168" s="699"/>
    </row>
    <row r="169" spans="1:4" ht="15.75" hidden="1" outlineLevel="1">
      <c r="A169" s="701" t="s">
        <v>503</v>
      </c>
      <c r="B169" s="702"/>
      <c r="C169" s="113" t="s">
        <v>383</v>
      </c>
      <c r="D169" s="113" t="s">
        <v>352</v>
      </c>
    </row>
    <row r="170" spans="1:4" ht="15.75" hidden="1" outlineLevel="1">
      <c r="A170" s="114" t="s">
        <v>461</v>
      </c>
      <c r="B170" s="34" t="s">
        <v>462</v>
      </c>
      <c r="C170" s="37"/>
      <c r="D170" s="153">
        <f>D138</f>
        <v>237.68</v>
      </c>
    </row>
    <row r="171" spans="1:4" ht="15.75" hidden="1" outlineLevel="1">
      <c r="A171" s="114" t="s">
        <v>482</v>
      </c>
      <c r="B171" s="34" t="s">
        <v>483</v>
      </c>
      <c r="C171" s="37"/>
      <c r="D171" s="153">
        <f>D167</f>
        <v>109.42</v>
      </c>
    </row>
    <row r="172" spans="1:4" ht="15.75" collapsed="1">
      <c r="A172" s="663" t="s">
        <v>176</v>
      </c>
      <c r="B172" s="700"/>
      <c r="C172" s="664"/>
      <c r="D172" s="122">
        <f>SUM(D170:D171)</f>
        <v>347.1</v>
      </c>
    </row>
    <row r="173" spans="1:4" ht="15.75">
      <c r="A173" s="697"/>
      <c r="B173" s="698"/>
      <c r="C173" s="698"/>
      <c r="D173" s="699"/>
    </row>
    <row r="174" spans="1:4" ht="15.75">
      <c r="A174" s="668" t="s">
        <v>504</v>
      </c>
      <c r="B174" s="669"/>
      <c r="C174" s="669"/>
      <c r="D174" s="670"/>
    </row>
    <row r="175" spans="1:4" ht="15.75" hidden="1" outlineLevel="1">
      <c r="A175" s="697"/>
      <c r="B175" s="698"/>
      <c r="C175" s="698"/>
      <c r="D175" s="699"/>
    </row>
    <row r="176" spans="1:4" ht="15.75" hidden="1" outlineLevel="1">
      <c r="A176" s="66">
        <v>5</v>
      </c>
      <c r="B176" s="663" t="s">
        <v>505</v>
      </c>
      <c r="C176" s="664"/>
      <c r="D176" s="113" t="s">
        <v>352</v>
      </c>
    </row>
    <row r="177" spans="1:4" ht="15.75" hidden="1" outlineLevel="1">
      <c r="A177" s="114" t="s">
        <v>353</v>
      </c>
      <c r="B177" s="717" t="s">
        <v>506</v>
      </c>
      <c r="C177" s="718"/>
      <c r="D177" s="136">
        <f>INSUMOS!H14</f>
        <v>25.55</v>
      </c>
    </row>
    <row r="178" spans="1:4" ht="15.75" hidden="1" outlineLevel="1">
      <c r="A178" s="114" t="s">
        <v>322</v>
      </c>
      <c r="B178" s="717" t="s">
        <v>541</v>
      </c>
      <c r="C178" s="718"/>
      <c r="D178" s="154">
        <f>INSUMOS!H40</f>
        <v>38.97</v>
      </c>
    </row>
    <row r="179" spans="1:4" ht="15.75" hidden="1" outlineLevel="1">
      <c r="A179" s="114" t="s">
        <v>325</v>
      </c>
      <c r="B179" s="649" t="s">
        <v>508</v>
      </c>
      <c r="C179" s="650"/>
      <c r="D179" s="154">
        <f>MATERIAIS!Q109</f>
        <v>2010.53</v>
      </c>
    </row>
    <row r="180" spans="1:4" ht="15.75" hidden="1" outlineLevel="1">
      <c r="A180" s="114" t="s">
        <v>328</v>
      </c>
      <c r="B180" s="649" t="s">
        <v>509</v>
      </c>
      <c r="C180" s="650"/>
      <c r="D180" s="154">
        <f>EQUIPAMENTOS!R111</f>
        <v>53.88</v>
      </c>
    </row>
    <row r="181" spans="1:4" ht="15.75" hidden="1" outlineLevel="1">
      <c r="A181" s="114" t="s">
        <v>331</v>
      </c>
      <c r="B181" s="651" t="s">
        <v>372</v>
      </c>
      <c r="C181" s="652"/>
      <c r="D181" s="133">
        <v>0</v>
      </c>
    </row>
    <row r="182" spans="1:4" ht="15.75" collapsed="1">
      <c r="A182" s="663" t="s">
        <v>176</v>
      </c>
      <c r="B182" s="700"/>
      <c r="C182" s="664"/>
      <c r="D182" s="119">
        <f>SUM(D177:D181)</f>
        <v>2128.9299999999998</v>
      </c>
    </row>
    <row r="183" spans="1:4" ht="15.75">
      <c r="A183" s="665"/>
      <c r="B183" s="666"/>
      <c r="C183" s="666"/>
      <c r="D183" s="667"/>
    </row>
    <row r="184" spans="1:4" ht="15.75">
      <c r="A184" s="723" t="s">
        <v>510</v>
      </c>
      <c r="B184" s="723"/>
      <c r="C184" s="723"/>
      <c r="D184" s="155">
        <f>D39+D83+D126+D172+D182</f>
        <v>5846.09</v>
      </c>
    </row>
    <row r="185" spans="1:4" ht="15.75">
      <c r="A185" s="679"/>
      <c r="B185" s="679"/>
      <c r="C185" s="679"/>
      <c r="D185" s="679"/>
    </row>
    <row r="186" spans="1:4" ht="15.75">
      <c r="A186" s="724" t="s">
        <v>511</v>
      </c>
      <c r="B186" s="724"/>
      <c r="C186" s="724"/>
      <c r="D186" s="724"/>
    </row>
    <row r="187" spans="1:4" ht="15.75" hidden="1" outlineLevel="1">
      <c r="A187" s="725"/>
      <c r="B187" s="726"/>
      <c r="C187" s="726"/>
      <c r="D187" s="727"/>
    </row>
    <row r="188" spans="1:4" ht="15.75" hidden="1" outlineLevel="1">
      <c r="A188" s="66">
        <v>6</v>
      </c>
      <c r="B188" s="120" t="s">
        <v>512</v>
      </c>
      <c r="C188" s="113" t="s">
        <v>383</v>
      </c>
      <c r="D188" s="113" t="s">
        <v>352</v>
      </c>
    </row>
    <row r="189" spans="1:4" ht="15.75" hidden="1" outlineLevel="1">
      <c r="A189" s="114" t="s">
        <v>353</v>
      </c>
      <c r="B189" s="34" t="s">
        <v>513</v>
      </c>
      <c r="C189" s="72">
        <f>'SR - ASG'!C189</f>
        <v>2.6499999999999999E-2</v>
      </c>
      <c r="D189" s="108">
        <f>C189*D184</f>
        <v>154.91999999999999</v>
      </c>
    </row>
    <row r="190" spans="1:4" ht="15.75" hidden="1" outlineLevel="1">
      <c r="A190" s="719" t="s">
        <v>514</v>
      </c>
      <c r="B190" s="720"/>
      <c r="C190" s="722"/>
      <c r="D190" s="108">
        <f>D184+D189</f>
        <v>6001.01</v>
      </c>
    </row>
    <row r="191" spans="1:4" ht="15.75" hidden="1" outlineLevel="1">
      <c r="A191" s="114" t="s">
        <v>322</v>
      </c>
      <c r="B191" s="34" t="s">
        <v>515</v>
      </c>
      <c r="C191" s="72">
        <f>'SR - ASG'!C191</f>
        <v>0.1087</v>
      </c>
      <c r="D191" s="108">
        <f>C191*D190</f>
        <v>652.30999999999995</v>
      </c>
    </row>
    <row r="192" spans="1:4" ht="15.75" hidden="1" outlineLevel="1">
      <c r="A192" s="719" t="s">
        <v>514</v>
      </c>
      <c r="B192" s="720"/>
      <c r="C192" s="720"/>
      <c r="D192" s="108">
        <f>D191+D190</f>
        <v>6653.32</v>
      </c>
    </row>
    <row r="193" spans="1:4" ht="15.75" hidden="1" outlineLevel="1">
      <c r="A193" s="114" t="s">
        <v>325</v>
      </c>
      <c r="B193" s="649" t="s">
        <v>516</v>
      </c>
      <c r="C193" s="721"/>
      <c r="D193" s="650"/>
    </row>
    <row r="194" spans="1:4" ht="15.75" hidden="1" outlineLevel="1">
      <c r="A194" s="156"/>
      <c r="B194" s="65" t="s">
        <v>517</v>
      </c>
      <c r="C194" s="72">
        <v>6.4999999999999997E-3</v>
      </c>
      <c r="D194" s="108">
        <f>(D192/(1-C197)*C194)</f>
        <v>46.33</v>
      </c>
    </row>
    <row r="195" spans="1:4" ht="15.75" hidden="1" outlineLevel="1">
      <c r="A195" s="156"/>
      <c r="B195" s="65" t="s">
        <v>518</v>
      </c>
      <c r="C195" s="72">
        <v>0.03</v>
      </c>
      <c r="D195" s="108">
        <f>(D192/(1-C197)*C195)</f>
        <v>213.82</v>
      </c>
    </row>
    <row r="196" spans="1:4" ht="15.75" hidden="1" outlineLevel="1">
      <c r="A196" s="156"/>
      <c r="B196" s="65" t="s">
        <v>570</v>
      </c>
      <c r="C196" s="54">
        <v>0.03</v>
      </c>
      <c r="D196" s="108">
        <f>(D192/(1-C197)*C196)</f>
        <v>213.82</v>
      </c>
    </row>
    <row r="197" spans="1:4" ht="15.75" hidden="1" outlineLevel="1">
      <c r="A197" s="719" t="s">
        <v>520</v>
      </c>
      <c r="B197" s="722"/>
      <c r="C197" s="55">
        <f>SUM(C194:C196)</f>
        <v>6.6500000000000004E-2</v>
      </c>
      <c r="D197" s="108">
        <f>SUM(D194:D196)</f>
        <v>473.97</v>
      </c>
    </row>
    <row r="198" spans="1:4" ht="15.75" collapsed="1">
      <c r="A198" s="663" t="s">
        <v>176</v>
      </c>
      <c r="B198" s="664"/>
      <c r="C198" s="56">
        <f>(1+C189)*(1+C191)*(1/(1-C197))-1</f>
        <v>0.21920000000000001</v>
      </c>
      <c r="D198" s="111">
        <f>SUM(D197+D189+D191)</f>
        <v>1281.2</v>
      </c>
    </row>
    <row r="199" spans="1:4" ht="15.75">
      <c r="A199" s="665"/>
      <c r="B199" s="666"/>
      <c r="C199" s="666"/>
      <c r="D199" s="667"/>
    </row>
    <row r="200" spans="1:4" ht="15.75">
      <c r="A200" s="676" t="s">
        <v>521</v>
      </c>
      <c r="B200" s="678"/>
      <c r="C200" s="677"/>
      <c r="D200" s="57" t="s">
        <v>352</v>
      </c>
    </row>
    <row r="201" spans="1:4" ht="15.75">
      <c r="A201" s="661" t="s">
        <v>522</v>
      </c>
      <c r="B201" s="728"/>
      <c r="C201" s="728"/>
      <c r="D201" s="662"/>
    </row>
    <row r="202" spans="1:4" ht="15.75">
      <c r="A202" s="67" t="s">
        <v>353</v>
      </c>
      <c r="B202" s="661" t="s">
        <v>523</v>
      </c>
      <c r="C202" s="662"/>
      <c r="D202" s="107">
        <f>D39</f>
        <v>1839.73</v>
      </c>
    </row>
    <row r="203" spans="1:4" ht="15.75">
      <c r="A203" s="67" t="s">
        <v>322</v>
      </c>
      <c r="B203" s="661" t="s">
        <v>524</v>
      </c>
      <c r="C203" s="662"/>
      <c r="D203" s="107">
        <f>D83</f>
        <v>1379.27</v>
      </c>
    </row>
    <row r="204" spans="1:4" ht="15.75">
      <c r="A204" s="67" t="s">
        <v>325</v>
      </c>
      <c r="B204" s="661" t="s">
        <v>525</v>
      </c>
      <c r="C204" s="662"/>
      <c r="D204" s="107">
        <f>D126</f>
        <v>151.06</v>
      </c>
    </row>
    <row r="205" spans="1:4" ht="15.75">
      <c r="A205" s="67" t="s">
        <v>328</v>
      </c>
      <c r="B205" s="661" t="s">
        <v>526</v>
      </c>
      <c r="C205" s="662"/>
      <c r="D205" s="107">
        <f>D172</f>
        <v>347.1</v>
      </c>
    </row>
    <row r="206" spans="1:4" ht="15.75">
      <c r="A206" s="67" t="s">
        <v>331</v>
      </c>
      <c r="B206" s="661" t="s">
        <v>527</v>
      </c>
      <c r="C206" s="662"/>
      <c r="D206" s="107">
        <f>D182</f>
        <v>2128.9299999999998</v>
      </c>
    </row>
    <row r="207" spans="1:4" ht="15.75">
      <c r="A207" s="738" t="s">
        <v>528</v>
      </c>
      <c r="B207" s="739"/>
      <c r="C207" s="740"/>
      <c r="D207" s="107">
        <f>SUM(D202:D206)</f>
        <v>5846.09</v>
      </c>
    </row>
    <row r="208" spans="1:4" ht="15.75">
      <c r="A208" s="67" t="s">
        <v>529</v>
      </c>
      <c r="B208" s="661" t="s">
        <v>530</v>
      </c>
      <c r="C208" s="662"/>
      <c r="D208" s="107">
        <f>D198</f>
        <v>1281.2</v>
      </c>
    </row>
    <row r="209" spans="1:4" ht="15.75">
      <c r="A209" s="676" t="s">
        <v>531</v>
      </c>
      <c r="B209" s="678"/>
      <c r="C209" s="677"/>
      <c r="D209" s="157">
        <f xml:space="preserve"> D207+D208</f>
        <v>7127.29</v>
      </c>
    </row>
    <row r="210" spans="1:4" ht="15.75">
      <c r="A210" s="27"/>
      <c r="B210" s="27"/>
      <c r="C210" s="27"/>
      <c r="D210" s="27"/>
    </row>
    <row r="211" spans="1:4" ht="15.75" thickBot="1">
      <c r="A211" s="20"/>
      <c r="B211" s="20"/>
      <c r="C211" s="20"/>
      <c r="D211" s="20"/>
    </row>
    <row r="212" spans="1:4" ht="15.75">
      <c r="A212" s="646" t="s">
        <v>532</v>
      </c>
      <c r="B212" s="647"/>
      <c r="C212" s="647"/>
      <c r="D212" s="648"/>
    </row>
    <row r="213" spans="1:4" ht="31.5">
      <c r="A213" s="175" t="s">
        <v>533</v>
      </c>
      <c r="B213" s="176" t="s">
        <v>534</v>
      </c>
      <c r="C213" s="177" t="s">
        <v>535</v>
      </c>
      <c r="D213" s="178" t="s">
        <v>536</v>
      </c>
    </row>
    <row r="214" spans="1:4" ht="16.5" thickBot="1">
      <c r="A214" s="179">
        <v>2</v>
      </c>
      <c r="B214" s="182">
        <f>1/(C11/A214)</f>
        <v>1.7092848352E-3</v>
      </c>
      <c r="C214" s="180">
        <f>D209</f>
        <v>7127.29</v>
      </c>
      <c r="D214" s="184">
        <f>C214*B214</f>
        <v>12.182568713</v>
      </c>
    </row>
  </sheetData>
  <mergeCells count="107">
    <mergeCell ref="A207:C207"/>
    <mergeCell ref="B208:C208"/>
    <mergeCell ref="A209:C209"/>
    <mergeCell ref="A201:D201"/>
    <mergeCell ref="B202:C202"/>
    <mergeCell ref="B203:C203"/>
    <mergeCell ref="B204:C204"/>
    <mergeCell ref="B205:C205"/>
    <mergeCell ref="B206:C206"/>
    <mergeCell ref="A192:C192"/>
    <mergeCell ref="B193:D193"/>
    <mergeCell ref="A197:B197"/>
    <mergeCell ref="A198:B198"/>
    <mergeCell ref="A199:D199"/>
    <mergeCell ref="A200:C200"/>
    <mergeCell ref="A183:D183"/>
    <mergeCell ref="A184:C184"/>
    <mergeCell ref="A185:D185"/>
    <mergeCell ref="A186:D186"/>
    <mergeCell ref="A187:D187"/>
    <mergeCell ref="A190:C190"/>
    <mergeCell ref="B176:C176"/>
    <mergeCell ref="B177:C177"/>
    <mergeCell ref="B178:C178"/>
    <mergeCell ref="B179:C179"/>
    <mergeCell ref="B181:C181"/>
    <mergeCell ref="A182:C182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212:D212"/>
    <mergeCell ref="B180:C180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</mergeCells>
  <pageMargins left="0.51181102362204722" right="0.51181102362204722" top="0.78740157480314965" bottom="0.78740157480314965" header="0.31496062992125984" footer="0.31496062992125984"/>
  <pageSetup paperSize="9" scale="65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7C89D-7CAE-4888-88B0-B565184028D7}">
  <sheetPr codeName="Planilha20">
    <pageSetUpPr fitToPage="1"/>
  </sheetPr>
  <dimension ref="A1:D214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>
      <c r="A1" s="680" t="s">
        <v>313</v>
      </c>
      <c r="B1" s="680"/>
      <c r="C1" s="680"/>
      <c r="D1" s="680"/>
    </row>
    <row r="2" spans="1:4" ht="15.75">
      <c r="A2" s="681" t="s">
        <v>314</v>
      </c>
      <c r="B2" s="681"/>
      <c r="C2" s="682" t="s">
        <v>315</v>
      </c>
      <c r="D2" s="683"/>
    </row>
    <row r="3" spans="1:4" ht="15.75">
      <c r="A3" s="681" t="s">
        <v>316</v>
      </c>
      <c r="B3" s="681"/>
      <c r="C3" s="682" t="s">
        <v>317</v>
      </c>
      <c r="D3" s="683"/>
    </row>
    <row r="4" spans="1:4" ht="15.75">
      <c r="A4" s="653"/>
      <c r="B4" s="653"/>
      <c r="C4" s="653"/>
      <c r="D4" s="653"/>
    </row>
    <row r="5" spans="1:4" ht="15.75">
      <c r="A5" s="653" t="s">
        <v>318</v>
      </c>
      <c r="B5" s="653"/>
      <c r="C5" s="653"/>
      <c r="D5" s="653"/>
    </row>
    <row r="6" spans="1:4" ht="15.75">
      <c r="A6" s="67" t="s">
        <v>319</v>
      </c>
      <c r="B6" s="65" t="s">
        <v>320</v>
      </c>
      <c r="C6" s="654" t="s">
        <v>321</v>
      </c>
      <c r="D6" s="655"/>
    </row>
    <row r="7" spans="1:4" ht="15.75">
      <c r="A7" s="67" t="s">
        <v>322</v>
      </c>
      <c r="B7" s="65" t="s">
        <v>323</v>
      </c>
      <c r="C7" s="656" t="s">
        <v>571</v>
      </c>
      <c r="D7" s="656"/>
    </row>
    <row r="8" spans="1:4" ht="15.75">
      <c r="A8" s="28" t="s">
        <v>325</v>
      </c>
      <c r="B8" s="29" t="s">
        <v>326</v>
      </c>
      <c r="C8" s="736" t="s">
        <v>327</v>
      </c>
      <c r="D8" s="737"/>
    </row>
    <row r="9" spans="1:4" ht="15.75">
      <c r="A9" s="67" t="s">
        <v>328</v>
      </c>
      <c r="B9" s="65" t="s">
        <v>329</v>
      </c>
      <c r="C9" s="659" t="s">
        <v>330</v>
      </c>
      <c r="D9" s="660"/>
    </row>
    <row r="10" spans="1:4" ht="15.75">
      <c r="A10" s="67" t="s">
        <v>331</v>
      </c>
      <c r="B10" s="65" t="s">
        <v>332</v>
      </c>
      <c r="C10" s="659" t="s">
        <v>333</v>
      </c>
      <c r="D10" s="660"/>
    </row>
    <row r="11" spans="1:4" ht="15.75">
      <c r="A11" s="67" t="s">
        <v>334</v>
      </c>
      <c r="B11" s="65" t="s">
        <v>335</v>
      </c>
      <c r="C11" s="686">
        <f>Resumo!F17</f>
        <v>2340</v>
      </c>
      <c r="D11" s="687"/>
    </row>
    <row r="12" spans="1:4" ht="15.75">
      <c r="A12" s="67" t="s">
        <v>394</v>
      </c>
      <c r="B12" s="65" t="s">
        <v>337</v>
      </c>
      <c r="C12" s="688">
        <f>Resumo!I5</f>
        <v>20</v>
      </c>
      <c r="D12" s="675"/>
    </row>
    <row r="13" spans="1:4" ht="15.75">
      <c r="A13" s="689"/>
      <c r="B13" s="690"/>
      <c r="C13" s="690"/>
      <c r="D13" s="690"/>
    </row>
    <row r="14" spans="1:4" ht="15.75">
      <c r="A14" s="691" t="s">
        <v>338</v>
      </c>
      <c r="B14" s="692"/>
      <c r="C14" s="692"/>
      <c r="D14" s="693"/>
    </row>
    <row r="15" spans="1:4" ht="15.75">
      <c r="A15" s="656" t="s">
        <v>339</v>
      </c>
      <c r="B15" s="656"/>
      <c r="C15" s="656"/>
      <c r="D15" s="656"/>
    </row>
    <row r="16" spans="1:4" ht="15.75">
      <c r="A16" s="67">
        <v>1</v>
      </c>
      <c r="B16" s="65" t="s">
        <v>340</v>
      </c>
      <c r="C16" s="659" t="s">
        <v>341</v>
      </c>
      <c r="D16" s="660" t="s">
        <v>62</v>
      </c>
    </row>
    <row r="17" spans="1:4" ht="15.75">
      <c r="A17" s="67">
        <v>2</v>
      </c>
      <c r="B17" s="30" t="s">
        <v>342</v>
      </c>
      <c r="C17" s="684" t="s">
        <v>343</v>
      </c>
      <c r="D17" s="685"/>
    </row>
    <row r="18" spans="1:4" ht="15.75">
      <c r="A18" s="656" t="s">
        <v>344</v>
      </c>
      <c r="B18" s="656"/>
      <c r="C18" s="656"/>
      <c r="D18" s="656"/>
    </row>
    <row r="19" spans="1:4" ht="15.75">
      <c r="A19" s="67">
        <v>3</v>
      </c>
      <c r="B19" s="661" t="s">
        <v>345</v>
      </c>
      <c r="C19" s="662"/>
      <c r="D19" s="106">
        <v>1314.09</v>
      </c>
    </row>
    <row r="20" spans="1:4" ht="15.75">
      <c r="A20" s="67">
        <v>4</v>
      </c>
      <c r="B20" s="661" t="s">
        <v>346</v>
      </c>
      <c r="C20" s="662"/>
      <c r="D20" s="158">
        <v>220</v>
      </c>
    </row>
    <row r="21" spans="1:4" ht="15.75">
      <c r="A21" s="67">
        <v>5</v>
      </c>
      <c r="B21" s="661" t="s">
        <v>347</v>
      </c>
      <c r="C21" s="662"/>
      <c r="D21" s="75" t="s">
        <v>348</v>
      </c>
    </row>
    <row r="22" spans="1:4" ht="15.75">
      <c r="A22" s="67">
        <v>6</v>
      </c>
      <c r="B22" s="661" t="s">
        <v>349</v>
      </c>
      <c r="C22" s="662"/>
      <c r="D22" s="76">
        <v>44562</v>
      </c>
    </row>
    <row r="23" spans="1:4" ht="15.75">
      <c r="A23" s="659"/>
      <c r="B23" s="671"/>
      <c r="C23" s="671"/>
      <c r="D23" s="660"/>
    </row>
    <row r="24" spans="1:4" ht="15.75">
      <c r="A24" s="672" t="s">
        <v>350</v>
      </c>
      <c r="B24" s="672"/>
      <c r="C24" s="672"/>
      <c r="D24" s="672"/>
    </row>
    <row r="25" spans="1:4" ht="15.75">
      <c r="A25" s="673"/>
      <c r="B25" s="674"/>
      <c r="C25" s="674"/>
      <c r="D25" s="675"/>
    </row>
    <row r="26" spans="1:4" ht="15.75">
      <c r="A26" s="66">
        <v>1</v>
      </c>
      <c r="B26" s="676" t="s">
        <v>351</v>
      </c>
      <c r="C26" s="677"/>
      <c r="D26" s="66" t="s">
        <v>352</v>
      </c>
    </row>
    <row r="27" spans="1:4" ht="15.75" hidden="1" outlineLevel="1">
      <c r="A27" s="67" t="s">
        <v>353</v>
      </c>
      <c r="B27" s="65" t="s">
        <v>354</v>
      </c>
      <c r="C27" s="73">
        <v>220</v>
      </c>
      <c r="D27" s="107">
        <f>D19/220*C27</f>
        <v>1314.09</v>
      </c>
    </row>
    <row r="28" spans="1:4" ht="15.75" hidden="1" outlineLevel="1">
      <c r="A28" s="67" t="s">
        <v>322</v>
      </c>
      <c r="B28" s="65" t="s">
        <v>355</v>
      </c>
      <c r="C28" s="31">
        <v>0</v>
      </c>
      <c r="D28" s="107">
        <f>C28*D27</f>
        <v>0</v>
      </c>
    </row>
    <row r="29" spans="1:4" ht="15.75" hidden="1" outlineLevel="1">
      <c r="A29" s="67" t="s">
        <v>325</v>
      </c>
      <c r="B29" s="65" t="s">
        <v>356</v>
      </c>
      <c r="C29" s="31">
        <v>0.4</v>
      </c>
      <c r="D29" s="107">
        <f>C29*D27</f>
        <v>525.64</v>
      </c>
    </row>
    <row r="30" spans="1:4" ht="15.75" hidden="1" outlineLevel="1">
      <c r="A30" s="67" t="s">
        <v>328</v>
      </c>
      <c r="B30" s="65" t="s">
        <v>357</v>
      </c>
      <c r="C30" s="159">
        <v>0</v>
      </c>
      <c r="D30" s="108">
        <f>SUM(D31:D32)</f>
        <v>0</v>
      </c>
    </row>
    <row r="31" spans="1:4" ht="15.75" hidden="1" outlineLevel="2">
      <c r="A31" s="80" t="s">
        <v>358</v>
      </c>
      <c r="B31" s="65" t="s">
        <v>359</v>
      </c>
      <c r="C31" s="81">
        <v>0.2</v>
      </c>
      <c r="D31" s="108">
        <f>(SUM(D27:D29)/C27)*C31*15*C30</f>
        <v>0</v>
      </c>
    </row>
    <row r="32" spans="1:4" ht="15.75" hidden="1" outlineLevel="2">
      <c r="A32" s="80" t="s">
        <v>360</v>
      </c>
      <c r="B32" s="65" t="s">
        <v>361</v>
      </c>
      <c r="C32" s="82">
        <f>C30*(60/52.5)/8</f>
        <v>0</v>
      </c>
      <c r="D32" s="108">
        <f>(SUM(D27:D29)/C27)*(C31)*15*C32</f>
        <v>0</v>
      </c>
    </row>
    <row r="33" spans="1:4" ht="15.75" hidden="1" outlineLevel="1">
      <c r="A33" s="67" t="s">
        <v>331</v>
      </c>
      <c r="B33" s="65" t="s">
        <v>362</v>
      </c>
      <c r="C33" s="31" t="s">
        <v>363</v>
      </c>
      <c r="D33" s="1">
        <f>SUM(D34:D37)</f>
        <v>0</v>
      </c>
    </row>
    <row r="34" spans="1:4" ht="15.75" hidden="1" outlineLevel="2">
      <c r="A34" s="83" t="s">
        <v>364</v>
      </c>
      <c r="B34" s="84" t="s">
        <v>365</v>
      </c>
      <c r="C34" s="85">
        <v>0</v>
      </c>
      <c r="D34" s="109">
        <f>(SUM($D$27:$D$29)/$C$27)*C34*1.5</f>
        <v>0</v>
      </c>
    </row>
    <row r="35" spans="1:4" ht="15.75" hidden="1" outlineLevel="2">
      <c r="A35" s="83" t="s">
        <v>366</v>
      </c>
      <c r="B35" s="86" t="s">
        <v>367</v>
      </c>
      <c r="C35" s="87">
        <v>0</v>
      </c>
      <c r="D35" s="109">
        <f>(SUM($D$27:$D$29)/$C$27)*C35*((60/52.5)*1.2*1.5)</f>
        <v>0</v>
      </c>
    </row>
    <row r="36" spans="1:4" ht="15.75" hidden="1" outlineLevel="2">
      <c r="A36" s="83" t="s">
        <v>368</v>
      </c>
      <c r="B36" s="84" t="s">
        <v>369</v>
      </c>
      <c r="C36" s="88">
        <f>C34*0.1429</f>
        <v>0</v>
      </c>
      <c r="D36" s="109">
        <f>(SUM($D$27:$D$29)/$C$27)*C36*2</f>
        <v>0</v>
      </c>
    </row>
    <row r="37" spans="1:4" ht="15.75" hidden="1" outlineLevel="2">
      <c r="A37" s="83" t="s">
        <v>370</v>
      </c>
      <c r="B37" s="84" t="s">
        <v>371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>
      <c r="A38" s="67" t="s">
        <v>334</v>
      </c>
      <c r="B38" s="58" t="s">
        <v>372</v>
      </c>
      <c r="C38" s="59">
        <v>0</v>
      </c>
      <c r="D38" s="110">
        <v>0</v>
      </c>
    </row>
    <row r="39" spans="1:4" ht="15.75" collapsed="1">
      <c r="A39" s="676" t="s">
        <v>373</v>
      </c>
      <c r="B39" s="678"/>
      <c r="C39" s="677"/>
      <c r="D39" s="111">
        <f>SUM(D27:D30,D33,D38)</f>
        <v>1839.73</v>
      </c>
    </row>
    <row r="40" spans="1:4" ht="15.75">
      <c r="A40" s="679"/>
      <c r="B40" s="679"/>
      <c r="C40" s="679"/>
      <c r="D40" s="679"/>
    </row>
    <row r="41" spans="1:4" ht="15.75" hidden="1" outlineLevel="1">
      <c r="A41" s="89" t="s">
        <v>374</v>
      </c>
      <c r="B41" s="112" t="s">
        <v>375</v>
      </c>
      <c r="C41" s="113" t="s">
        <v>376</v>
      </c>
      <c r="D41" s="113" t="s">
        <v>352</v>
      </c>
    </row>
    <row r="42" spans="1:4" ht="15.75" hidden="1" outlineLevel="1">
      <c r="A42" s="114" t="s">
        <v>353</v>
      </c>
      <c r="B42" s="30" t="s">
        <v>377</v>
      </c>
      <c r="C42" s="90">
        <v>0</v>
      </c>
      <c r="D42" s="115">
        <f>(SUM(D27)/$C$27)*C42*1.5</f>
        <v>0</v>
      </c>
    </row>
    <row r="43" spans="1:4" ht="15.75" hidden="1" outlineLevel="1">
      <c r="A43" s="116" t="s">
        <v>325</v>
      </c>
      <c r="B43" s="117" t="s">
        <v>378</v>
      </c>
      <c r="C43" s="118">
        <v>0</v>
      </c>
      <c r="D43" s="107">
        <f>C43*177</f>
        <v>0</v>
      </c>
    </row>
    <row r="44" spans="1:4" ht="15.75" hidden="1" outlineLevel="1">
      <c r="A44" s="67" t="s">
        <v>328</v>
      </c>
      <c r="B44" s="58" t="s">
        <v>372</v>
      </c>
      <c r="C44" s="59">
        <v>0</v>
      </c>
      <c r="D44" s="110">
        <v>0</v>
      </c>
    </row>
    <row r="45" spans="1:4" ht="15.75" collapsed="1">
      <c r="A45" s="663" t="s">
        <v>379</v>
      </c>
      <c r="B45" s="664"/>
      <c r="C45" s="33">
        <f>D45/D39</f>
        <v>0</v>
      </c>
      <c r="D45" s="119">
        <f>SUM(D42:D43)</f>
        <v>0</v>
      </c>
    </row>
    <row r="46" spans="1:4" ht="15.75">
      <c r="A46" s="665"/>
      <c r="B46" s="666"/>
      <c r="C46" s="666"/>
      <c r="D46" s="667"/>
    </row>
    <row r="47" spans="1:4" ht="15.75">
      <c r="A47" s="668" t="s">
        <v>380</v>
      </c>
      <c r="B47" s="669"/>
      <c r="C47" s="669"/>
      <c r="D47" s="670"/>
    </row>
    <row r="48" spans="1:4" ht="15.75" hidden="1" outlineLevel="1">
      <c r="A48" s="665"/>
      <c r="B48" s="666"/>
      <c r="C48" s="666"/>
      <c r="D48" s="667"/>
    </row>
    <row r="49" spans="1:4" ht="15.75" hidden="1" outlineLevel="1">
      <c r="A49" s="113" t="s">
        <v>381</v>
      </c>
      <c r="B49" s="112" t="s">
        <v>382</v>
      </c>
      <c r="C49" s="113" t="s">
        <v>383</v>
      </c>
      <c r="D49" s="113" t="s">
        <v>352</v>
      </c>
    </row>
    <row r="50" spans="1:4" ht="15.75" hidden="1" outlineLevel="2">
      <c r="A50" s="116" t="s">
        <v>353</v>
      </c>
      <c r="B50" s="117" t="s">
        <v>384</v>
      </c>
      <c r="C50" s="32">
        <f>1/12</f>
        <v>8.3299999999999999E-2</v>
      </c>
      <c r="D50" s="107">
        <f>C50*D39</f>
        <v>153.25</v>
      </c>
    </row>
    <row r="51" spans="1:4" ht="15.75" hidden="1" outlineLevel="2">
      <c r="A51" s="116" t="s">
        <v>322</v>
      </c>
      <c r="B51" s="117" t="s">
        <v>385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>
      <c r="A52" s="663" t="s">
        <v>176</v>
      </c>
      <c r="B52" s="664"/>
      <c r="C52" s="33">
        <f>SUM(C50:C51)</f>
        <v>0.1</v>
      </c>
      <c r="D52" s="119">
        <f>SUM(D50:D51)</f>
        <v>183.97</v>
      </c>
    </row>
    <row r="53" spans="1:4" ht="15.75" hidden="1" outlineLevel="1">
      <c r="A53" s="665"/>
      <c r="B53" s="666"/>
      <c r="C53" s="666"/>
      <c r="D53" s="667"/>
    </row>
    <row r="54" spans="1:4" ht="15.75" hidden="1" outlineLevel="1">
      <c r="A54" s="113" t="s">
        <v>386</v>
      </c>
      <c r="B54" s="120" t="s">
        <v>387</v>
      </c>
      <c r="C54" s="113" t="s">
        <v>383</v>
      </c>
      <c r="D54" s="121" t="s">
        <v>352</v>
      </c>
    </row>
    <row r="55" spans="1:4" ht="15.75" hidden="1" outlineLevel="2">
      <c r="A55" s="114" t="s">
        <v>353</v>
      </c>
      <c r="B55" s="34" t="s">
        <v>388</v>
      </c>
      <c r="C55" s="35">
        <v>0.2</v>
      </c>
      <c r="D55" s="107">
        <f t="shared" ref="D55:D62" si="0">C55*($D$39+$D$52)</f>
        <v>404.74</v>
      </c>
    </row>
    <row r="56" spans="1:4" ht="15.75" hidden="1" outlineLevel="2">
      <c r="A56" s="114" t="s">
        <v>322</v>
      </c>
      <c r="B56" s="34" t="s">
        <v>389</v>
      </c>
      <c r="C56" s="35">
        <v>2.5000000000000001E-2</v>
      </c>
      <c r="D56" s="107">
        <f t="shared" si="0"/>
        <v>50.59</v>
      </c>
    </row>
    <row r="57" spans="1:4" ht="15.75" hidden="1" outlineLevel="2">
      <c r="A57" s="114" t="s">
        <v>325</v>
      </c>
      <c r="B57" s="34" t="s">
        <v>390</v>
      </c>
      <c r="C57" s="68">
        <v>0.03</v>
      </c>
      <c r="D57" s="107">
        <f t="shared" si="0"/>
        <v>60.71</v>
      </c>
    </row>
    <row r="58" spans="1:4" ht="15.75" hidden="1" outlineLevel="2">
      <c r="A58" s="114" t="s">
        <v>328</v>
      </c>
      <c r="B58" s="34" t="s">
        <v>391</v>
      </c>
      <c r="C58" s="35">
        <v>1.4999999999999999E-2</v>
      </c>
      <c r="D58" s="107">
        <f t="shared" si="0"/>
        <v>30.36</v>
      </c>
    </row>
    <row r="59" spans="1:4" ht="15.75" hidden="1" outlineLevel="2">
      <c r="A59" s="114" t="s">
        <v>331</v>
      </c>
      <c r="B59" s="34" t="s">
        <v>392</v>
      </c>
      <c r="C59" s="35">
        <v>0.01</v>
      </c>
      <c r="D59" s="107">
        <f t="shared" si="0"/>
        <v>20.239999999999998</v>
      </c>
    </row>
    <row r="60" spans="1:4" ht="15.75" hidden="1" outlineLevel="2">
      <c r="A60" s="114" t="s">
        <v>334</v>
      </c>
      <c r="B60" s="34" t="s">
        <v>393</v>
      </c>
      <c r="C60" s="35">
        <v>6.0000000000000001E-3</v>
      </c>
      <c r="D60" s="107">
        <f t="shared" si="0"/>
        <v>12.14</v>
      </c>
    </row>
    <row r="61" spans="1:4" ht="15.75" hidden="1" outlineLevel="2">
      <c r="A61" s="114" t="s">
        <v>394</v>
      </c>
      <c r="B61" s="34" t="s">
        <v>395</v>
      </c>
      <c r="C61" s="35">
        <v>2E-3</v>
      </c>
      <c r="D61" s="107">
        <f t="shared" si="0"/>
        <v>4.05</v>
      </c>
    </row>
    <row r="62" spans="1:4" ht="15.75" hidden="1" outlineLevel="2">
      <c r="A62" s="114" t="s">
        <v>336</v>
      </c>
      <c r="B62" s="34" t="s">
        <v>396</v>
      </c>
      <c r="C62" s="35">
        <v>0.08</v>
      </c>
      <c r="D62" s="107">
        <f t="shared" si="0"/>
        <v>161.9</v>
      </c>
    </row>
    <row r="63" spans="1:4" ht="15.75" hidden="1" outlineLevel="1">
      <c r="A63" s="663" t="s">
        <v>176</v>
      </c>
      <c r="B63" s="664"/>
      <c r="C63" s="36">
        <f>SUM(C55:C62)</f>
        <v>0.36799999999999999</v>
      </c>
      <c r="D63" s="122">
        <f>SUM(D55:D62)</f>
        <v>744.73</v>
      </c>
    </row>
    <row r="64" spans="1:4" ht="15.75" hidden="1" outlineLevel="1">
      <c r="A64" s="665"/>
      <c r="B64" s="666"/>
      <c r="C64" s="666"/>
      <c r="D64" s="667"/>
    </row>
    <row r="65" spans="1:4" ht="15.75" hidden="1" outlineLevel="1">
      <c r="A65" s="113" t="s">
        <v>397</v>
      </c>
      <c r="B65" s="120" t="s">
        <v>398</v>
      </c>
      <c r="C65" s="113" t="s">
        <v>399</v>
      </c>
      <c r="D65" s="113" t="s">
        <v>352</v>
      </c>
    </row>
    <row r="66" spans="1:4" ht="15.75" hidden="1" outlineLevel="2">
      <c r="A66" s="114" t="s">
        <v>353</v>
      </c>
      <c r="B66" s="34" t="s">
        <v>400</v>
      </c>
      <c r="C66" s="123">
        <v>4.1500000000000004</v>
      </c>
      <c r="D66" s="124">
        <f>IF(D67+D68&gt;0,(D67+D68),0)</f>
        <v>95.45</v>
      </c>
    </row>
    <row r="67" spans="1:4" ht="15.75" hidden="1" outlineLevel="3">
      <c r="A67" s="125" t="s">
        <v>401</v>
      </c>
      <c r="B67" s="34" t="s">
        <v>402</v>
      </c>
      <c r="C67" s="126">
        <v>21</v>
      </c>
      <c r="D67" s="127">
        <f>C66*C67*2</f>
        <v>174.3</v>
      </c>
    </row>
    <row r="68" spans="1:4" ht="15.75" hidden="1" outlineLevel="3">
      <c r="A68" s="125" t="s">
        <v>403</v>
      </c>
      <c r="B68" s="34" t="s">
        <v>404</v>
      </c>
      <c r="C68" s="128">
        <v>0.06</v>
      </c>
      <c r="D68" s="127">
        <f>-D27*C68</f>
        <v>-78.849999999999994</v>
      </c>
    </row>
    <row r="69" spans="1:4" ht="15.75" hidden="1" outlineLevel="2">
      <c r="A69" s="114" t="s">
        <v>322</v>
      </c>
      <c r="B69" s="34" t="s">
        <v>405</v>
      </c>
      <c r="C69" s="129">
        <f>'SR - ASG'!C69</f>
        <v>20.18</v>
      </c>
      <c r="D69" s="124">
        <f>D70+D71</f>
        <v>343.26</v>
      </c>
    </row>
    <row r="70" spans="1:4" ht="15.75" hidden="1" outlineLevel="3">
      <c r="A70" s="125" t="s">
        <v>406</v>
      </c>
      <c r="B70" s="34" t="s">
        <v>407</v>
      </c>
      <c r="C70" s="126">
        <v>21</v>
      </c>
      <c r="D70" s="127">
        <f>C69*C70</f>
        <v>423.78</v>
      </c>
    </row>
    <row r="71" spans="1:4" ht="15.75" hidden="1" outlineLevel="3">
      <c r="A71" s="125" t="s">
        <v>408</v>
      </c>
      <c r="B71" s="34" t="s">
        <v>409</v>
      </c>
      <c r="C71" s="130">
        <v>-0.19</v>
      </c>
      <c r="D71" s="127">
        <f>D70*C71</f>
        <v>-80.52</v>
      </c>
    </row>
    <row r="72" spans="1:4" ht="15.75" hidden="1" outlineLevel="2">
      <c r="A72" s="114" t="s">
        <v>325</v>
      </c>
      <c r="B72" s="77" t="s">
        <v>410</v>
      </c>
      <c r="C72" s="129">
        <v>17.32</v>
      </c>
      <c r="D72" s="132">
        <f>C72</f>
        <v>17.32</v>
      </c>
    </row>
    <row r="73" spans="1:4" ht="15.75" hidden="1" outlineLevel="2">
      <c r="A73" s="114" t="s">
        <v>328</v>
      </c>
      <c r="B73" s="78" t="s">
        <v>411</v>
      </c>
      <c r="C73" s="129">
        <f>140*3</f>
        <v>420</v>
      </c>
      <c r="D73" s="132">
        <f>C73*C152</f>
        <v>0.84</v>
      </c>
    </row>
    <row r="74" spans="1:4" ht="15.75" hidden="1" outlineLevel="2">
      <c r="A74" s="114" t="s">
        <v>331</v>
      </c>
      <c r="B74" s="77" t="s">
        <v>412</v>
      </c>
      <c r="C74" s="129">
        <v>21</v>
      </c>
      <c r="D74" s="132">
        <f>C74</f>
        <v>21</v>
      </c>
    </row>
    <row r="75" spans="1:4" ht="15.75" hidden="1" outlineLevel="2">
      <c r="A75" s="114" t="s">
        <v>334</v>
      </c>
      <c r="B75" s="77" t="s">
        <v>372</v>
      </c>
      <c r="C75" s="131">
        <v>0</v>
      </c>
      <c r="D75" s="132">
        <f>C75*D39</f>
        <v>0</v>
      </c>
    </row>
    <row r="76" spans="1:4" ht="15.75" hidden="1" outlineLevel="2">
      <c r="A76" s="114" t="s">
        <v>394</v>
      </c>
      <c r="B76" s="77" t="s">
        <v>372</v>
      </c>
      <c r="C76" s="129">
        <v>0</v>
      </c>
      <c r="D76" s="133">
        <f>C76</f>
        <v>0</v>
      </c>
    </row>
    <row r="77" spans="1:4" ht="15.75" hidden="1" outlineLevel="1">
      <c r="A77" s="663" t="s">
        <v>413</v>
      </c>
      <c r="B77" s="700"/>
      <c r="C77" s="664"/>
      <c r="D77" s="119">
        <f>SUM(D66,D69,D72:D76)</f>
        <v>477.87</v>
      </c>
    </row>
    <row r="78" spans="1:4" ht="15.75" hidden="1" outlineLevel="1">
      <c r="A78" s="665"/>
      <c r="B78" s="666"/>
      <c r="C78" s="666"/>
      <c r="D78" s="667"/>
    </row>
    <row r="79" spans="1:4" ht="15.75" hidden="1" outlineLevel="1">
      <c r="A79" s="701" t="s">
        <v>414</v>
      </c>
      <c r="B79" s="702"/>
      <c r="C79" s="113" t="s">
        <v>383</v>
      </c>
      <c r="D79" s="113" t="s">
        <v>352</v>
      </c>
    </row>
    <row r="80" spans="1:4" ht="15.75" hidden="1" outlineLevel="1">
      <c r="A80" s="114" t="s">
        <v>415</v>
      </c>
      <c r="B80" s="34" t="s">
        <v>382</v>
      </c>
      <c r="C80" s="37">
        <f>C52</f>
        <v>0.1</v>
      </c>
      <c r="D80" s="107">
        <f>D52</f>
        <v>183.97</v>
      </c>
    </row>
    <row r="81" spans="1:4" ht="15.75" hidden="1" outlineLevel="1">
      <c r="A81" s="114" t="s">
        <v>386</v>
      </c>
      <c r="B81" s="34" t="s">
        <v>387</v>
      </c>
      <c r="C81" s="37">
        <f>C63</f>
        <v>0.36799999999999999</v>
      </c>
      <c r="D81" s="107">
        <f>D63</f>
        <v>744.73</v>
      </c>
    </row>
    <row r="82" spans="1:4" ht="15.75" hidden="1" outlineLevel="1">
      <c r="A82" s="114" t="s">
        <v>416</v>
      </c>
      <c r="B82" s="34" t="s">
        <v>398</v>
      </c>
      <c r="C82" s="37">
        <f>D77/D39</f>
        <v>0.25979999999999998</v>
      </c>
      <c r="D82" s="107">
        <f>D77</f>
        <v>477.87</v>
      </c>
    </row>
    <row r="83" spans="1:4" ht="15.75" collapsed="1">
      <c r="A83" s="663" t="s">
        <v>176</v>
      </c>
      <c r="B83" s="700"/>
      <c r="C83" s="664"/>
      <c r="D83" s="119">
        <f>SUM(D80:D82)</f>
        <v>1406.57</v>
      </c>
    </row>
    <row r="84" spans="1:4" ht="15.75">
      <c r="A84" s="665"/>
      <c r="B84" s="666"/>
      <c r="C84" s="666"/>
      <c r="D84" s="667"/>
    </row>
    <row r="85" spans="1:4" ht="15.75">
      <c r="A85" s="694" t="s">
        <v>417</v>
      </c>
      <c r="B85" s="695"/>
      <c r="C85" s="695"/>
      <c r="D85" s="696"/>
    </row>
    <row r="86" spans="1:4" ht="15.75" hidden="1" outlineLevel="1">
      <c r="A86" s="665"/>
      <c r="B86" s="666"/>
      <c r="C86" s="666"/>
      <c r="D86" s="667"/>
    </row>
    <row r="87" spans="1:4" ht="15.75" hidden="1" outlineLevel="1">
      <c r="A87" s="66" t="s">
        <v>418</v>
      </c>
      <c r="B87" s="112" t="s">
        <v>419</v>
      </c>
      <c r="C87" s="113" t="s">
        <v>383</v>
      </c>
      <c r="D87" s="113" t="s">
        <v>352</v>
      </c>
    </row>
    <row r="88" spans="1:4" ht="15.75" hidden="1" outlineLevel="2">
      <c r="A88" s="38" t="s">
        <v>353</v>
      </c>
      <c r="B88" s="39" t="s">
        <v>420</v>
      </c>
      <c r="C88" s="38" t="s">
        <v>363</v>
      </c>
      <c r="D88" s="134">
        <f>IF(C99&gt;1,SUM(D89:D92)*2,SUM(D89:D92))</f>
        <v>2592.48</v>
      </c>
    </row>
    <row r="89" spans="1:4" ht="15.75" hidden="1" outlineLevel="3">
      <c r="A89" s="40" t="s">
        <v>421</v>
      </c>
      <c r="B89" s="41" t="s">
        <v>422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>
      <c r="A90" s="40" t="s">
        <v>423</v>
      </c>
      <c r="B90" s="41" t="s">
        <v>424</v>
      </c>
      <c r="C90" s="32">
        <f>1/12</f>
        <v>8.3299999999999999E-2</v>
      </c>
      <c r="D90" s="134">
        <f>C90*D89</f>
        <v>168.57</v>
      </c>
    </row>
    <row r="91" spans="1:4" ht="15.75" hidden="1" outlineLevel="3">
      <c r="A91" s="40" t="s">
        <v>425</v>
      </c>
      <c r="B91" s="41" t="s">
        <v>426</v>
      </c>
      <c r="C91" s="32">
        <f>(1/12)+(1/12/3)</f>
        <v>0.1111</v>
      </c>
      <c r="D91" s="135">
        <f>C91*D89</f>
        <v>224.83</v>
      </c>
    </row>
    <row r="92" spans="1:4" ht="15.75" hidden="1" outlineLevel="3">
      <c r="A92" s="40" t="s">
        <v>427</v>
      </c>
      <c r="B92" s="41" t="s">
        <v>428</v>
      </c>
      <c r="C92" s="42">
        <v>0.08</v>
      </c>
      <c r="D92" s="134">
        <f>SUM(D89:D90)*C92</f>
        <v>175.38</v>
      </c>
    </row>
    <row r="93" spans="1:4" ht="15.75" hidden="1" outlineLevel="2">
      <c r="A93" s="38" t="s">
        <v>322</v>
      </c>
      <c r="B93" s="39" t="s">
        <v>429</v>
      </c>
      <c r="C93" s="43">
        <v>0.4</v>
      </c>
      <c r="D93" s="134">
        <f>C93*D94</f>
        <v>1297.1300000000001</v>
      </c>
    </row>
    <row r="94" spans="1:4" ht="15.75" hidden="1" outlineLevel="3">
      <c r="A94" s="38" t="s">
        <v>430</v>
      </c>
      <c r="B94" s="39" t="s">
        <v>431</v>
      </c>
      <c r="C94" s="43">
        <f>C62</f>
        <v>0.08</v>
      </c>
      <c r="D94" s="134">
        <f>C94*D95</f>
        <v>3242.83</v>
      </c>
    </row>
    <row r="95" spans="1:4" ht="15.75" hidden="1" outlineLevel="3">
      <c r="A95" s="38" t="s">
        <v>432</v>
      </c>
      <c r="B95" s="44" t="s">
        <v>433</v>
      </c>
      <c r="C95" s="45" t="s">
        <v>363</v>
      </c>
      <c r="D95" s="135">
        <f>SUM(D96:D98)</f>
        <v>40535.379999999997</v>
      </c>
    </row>
    <row r="96" spans="1:4" ht="15.75" hidden="1" outlineLevel="3">
      <c r="A96" s="40" t="s">
        <v>434</v>
      </c>
      <c r="B96" s="41" t="s">
        <v>435</v>
      </c>
      <c r="C96" s="46">
        <f>C12-C98</f>
        <v>19</v>
      </c>
      <c r="D96" s="134">
        <f>D39*C96</f>
        <v>34954.870000000003</v>
      </c>
    </row>
    <row r="97" spans="1:4" ht="15.75" hidden="1" outlineLevel="3">
      <c r="A97" s="40" t="s">
        <v>436</v>
      </c>
      <c r="B97" s="41" t="s">
        <v>437</v>
      </c>
      <c r="C97" s="47">
        <f>C12/12</f>
        <v>1.7</v>
      </c>
      <c r="D97" s="134">
        <f>D39*C97</f>
        <v>3127.54</v>
      </c>
    </row>
    <row r="98" spans="1:4" ht="15.75" hidden="1" outlineLevel="3">
      <c r="A98" s="40" t="s">
        <v>438</v>
      </c>
      <c r="B98" s="41" t="s">
        <v>439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>
      <c r="A99" s="663" t="s">
        <v>176</v>
      </c>
      <c r="B99" s="664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>
      <c r="A100" s="697"/>
      <c r="B100" s="698"/>
      <c r="C100" s="698"/>
      <c r="D100" s="699"/>
    </row>
    <row r="101" spans="1:4" ht="15.75" hidden="1" outlineLevel="1">
      <c r="A101" s="66" t="s">
        <v>440</v>
      </c>
      <c r="B101" s="112" t="s">
        <v>441</v>
      </c>
      <c r="C101" s="113" t="s">
        <v>383</v>
      </c>
      <c r="D101" s="113" t="s">
        <v>352</v>
      </c>
    </row>
    <row r="102" spans="1:4" ht="15.75" hidden="1" outlineLevel="2">
      <c r="A102" s="38" t="s">
        <v>353</v>
      </c>
      <c r="B102" s="44" t="s">
        <v>442</v>
      </c>
      <c r="C102" s="48">
        <f>IF(C111&gt;1,(1/30*7)*2,(1/30*7))</f>
        <v>0.23330000000000001</v>
      </c>
      <c r="D102" s="135">
        <f>C102*SUM(D103:D107)</f>
        <v>795.24</v>
      </c>
    </row>
    <row r="103" spans="1:4" ht="15.75" hidden="1" outlineLevel="3">
      <c r="A103" s="40" t="s">
        <v>421</v>
      </c>
      <c r="B103" s="41" t="s">
        <v>443</v>
      </c>
      <c r="C103" s="38">
        <v>1</v>
      </c>
      <c r="D103" s="134">
        <f>D39</f>
        <v>1839.73</v>
      </c>
    </row>
    <row r="104" spans="1:4" ht="15.75" hidden="1" outlineLevel="3">
      <c r="A104" s="40" t="s">
        <v>423</v>
      </c>
      <c r="B104" s="41" t="s">
        <v>444</v>
      </c>
      <c r="C104" s="32">
        <f>1/12</f>
        <v>8.3299999999999999E-2</v>
      </c>
      <c r="D104" s="134">
        <f>C104*D103</f>
        <v>153.25</v>
      </c>
    </row>
    <row r="105" spans="1:4" ht="15.75" hidden="1" outlineLevel="3">
      <c r="A105" s="40" t="s">
        <v>425</v>
      </c>
      <c r="B105" s="41" t="s">
        <v>445</v>
      </c>
      <c r="C105" s="32">
        <f>(1/12)+(1/12/3)</f>
        <v>0.1111</v>
      </c>
      <c r="D105" s="134">
        <f>C105*D103</f>
        <v>204.39</v>
      </c>
    </row>
    <row r="106" spans="1:4" ht="15.75" hidden="1" outlineLevel="3">
      <c r="A106" s="40" t="s">
        <v>427</v>
      </c>
      <c r="B106" s="49" t="s">
        <v>446</v>
      </c>
      <c r="C106" s="50">
        <f>C63</f>
        <v>0.36799999999999999</v>
      </c>
      <c r="D106" s="135">
        <f>C106*(D103+D104)</f>
        <v>733.42</v>
      </c>
    </row>
    <row r="107" spans="1:4" ht="15.75" hidden="1" outlineLevel="3">
      <c r="A107" s="40" t="s">
        <v>447</v>
      </c>
      <c r="B107" s="49" t="s">
        <v>448</v>
      </c>
      <c r="C107" s="45">
        <v>1</v>
      </c>
      <c r="D107" s="135">
        <f>D77</f>
        <v>477.87</v>
      </c>
    </row>
    <row r="108" spans="1:4" ht="15.75" hidden="1" outlineLevel="2">
      <c r="A108" s="38" t="s">
        <v>322</v>
      </c>
      <c r="B108" s="39" t="s">
        <v>449</v>
      </c>
      <c r="C108" s="43">
        <v>0.4</v>
      </c>
      <c r="D108" s="134">
        <f>C108*D109</f>
        <v>1297.1300000000001</v>
      </c>
    </row>
    <row r="109" spans="1:4" ht="15.75" hidden="1" outlineLevel="2">
      <c r="A109" s="38" t="s">
        <v>430</v>
      </c>
      <c r="B109" s="39" t="s">
        <v>431</v>
      </c>
      <c r="C109" s="43">
        <f>C62</f>
        <v>0.08</v>
      </c>
      <c r="D109" s="134">
        <f>C109*D110</f>
        <v>3242.83</v>
      </c>
    </row>
    <row r="110" spans="1:4" ht="15.75" hidden="1" outlineLevel="2">
      <c r="A110" s="38" t="s">
        <v>432</v>
      </c>
      <c r="B110" s="44" t="s">
        <v>433</v>
      </c>
      <c r="C110" s="45" t="s">
        <v>363</v>
      </c>
      <c r="D110" s="135">
        <f>D95</f>
        <v>40535.379999999997</v>
      </c>
    </row>
    <row r="111" spans="1:4" ht="15.75" hidden="1" outlineLevel="1">
      <c r="A111" s="663" t="s">
        <v>176</v>
      </c>
      <c r="B111" s="664"/>
      <c r="C111" s="69">
        <f>'SR - ASG'!C111</f>
        <v>0.94450000000000001</v>
      </c>
      <c r="D111" s="119">
        <f>IF(C111&gt;1,D102+D108,(D102+D108)*C111)</f>
        <v>1976.24</v>
      </c>
    </row>
    <row r="112" spans="1:4" ht="15.75" hidden="1" outlineLevel="1">
      <c r="A112" s="697"/>
      <c r="B112" s="698"/>
      <c r="C112" s="698"/>
      <c r="D112" s="699"/>
    </row>
    <row r="113" spans="1:4" ht="15.75" hidden="1" outlineLevel="1">
      <c r="A113" s="66" t="s">
        <v>450</v>
      </c>
      <c r="B113" s="112" t="s">
        <v>451</v>
      </c>
      <c r="C113" s="113" t="s">
        <v>383</v>
      </c>
      <c r="D113" s="113" t="s">
        <v>352</v>
      </c>
    </row>
    <row r="114" spans="1:4" ht="15.75" hidden="1" outlineLevel="2">
      <c r="A114" s="114" t="s">
        <v>353</v>
      </c>
      <c r="B114" s="34" t="s">
        <v>452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>
      <c r="A115" s="114" t="s">
        <v>322</v>
      </c>
      <c r="B115" s="51" t="s">
        <v>453</v>
      </c>
      <c r="C115" s="37">
        <f>C114/3</f>
        <v>1.11E-2</v>
      </c>
      <c r="D115" s="137">
        <f>C115*D39</f>
        <v>20.420000000000002</v>
      </c>
    </row>
    <row r="116" spans="1:4" ht="15.75" hidden="1" outlineLevel="1">
      <c r="A116" s="663" t="s">
        <v>176</v>
      </c>
      <c r="B116" s="664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>
      <c r="A117" s="697"/>
      <c r="B117" s="698"/>
      <c r="C117" s="698"/>
      <c r="D117" s="699"/>
    </row>
    <row r="118" spans="1:4" ht="15.75" hidden="1" outlineLevel="1">
      <c r="A118" s="701" t="s">
        <v>454</v>
      </c>
      <c r="B118" s="702"/>
      <c r="C118" s="113" t="s">
        <v>383</v>
      </c>
      <c r="D118" s="113" t="s">
        <v>352</v>
      </c>
    </row>
    <row r="119" spans="1:4" ht="15.75" hidden="1" outlineLevel="1">
      <c r="A119" s="114" t="s">
        <v>418</v>
      </c>
      <c r="B119" s="34" t="s">
        <v>419</v>
      </c>
      <c r="C119" s="37">
        <f>C99</f>
        <v>5.5500000000000001E-2</v>
      </c>
      <c r="D119" s="107">
        <f>D99</f>
        <v>215.87</v>
      </c>
    </row>
    <row r="120" spans="1:4" ht="15.75" hidden="1" outlineLevel="1">
      <c r="A120" s="116" t="s">
        <v>440</v>
      </c>
      <c r="B120" s="34" t="s">
        <v>441</v>
      </c>
      <c r="C120" s="52">
        <f>C111</f>
        <v>0.94450000000000001</v>
      </c>
      <c r="D120" s="107">
        <f>D111</f>
        <v>1976.24</v>
      </c>
    </row>
    <row r="121" spans="1:4" ht="15.75" hidden="1" outlineLevel="1">
      <c r="A121" s="707" t="s">
        <v>455</v>
      </c>
      <c r="B121" s="707"/>
      <c r="C121" s="707"/>
      <c r="D121" s="138">
        <f>D119+D120</f>
        <v>2192.11</v>
      </c>
    </row>
    <row r="122" spans="1:4" ht="15.75" hidden="1" outlineLevel="1">
      <c r="A122" s="703" t="s">
        <v>456</v>
      </c>
      <c r="B122" s="704"/>
      <c r="C122" s="70">
        <f>'SR - ASG'!C122</f>
        <v>0.63570000000000004</v>
      </c>
      <c r="D122" s="61">
        <f>C122*D121</f>
        <v>1393.52</v>
      </c>
    </row>
    <row r="123" spans="1:4" ht="15.75" hidden="1" outlineLevel="1">
      <c r="A123" s="703" t="s">
        <v>457</v>
      </c>
      <c r="B123" s="70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>
      <c r="A124" s="705" t="s">
        <v>458</v>
      </c>
      <c r="B124" s="706"/>
      <c r="C124" s="74">
        <f>1/C12</f>
        <v>0.05</v>
      </c>
      <c r="D124" s="62">
        <f>(D122+D123)*C124</f>
        <v>69.569999999999993</v>
      </c>
    </row>
    <row r="125" spans="1:4" ht="15.75" hidden="1" outlineLevel="1">
      <c r="A125" s="116" t="s">
        <v>450</v>
      </c>
      <c r="B125" s="34" t="s">
        <v>459</v>
      </c>
      <c r="C125" s="52"/>
      <c r="D125" s="127">
        <f>D116</f>
        <v>81.680000000000007</v>
      </c>
    </row>
    <row r="126" spans="1:4" ht="15.75" collapsed="1">
      <c r="A126" s="663" t="s">
        <v>176</v>
      </c>
      <c r="B126" s="664"/>
      <c r="C126" s="33"/>
      <c r="D126" s="139">
        <f>D124+D125</f>
        <v>151.25</v>
      </c>
    </row>
    <row r="127" spans="1:4" ht="15.75">
      <c r="A127" s="665"/>
      <c r="B127" s="666"/>
      <c r="C127" s="666"/>
      <c r="D127" s="667"/>
    </row>
    <row r="128" spans="1:4" ht="15.75">
      <c r="A128" s="668" t="s">
        <v>460</v>
      </c>
      <c r="B128" s="669"/>
      <c r="C128" s="669"/>
      <c r="D128" s="670"/>
    </row>
    <row r="129" spans="1:4" ht="15.75" hidden="1" outlineLevel="1">
      <c r="A129" s="697"/>
      <c r="B129" s="698"/>
      <c r="C129" s="698"/>
      <c r="D129" s="699"/>
    </row>
    <row r="130" spans="1:4" ht="15.75" hidden="1" outlineLevel="1">
      <c r="A130" s="113" t="s">
        <v>461</v>
      </c>
      <c r="B130" s="120" t="s">
        <v>462</v>
      </c>
      <c r="C130" s="33" t="s">
        <v>383</v>
      </c>
      <c r="D130" s="113" t="s">
        <v>352</v>
      </c>
    </row>
    <row r="131" spans="1:4" ht="15.75" hidden="1" outlineLevel="2">
      <c r="A131" s="140" t="s">
        <v>353</v>
      </c>
      <c r="B131" s="91" t="s">
        <v>463</v>
      </c>
      <c r="C131" s="53">
        <f>IF(C12&gt;60,5/C12,IF(C12&gt;48,4/C12,IF(C12&gt;36,3/C12,IF(C12&gt;24,2/C12,IF(C12&gt;12,1/C12,0)))))</f>
        <v>0.05</v>
      </c>
      <c r="D131" s="136">
        <f>SUM(D132:D136)</f>
        <v>118.85</v>
      </c>
    </row>
    <row r="132" spans="1:4" ht="15.75" hidden="1" outlineLevel="3">
      <c r="A132" s="141" t="s">
        <v>464</v>
      </c>
      <c r="B132" s="92" t="s">
        <v>465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>
      <c r="A133" s="141" t="s">
        <v>466</v>
      </c>
      <c r="B133" s="92" t="s">
        <v>467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>
      <c r="A134" s="141" t="s">
        <v>468</v>
      </c>
      <c r="B134" s="92" t="s">
        <v>469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>
      <c r="A135" s="141" t="s">
        <v>470</v>
      </c>
      <c r="B135" s="92" t="s">
        <v>471</v>
      </c>
      <c r="C135" s="93">
        <f>C63</f>
        <v>0.36799999999999999</v>
      </c>
      <c r="D135" s="143">
        <f>SUM(D132:D134)*C131</f>
        <v>5.49</v>
      </c>
    </row>
    <row r="136" spans="1:4" ht="15.75" hidden="1" outlineLevel="3">
      <c r="A136" s="141" t="s">
        <v>472</v>
      </c>
      <c r="B136" s="92" t="s">
        <v>473</v>
      </c>
      <c r="C136" s="144">
        <f>D124</f>
        <v>69.569999999999993</v>
      </c>
      <c r="D136" s="143">
        <f>C136*C131</f>
        <v>3.48</v>
      </c>
    </row>
    <row r="137" spans="1:4" ht="15.75" hidden="1" outlineLevel="2">
      <c r="A137" s="114" t="s">
        <v>322</v>
      </c>
      <c r="B137" s="34" t="s">
        <v>474</v>
      </c>
      <c r="C137" s="94">
        <v>0</v>
      </c>
      <c r="D137" s="127">
        <f>$C$131*(D39)*(C137/3)</f>
        <v>0</v>
      </c>
    </row>
    <row r="138" spans="1:4" ht="15.75" hidden="1" outlineLevel="1">
      <c r="A138" s="663" t="s">
        <v>475</v>
      </c>
      <c r="B138" s="664"/>
      <c r="C138" s="33">
        <f>C131+(D137/D39)</f>
        <v>0.05</v>
      </c>
      <c r="D138" s="119">
        <f>SUM(D131:D137)</f>
        <v>237.7</v>
      </c>
    </row>
    <row r="139" spans="1:4" ht="15.75" hidden="1" outlineLevel="1">
      <c r="A139" s="697"/>
      <c r="B139" s="698"/>
      <c r="C139" s="698"/>
      <c r="D139" s="699"/>
    </row>
    <row r="140" spans="1:4" ht="15.75" hidden="1" outlineLevel="2">
      <c r="A140" s="710" t="s">
        <v>476</v>
      </c>
      <c r="B140" s="145" t="s">
        <v>435</v>
      </c>
      <c r="C140" s="95">
        <v>220</v>
      </c>
      <c r="D140" s="146">
        <f>D39</f>
        <v>1839.73</v>
      </c>
    </row>
    <row r="141" spans="1:4" ht="15.75" hidden="1" outlineLevel="2">
      <c r="A141" s="711"/>
      <c r="B141" s="145" t="s">
        <v>477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>
      <c r="A142" s="711"/>
      <c r="B142" s="145" t="s">
        <v>478</v>
      </c>
      <c r="C142" s="53">
        <f>C63</f>
        <v>0.36799999999999999</v>
      </c>
      <c r="D142" s="147">
        <f>(D140+D141)*C142</f>
        <v>808.63</v>
      </c>
    </row>
    <row r="143" spans="1:4" ht="15.75" hidden="1" outlineLevel="2">
      <c r="A143" s="711"/>
      <c r="B143" s="145" t="s">
        <v>479</v>
      </c>
      <c r="C143" s="53">
        <f>D143/D140</f>
        <v>0.25979999999999998</v>
      </c>
      <c r="D143" s="147">
        <f>D77</f>
        <v>477.87</v>
      </c>
    </row>
    <row r="144" spans="1:4" ht="15.75" hidden="1" outlineLevel="2">
      <c r="A144" s="712"/>
      <c r="B144" s="148" t="s">
        <v>480</v>
      </c>
      <c r="C144" s="53">
        <f>D144/D140</f>
        <v>3.78E-2</v>
      </c>
      <c r="D144" s="147">
        <f>D124</f>
        <v>69.569999999999993</v>
      </c>
    </row>
    <row r="145" spans="1:4" ht="15.75" hidden="1" outlineLevel="2">
      <c r="A145" s="713" t="s">
        <v>481</v>
      </c>
      <c r="B145" s="714"/>
      <c r="C145" s="96">
        <f>D145/D140</f>
        <v>1.9315</v>
      </c>
      <c r="D145" s="149">
        <f>SUM(D140:D144)</f>
        <v>3553.44</v>
      </c>
    </row>
    <row r="146" spans="1:4" ht="15.75" hidden="1" outlineLevel="2">
      <c r="A146" s="715"/>
      <c r="B146" s="715"/>
      <c r="C146" s="715"/>
      <c r="D146" s="716"/>
    </row>
    <row r="147" spans="1:4" ht="15.75" hidden="1" outlineLevel="1">
      <c r="A147" s="113" t="s">
        <v>482</v>
      </c>
      <c r="B147" s="120" t="s">
        <v>483</v>
      </c>
      <c r="C147" s="33" t="s">
        <v>383</v>
      </c>
      <c r="D147" s="113" t="s">
        <v>352</v>
      </c>
    </row>
    <row r="148" spans="1:4" ht="15.75" hidden="1" outlineLevel="2">
      <c r="A148" s="114" t="s">
        <v>322</v>
      </c>
      <c r="B148" s="34" t="s">
        <v>484</v>
      </c>
      <c r="C148" s="79">
        <f>5/252</f>
        <v>1.9800000000000002E-2</v>
      </c>
      <c r="D148" s="136">
        <f>C148*$D$145</f>
        <v>70.36</v>
      </c>
    </row>
    <row r="149" spans="1:4" ht="15.75" hidden="1" outlineLevel="2">
      <c r="A149" s="114" t="s">
        <v>325</v>
      </c>
      <c r="B149" s="34" t="s">
        <v>485</v>
      </c>
      <c r="C149" s="79">
        <f>1.383/252</f>
        <v>5.4999999999999997E-3</v>
      </c>
      <c r="D149" s="136">
        <f>C149*$D$145</f>
        <v>19.54</v>
      </c>
    </row>
    <row r="150" spans="1:4" ht="15.75" hidden="1" outlineLevel="2">
      <c r="A150" s="114" t="s">
        <v>328</v>
      </c>
      <c r="B150" s="34" t="s">
        <v>486</v>
      </c>
      <c r="C150" s="79">
        <f>1.3892/252</f>
        <v>5.4999999999999997E-3</v>
      </c>
      <c r="D150" s="136">
        <f t="shared" ref="D150:D153" si="1">C150*$D$145</f>
        <v>19.54</v>
      </c>
    </row>
    <row r="151" spans="1:4" ht="15.75" hidden="1" outlineLevel="2">
      <c r="A151" s="114" t="s">
        <v>331</v>
      </c>
      <c r="B151" s="34" t="s">
        <v>487</v>
      </c>
      <c r="C151" s="79">
        <f>0.65/252</f>
        <v>2.5999999999999999E-3</v>
      </c>
      <c r="D151" s="136">
        <f t="shared" si="1"/>
        <v>9.24</v>
      </c>
    </row>
    <row r="152" spans="1:4" ht="15.75" hidden="1" outlineLevel="2">
      <c r="A152" s="114" t="s">
        <v>334</v>
      </c>
      <c r="B152" s="34" t="s">
        <v>488</v>
      </c>
      <c r="C152" s="79">
        <f>0.5052/252</f>
        <v>2E-3</v>
      </c>
      <c r="D152" s="136">
        <f t="shared" si="1"/>
        <v>7.11</v>
      </c>
    </row>
    <row r="153" spans="1:4" ht="15.75" hidden="1" outlineLevel="2">
      <c r="A153" s="114" t="s">
        <v>353</v>
      </c>
      <c r="B153" s="63" t="s">
        <v>489</v>
      </c>
      <c r="C153" s="71">
        <f>0.2/252</f>
        <v>8.0000000000000004E-4</v>
      </c>
      <c r="D153" s="136">
        <f t="shared" si="1"/>
        <v>2.84</v>
      </c>
    </row>
    <row r="154" spans="1:4" ht="15.75" hidden="1" outlineLevel="1">
      <c r="A154" s="663" t="s">
        <v>475</v>
      </c>
      <c r="B154" s="664"/>
      <c r="C154" s="33">
        <f>SUM(C148:C153)</f>
        <v>3.6200000000000003E-2</v>
      </c>
      <c r="D154" s="119">
        <f>SUM(D148:D153)</f>
        <v>128.63</v>
      </c>
    </row>
    <row r="155" spans="1:4" ht="15.75" hidden="1" outlineLevel="1">
      <c r="A155" s="697"/>
      <c r="B155" s="698"/>
      <c r="C155" s="698"/>
      <c r="D155" s="699"/>
    </row>
    <row r="156" spans="1:4" ht="15.75" hidden="1" outlineLevel="1">
      <c r="A156" s="701" t="s">
        <v>490</v>
      </c>
      <c r="B156" s="708"/>
      <c r="C156" s="33" t="s">
        <v>491</v>
      </c>
      <c r="D156" s="113" t="s">
        <v>352</v>
      </c>
    </row>
    <row r="157" spans="1:4" ht="15.75" hidden="1" outlineLevel="2">
      <c r="A157" s="709" t="s">
        <v>492</v>
      </c>
      <c r="B157" s="145" t="s">
        <v>493</v>
      </c>
      <c r="C157" s="97">
        <f>C153</f>
        <v>8.0000000000000004E-4</v>
      </c>
      <c r="D157" s="150">
        <f>C157*-D140</f>
        <v>-1.47</v>
      </c>
    </row>
    <row r="158" spans="1:4" ht="15.75" hidden="1" outlineLevel="2">
      <c r="A158" s="709"/>
      <c r="B158" s="151" t="s">
        <v>494</v>
      </c>
      <c r="C158" s="98">
        <v>0</v>
      </c>
      <c r="D158" s="152">
        <f>C158*-(D140/220/24*5)</f>
        <v>0</v>
      </c>
    </row>
    <row r="159" spans="1:4" ht="15.75" hidden="1" outlineLevel="2">
      <c r="A159" s="709"/>
      <c r="B159" s="151" t="s">
        <v>495</v>
      </c>
      <c r="C159" s="98">
        <v>0</v>
      </c>
      <c r="D159" s="152">
        <f>C159*-D141</f>
        <v>0</v>
      </c>
    </row>
    <row r="160" spans="1:4" ht="15.75" hidden="1" outlineLevel="2">
      <c r="A160" s="709"/>
      <c r="B160" s="145" t="s">
        <v>496</v>
      </c>
      <c r="C160" s="97">
        <f>C154</f>
        <v>3.6200000000000003E-2</v>
      </c>
      <c r="D160" s="150">
        <f>C160*-D66</f>
        <v>-3.46</v>
      </c>
    </row>
    <row r="161" spans="1:4" ht="15.75" hidden="1" outlineLevel="2">
      <c r="A161" s="709"/>
      <c r="B161" s="145" t="s">
        <v>497</v>
      </c>
      <c r="C161" s="97">
        <f>C154</f>
        <v>3.6200000000000003E-2</v>
      </c>
      <c r="D161" s="150">
        <f>C161*-D69</f>
        <v>-12.43</v>
      </c>
    </row>
    <row r="162" spans="1:4" ht="15.75" hidden="1" outlineLevel="2">
      <c r="A162" s="709"/>
      <c r="B162" s="148" t="s">
        <v>498</v>
      </c>
      <c r="C162" s="97">
        <f>C153</f>
        <v>8.0000000000000004E-4</v>
      </c>
      <c r="D162" s="150">
        <f>C162*-D74</f>
        <v>-0.02</v>
      </c>
    </row>
    <row r="163" spans="1:4" ht="15.75" hidden="1" outlineLevel="2">
      <c r="A163" s="709"/>
      <c r="B163" s="148" t="s">
        <v>499</v>
      </c>
      <c r="C163" s="99">
        <f>C152</f>
        <v>2E-3</v>
      </c>
      <c r="D163" s="136">
        <f>C163*-SUM(D55:D61)</f>
        <v>-1.17</v>
      </c>
    </row>
    <row r="164" spans="1:4" ht="15.75" hidden="1" outlineLevel="2">
      <c r="A164" s="709"/>
      <c r="B164" s="145" t="s">
        <v>500</v>
      </c>
      <c r="C164" s="97">
        <f>C153</f>
        <v>8.0000000000000004E-4</v>
      </c>
      <c r="D164" s="150">
        <f>C164*-D142</f>
        <v>-0.65</v>
      </c>
    </row>
    <row r="165" spans="1:4" ht="15.75" hidden="1" outlineLevel="1">
      <c r="A165" s="663" t="s">
        <v>501</v>
      </c>
      <c r="B165" s="664"/>
      <c r="C165" s="33">
        <f>D165/D140</f>
        <v>-1.04E-2</v>
      </c>
      <c r="D165" s="119">
        <f>SUM(D157:D164)</f>
        <v>-19.2</v>
      </c>
    </row>
    <row r="166" spans="1:4" ht="15.75" hidden="1" outlineLevel="1">
      <c r="A166" s="697"/>
      <c r="B166" s="698"/>
      <c r="C166" s="698"/>
      <c r="D166" s="699"/>
    </row>
    <row r="167" spans="1:4" ht="15.75" hidden="1" outlineLevel="1">
      <c r="A167" s="663" t="s">
        <v>502</v>
      </c>
      <c r="B167" s="664"/>
      <c r="C167" s="33">
        <f>D167/D140</f>
        <v>5.9499999999999997E-2</v>
      </c>
      <c r="D167" s="119">
        <f>D154+D165</f>
        <v>109.43</v>
      </c>
    </row>
    <row r="168" spans="1:4" ht="15.75" hidden="1" outlineLevel="1">
      <c r="A168" s="697"/>
      <c r="B168" s="698"/>
      <c r="C168" s="698"/>
      <c r="D168" s="699"/>
    </row>
    <row r="169" spans="1:4" ht="15.75" hidden="1" outlineLevel="1">
      <c r="A169" s="701" t="s">
        <v>503</v>
      </c>
      <c r="B169" s="702"/>
      <c r="C169" s="113" t="s">
        <v>383</v>
      </c>
      <c r="D169" s="113" t="s">
        <v>352</v>
      </c>
    </row>
    <row r="170" spans="1:4" ht="15.75" hidden="1" outlineLevel="1">
      <c r="A170" s="114" t="s">
        <v>461</v>
      </c>
      <c r="B170" s="34" t="s">
        <v>462</v>
      </c>
      <c r="C170" s="37"/>
      <c r="D170" s="153">
        <f>D138</f>
        <v>237.7</v>
      </c>
    </row>
    <row r="171" spans="1:4" ht="15.75" hidden="1" outlineLevel="1">
      <c r="A171" s="114" t="s">
        <v>482</v>
      </c>
      <c r="B171" s="34" t="s">
        <v>483</v>
      </c>
      <c r="C171" s="37"/>
      <c r="D171" s="153">
        <f>D167</f>
        <v>109.43</v>
      </c>
    </row>
    <row r="172" spans="1:4" ht="15.75" collapsed="1">
      <c r="A172" s="663" t="s">
        <v>176</v>
      </c>
      <c r="B172" s="700"/>
      <c r="C172" s="664"/>
      <c r="D172" s="122">
        <f>SUM(D170:D171)</f>
        <v>347.13</v>
      </c>
    </row>
    <row r="173" spans="1:4" ht="15.75">
      <c r="A173" s="697"/>
      <c r="B173" s="698"/>
      <c r="C173" s="698"/>
      <c r="D173" s="699"/>
    </row>
    <row r="174" spans="1:4" ht="15.75">
      <c r="A174" s="668" t="s">
        <v>504</v>
      </c>
      <c r="B174" s="669"/>
      <c r="C174" s="669"/>
      <c r="D174" s="670"/>
    </row>
    <row r="175" spans="1:4" ht="15.75" hidden="1" outlineLevel="1">
      <c r="A175" s="697"/>
      <c r="B175" s="698"/>
      <c r="C175" s="698"/>
      <c r="D175" s="699"/>
    </row>
    <row r="176" spans="1:4" ht="15.75" hidden="1" outlineLevel="1">
      <c r="A176" s="66">
        <v>5</v>
      </c>
      <c r="B176" s="663" t="s">
        <v>505</v>
      </c>
      <c r="C176" s="664"/>
      <c r="D176" s="113" t="s">
        <v>352</v>
      </c>
    </row>
    <row r="177" spans="1:4" ht="15.75" hidden="1" outlineLevel="1">
      <c r="A177" s="114" t="s">
        <v>353</v>
      </c>
      <c r="B177" s="717" t="s">
        <v>506</v>
      </c>
      <c r="C177" s="718"/>
      <c r="D177" s="136">
        <f>INSUMOS!H14</f>
        <v>25.55</v>
      </c>
    </row>
    <row r="178" spans="1:4" ht="15.75" hidden="1" outlineLevel="1">
      <c r="A178" s="114" t="s">
        <v>322</v>
      </c>
      <c r="B178" s="717" t="s">
        <v>541</v>
      </c>
      <c r="C178" s="718"/>
      <c r="D178" s="154">
        <f>INSUMOS!H41</f>
        <v>38.97</v>
      </c>
    </row>
    <row r="179" spans="1:4" ht="15.75" hidden="1" outlineLevel="1">
      <c r="A179" s="114" t="s">
        <v>325</v>
      </c>
      <c r="B179" s="649" t="s">
        <v>508</v>
      </c>
      <c r="C179" s="650"/>
      <c r="D179" s="154">
        <f>MATERIAIS!G109</f>
        <v>1485.69</v>
      </c>
    </row>
    <row r="180" spans="1:4" ht="15.75" hidden="1" outlineLevel="1">
      <c r="A180" s="114" t="s">
        <v>328</v>
      </c>
      <c r="B180" s="649" t="s">
        <v>509</v>
      </c>
      <c r="C180" s="650"/>
      <c r="D180" s="154">
        <f>EQUIPAMENTOS!H111</f>
        <v>41.1</v>
      </c>
    </row>
    <row r="181" spans="1:4" ht="15.75" hidden="1" outlineLevel="1">
      <c r="A181" s="114" t="s">
        <v>331</v>
      </c>
      <c r="B181" s="651" t="s">
        <v>372</v>
      </c>
      <c r="C181" s="652"/>
      <c r="D181" s="133">
        <v>0</v>
      </c>
    </row>
    <row r="182" spans="1:4" ht="15.75" collapsed="1">
      <c r="A182" s="663" t="s">
        <v>176</v>
      </c>
      <c r="B182" s="700"/>
      <c r="C182" s="664"/>
      <c r="D182" s="119">
        <f>SUM(D177:D181)</f>
        <v>1591.31</v>
      </c>
    </row>
    <row r="183" spans="1:4" ht="15.75">
      <c r="A183" s="665"/>
      <c r="B183" s="666"/>
      <c r="C183" s="666"/>
      <c r="D183" s="667"/>
    </row>
    <row r="184" spans="1:4" ht="15.75">
      <c r="A184" s="723" t="s">
        <v>510</v>
      </c>
      <c r="B184" s="723"/>
      <c r="C184" s="723"/>
      <c r="D184" s="155">
        <f>D39+D83+D126+D172+D182</f>
        <v>5335.99</v>
      </c>
    </row>
    <row r="185" spans="1:4" ht="15.75">
      <c r="A185" s="679"/>
      <c r="B185" s="679"/>
      <c r="C185" s="679"/>
      <c r="D185" s="679"/>
    </row>
    <row r="186" spans="1:4" ht="15.75">
      <c r="A186" s="724" t="s">
        <v>511</v>
      </c>
      <c r="B186" s="724"/>
      <c r="C186" s="724"/>
      <c r="D186" s="724"/>
    </row>
    <row r="187" spans="1:4" ht="15.75" hidden="1" outlineLevel="1">
      <c r="A187" s="725"/>
      <c r="B187" s="726"/>
      <c r="C187" s="726"/>
      <c r="D187" s="727"/>
    </row>
    <row r="188" spans="1:4" ht="15.75" hidden="1" outlineLevel="1">
      <c r="A188" s="66">
        <v>6</v>
      </c>
      <c r="B188" s="120" t="s">
        <v>512</v>
      </c>
      <c r="C188" s="113" t="s">
        <v>383</v>
      </c>
      <c r="D188" s="113" t="s">
        <v>352</v>
      </c>
    </row>
    <row r="189" spans="1:4" ht="15.75" hidden="1" outlineLevel="1">
      <c r="A189" s="114" t="s">
        <v>353</v>
      </c>
      <c r="B189" s="34" t="s">
        <v>513</v>
      </c>
      <c r="C189" s="72">
        <f>'SR - ASG'!C189</f>
        <v>2.6499999999999999E-2</v>
      </c>
      <c r="D189" s="108">
        <f>C189*D184</f>
        <v>141.4</v>
      </c>
    </row>
    <row r="190" spans="1:4" ht="15.75" hidden="1" outlineLevel="1">
      <c r="A190" s="719" t="s">
        <v>514</v>
      </c>
      <c r="B190" s="720"/>
      <c r="C190" s="722"/>
      <c r="D190" s="108">
        <f>D184+D189</f>
        <v>5477.39</v>
      </c>
    </row>
    <row r="191" spans="1:4" ht="15.75" hidden="1" outlineLevel="1">
      <c r="A191" s="114" t="s">
        <v>322</v>
      </c>
      <c r="B191" s="34" t="s">
        <v>515</v>
      </c>
      <c r="C191" s="72">
        <f>'SR - ASG'!C191</f>
        <v>0.1087</v>
      </c>
      <c r="D191" s="108">
        <f>C191*D190</f>
        <v>595.39</v>
      </c>
    </row>
    <row r="192" spans="1:4" ht="15.75" hidden="1" outlineLevel="1">
      <c r="A192" s="719" t="s">
        <v>514</v>
      </c>
      <c r="B192" s="720"/>
      <c r="C192" s="720"/>
      <c r="D192" s="108">
        <f>D191+D190</f>
        <v>6072.78</v>
      </c>
    </row>
    <row r="193" spans="1:4" ht="15.75" hidden="1" outlineLevel="1">
      <c r="A193" s="114" t="s">
        <v>325</v>
      </c>
      <c r="B193" s="649" t="s">
        <v>516</v>
      </c>
      <c r="C193" s="721"/>
      <c r="D193" s="650"/>
    </row>
    <row r="194" spans="1:4" ht="15.75" hidden="1" outlineLevel="1">
      <c r="A194" s="156"/>
      <c r="B194" s="65" t="s">
        <v>517</v>
      </c>
      <c r="C194" s="72">
        <v>6.4999999999999997E-3</v>
      </c>
      <c r="D194" s="108">
        <f>(D192/(1-C197)*C194)</f>
        <v>43.21</v>
      </c>
    </row>
    <row r="195" spans="1:4" ht="15.75" hidden="1" outlineLevel="1">
      <c r="A195" s="156"/>
      <c r="B195" s="65" t="s">
        <v>518</v>
      </c>
      <c r="C195" s="72">
        <v>0.03</v>
      </c>
      <c r="D195" s="108">
        <f>(D192/(1-C197)*C195)</f>
        <v>199.43</v>
      </c>
    </row>
    <row r="196" spans="1:4" ht="15.75" hidden="1" outlineLevel="1">
      <c r="A196" s="156"/>
      <c r="B196" s="65" t="s">
        <v>572</v>
      </c>
      <c r="C196" s="54">
        <v>0.05</v>
      </c>
      <c r="D196" s="108">
        <f>(D192/(1-C197)*C196)</f>
        <v>332.39</v>
      </c>
    </row>
    <row r="197" spans="1:4" ht="15.75" hidden="1" outlineLevel="1">
      <c r="A197" s="719" t="s">
        <v>520</v>
      </c>
      <c r="B197" s="722"/>
      <c r="C197" s="55">
        <f>SUM(C194:C196)</f>
        <v>8.6499999999999994E-2</v>
      </c>
      <c r="D197" s="108">
        <f>SUM(D194:D196)</f>
        <v>575.03</v>
      </c>
    </row>
    <row r="198" spans="1:4" ht="15.75" collapsed="1">
      <c r="A198" s="663" t="s">
        <v>176</v>
      </c>
      <c r="B198" s="664"/>
      <c r="C198" s="56">
        <f>(1+C189)*(1+C191)*(1/(1-C197))-1</f>
        <v>0.24579999999999999</v>
      </c>
      <c r="D198" s="111">
        <f>SUM(D197+D189+D191)</f>
        <v>1311.82</v>
      </c>
    </row>
    <row r="199" spans="1:4" ht="15.75">
      <c r="A199" s="665"/>
      <c r="B199" s="666"/>
      <c r="C199" s="666"/>
      <c r="D199" s="667"/>
    </row>
    <row r="200" spans="1:4" ht="15.75">
      <c r="A200" s="676" t="s">
        <v>521</v>
      </c>
      <c r="B200" s="678"/>
      <c r="C200" s="677"/>
      <c r="D200" s="57" t="s">
        <v>352</v>
      </c>
    </row>
    <row r="201" spans="1:4" ht="15.75">
      <c r="A201" s="661" t="s">
        <v>522</v>
      </c>
      <c r="B201" s="728"/>
      <c r="C201" s="728"/>
      <c r="D201" s="662"/>
    </row>
    <row r="202" spans="1:4" ht="15.75">
      <c r="A202" s="67" t="s">
        <v>353</v>
      </c>
      <c r="B202" s="661" t="s">
        <v>523</v>
      </c>
      <c r="C202" s="662"/>
      <c r="D202" s="107">
        <f>D39</f>
        <v>1839.73</v>
      </c>
    </row>
    <row r="203" spans="1:4" ht="15.75">
      <c r="A203" s="67" t="s">
        <v>322</v>
      </c>
      <c r="B203" s="661" t="s">
        <v>524</v>
      </c>
      <c r="C203" s="662"/>
      <c r="D203" s="107">
        <f>D83</f>
        <v>1406.57</v>
      </c>
    </row>
    <row r="204" spans="1:4" ht="15.75">
      <c r="A204" s="67" t="s">
        <v>325</v>
      </c>
      <c r="B204" s="661" t="s">
        <v>525</v>
      </c>
      <c r="C204" s="662"/>
      <c r="D204" s="107">
        <f>D126</f>
        <v>151.25</v>
      </c>
    </row>
    <row r="205" spans="1:4" ht="15.75">
      <c r="A205" s="67" t="s">
        <v>328</v>
      </c>
      <c r="B205" s="661" t="s">
        <v>526</v>
      </c>
      <c r="C205" s="662"/>
      <c r="D205" s="107">
        <f>D172</f>
        <v>347.13</v>
      </c>
    </row>
    <row r="206" spans="1:4" ht="15.75">
      <c r="A206" s="67" t="s">
        <v>331</v>
      </c>
      <c r="B206" s="661" t="s">
        <v>527</v>
      </c>
      <c r="C206" s="662"/>
      <c r="D206" s="107">
        <f>D182</f>
        <v>1591.31</v>
      </c>
    </row>
    <row r="207" spans="1:4" ht="15.75">
      <c r="A207" s="738" t="s">
        <v>528</v>
      </c>
      <c r="B207" s="739"/>
      <c r="C207" s="740"/>
      <c r="D207" s="107">
        <f>SUM(D202:D206)</f>
        <v>5335.99</v>
      </c>
    </row>
    <row r="208" spans="1:4" ht="15.75">
      <c r="A208" s="67" t="s">
        <v>529</v>
      </c>
      <c r="B208" s="661" t="s">
        <v>530</v>
      </c>
      <c r="C208" s="662"/>
      <c r="D208" s="107">
        <f>D198</f>
        <v>1311.82</v>
      </c>
    </row>
    <row r="209" spans="1:4" ht="15.75">
      <c r="A209" s="676" t="s">
        <v>531</v>
      </c>
      <c r="B209" s="678"/>
      <c r="C209" s="677"/>
      <c r="D209" s="157">
        <f xml:space="preserve"> D207+D208</f>
        <v>6647.81</v>
      </c>
    </row>
    <row r="210" spans="1:4" ht="15.75">
      <c r="A210" s="27"/>
      <c r="B210" s="27"/>
      <c r="C210" s="27"/>
      <c r="D210" s="27"/>
    </row>
    <row r="211" spans="1:4" ht="15.75" thickBot="1">
      <c r="A211" s="20"/>
      <c r="B211" s="20"/>
      <c r="C211" s="20"/>
      <c r="D211" s="20"/>
    </row>
    <row r="212" spans="1:4" ht="15.75">
      <c r="A212" s="646" t="s">
        <v>532</v>
      </c>
      <c r="B212" s="647"/>
      <c r="C212" s="647"/>
      <c r="D212" s="648"/>
    </row>
    <row r="213" spans="1:4" ht="31.5">
      <c r="A213" s="175" t="s">
        <v>533</v>
      </c>
      <c r="B213" s="176" t="s">
        <v>534</v>
      </c>
      <c r="C213" s="177" t="s">
        <v>535</v>
      </c>
      <c r="D213" s="178" t="s">
        <v>536</v>
      </c>
    </row>
    <row r="214" spans="1:4" ht="16.5" thickBot="1">
      <c r="A214" s="179">
        <v>2</v>
      </c>
      <c r="B214" s="182">
        <f>1/(C11/A214)</f>
        <v>8.5470085470000002E-4</v>
      </c>
      <c r="C214" s="180">
        <f>D209</f>
        <v>6647.81</v>
      </c>
      <c r="D214" s="184">
        <f>C214*B214</f>
        <v>5.6818888889999997</v>
      </c>
    </row>
  </sheetData>
  <mergeCells count="107">
    <mergeCell ref="A207:C207"/>
    <mergeCell ref="B208:C208"/>
    <mergeCell ref="A209:C209"/>
    <mergeCell ref="A201:D201"/>
    <mergeCell ref="B202:C202"/>
    <mergeCell ref="B203:C203"/>
    <mergeCell ref="B204:C204"/>
    <mergeCell ref="B205:C205"/>
    <mergeCell ref="B206:C206"/>
    <mergeCell ref="A192:C192"/>
    <mergeCell ref="B193:D193"/>
    <mergeCell ref="A197:B197"/>
    <mergeCell ref="A198:B198"/>
    <mergeCell ref="A199:D199"/>
    <mergeCell ref="A200:C200"/>
    <mergeCell ref="A183:D183"/>
    <mergeCell ref="A184:C184"/>
    <mergeCell ref="A185:D185"/>
    <mergeCell ref="A186:D186"/>
    <mergeCell ref="A187:D187"/>
    <mergeCell ref="A190:C190"/>
    <mergeCell ref="B176:C176"/>
    <mergeCell ref="B177:C177"/>
    <mergeCell ref="B178:C178"/>
    <mergeCell ref="B179:C179"/>
    <mergeCell ref="B181:C181"/>
    <mergeCell ref="A182:C182"/>
    <mergeCell ref="A168:D168"/>
    <mergeCell ref="A169:B169"/>
    <mergeCell ref="A172:C172"/>
    <mergeCell ref="A173:D173"/>
    <mergeCell ref="A174:D174"/>
    <mergeCell ref="A175:D175"/>
    <mergeCell ref="B180:C180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212:D212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  <mergeCell ref="A15:D15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AA648-2AD5-4901-8168-F992FB3196B4}">
  <sheetPr codeName="Planilha21">
    <pageSetUpPr fitToPage="1"/>
  </sheetPr>
  <dimension ref="A1:D214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>
      <c r="A1" s="680" t="s">
        <v>313</v>
      </c>
      <c r="B1" s="680"/>
      <c r="C1" s="680"/>
      <c r="D1" s="680"/>
    </row>
    <row r="2" spans="1:4" ht="15.75">
      <c r="A2" s="681" t="s">
        <v>314</v>
      </c>
      <c r="B2" s="681"/>
      <c r="C2" s="682" t="s">
        <v>315</v>
      </c>
      <c r="D2" s="683"/>
    </row>
    <row r="3" spans="1:4" ht="15.75">
      <c r="A3" s="681" t="s">
        <v>316</v>
      </c>
      <c r="B3" s="681"/>
      <c r="C3" s="682" t="s">
        <v>317</v>
      </c>
      <c r="D3" s="683"/>
    </row>
    <row r="4" spans="1:4" ht="15.75">
      <c r="A4" s="653"/>
      <c r="B4" s="653"/>
      <c r="C4" s="653"/>
      <c r="D4" s="653"/>
    </row>
    <row r="5" spans="1:4" ht="15.75">
      <c r="A5" s="653" t="s">
        <v>318</v>
      </c>
      <c r="B5" s="653"/>
      <c r="C5" s="653"/>
      <c r="D5" s="653"/>
    </row>
    <row r="6" spans="1:4" ht="15.75">
      <c r="A6" s="67" t="s">
        <v>319</v>
      </c>
      <c r="B6" s="65" t="s">
        <v>320</v>
      </c>
      <c r="C6" s="654" t="s">
        <v>321</v>
      </c>
      <c r="D6" s="655"/>
    </row>
    <row r="7" spans="1:4" ht="15.75">
      <c r="A7" s="67" t="s">
        <v>322</v>
      </c>
      <c r="B7" s="65" t="s">
        <v>323</v>
      </c>
      <c r="C7" s="656" t="s">
        <v>573</v>
      </c>
      <c r="D7" s="656"/>
    </row>
    <row r="8" spans="1:4" ht="15.75">
      <c r="A8" s="28" t="s">
        <v>325</v>
      </c>
      <c r="B8" s="29" t="s">
        <v>326</v>
      </c>
      <c r="C8" s="736" t="s">
        <v>574</v>
      </c>
      <c r="D8" s="737"/>
    </row>
    <row r="9" spans="1:4" ht="15.75">
      <c r="A9" s="67" t="s">
        <v>328</v>
      </c>
      <c r="B9" s="65" t="s">
        <v>329</v>
      </c>
      <c r="C9" s="659" t="s">
        <v>330</v>
      </c>
      <c r="D9" s="660"/>
    </row>
    <row r="10" spans="1:4" ht="15.75">
      <c r="A10" s="67" t="s">
        <v>331</v>
      </c>
      <c r="B10" s="65" t="s">
        <v>332</v>
      </c>
      <c r="C10" s="659" t="s">
        <v>333</v>
      </c>
      <c r="D10" s="660"/>
    </row>
    <row r="11" spans="1:4" ht="15.75">
      <c r="A11" s="67" t="s">
        <v>334</v>
      </c>
      <c r="B11" s="65" t="s">
        <v>335</v>
      </c>
      <c r="C11" s="686">
        <f>Resumo!F18</f>
        <v>2840.89</v>
      </c>
      <c r="D11" s="687"/>
    </row>
    <row r="12" spans="1:4" ht="15.75">
      <c r="A12" s="67" t="s">
        <v>394</v>
      </c>
      <c r="B12" s="65" t="s">
        <v>337</v>
      </c>
      <c r="C12" s="688">
        <f>Resumo!I5</f>
        <v>20</v>
      </c>
      <c r="D12" s="675"/>
    </row>
    <row r="13" spans="1:4" ht="15.75">
      <c r="A13" s="689"/>
      <c r="B13" s="690"/>
      <c r="C13" s="690"/>
      <c r="D13" s="690"/>
    </row>
    <row r="14" spans="1:4" ht="15.75">
      <c r="A14" s="691" t="s">
        <v>338</v>
      </c>
      <c r="B14" s="692"/>
      <c r="C14" s="692"/>
      <c r="D14" s="693"/>
    </row>
    <row r="15" spans="1:4" ht="15.75">
      <c r="A15" s="656" t="s">
        <v>339</v>
      </c>
      <c r="B15" s="656"/>
      <c r="C15" s="656"/>
      <c r="D15" s="656"/>
    </row>
    <row r="16" spans="1:4" ht="15.75">
      <c r="A16" s="67">
        <v>1</v>
      </c>
      <c r="B16" s="65" t="s">
        <v>340</v>
      </c>
      <c r="C16" s="659" t="s">
        <v>341</v>
      </c>
      <c r="D16" s="660" t="s">
        <v>62</v>
      </c>
    </row>
    <row r="17" spans="1:4" ht="15.75">
      <c r="A17" s="67">
        <v>2</v>
      </c>
      <c r="B17" s="30" t="s">
        <v>342</v>
      </c>
      <c r="C17" s="684" t="s">
        <v>343</v>
      </c>
      <c r="D17" s="685"/>
    </row>
    <row r="18" spans="1:4" ht="15.75">
      <c r="A18" s="656" t="s">
        <v>344</v>
      </c>
      <c r="B18" s="656"/>
      <c r="C18" s="656"/>
      <c r="D18" s="656"/>
    </row>
    <row r="19" spans="1:4" ht="15.75">
      <c r="A19" s="67">
        <v>3</v>
      </c>
      <c r="B19" s="661" t="s">
        <v>345</v>
      </c>
      <c r="C19" s="662"/>
      <c r="D19" s="106">
        <v>1314.09</v>
      </c>
    </row>
    <row r="20" spans="1:4" ht="15.75">
      <c r="A20" s="67">
        <v>4</v>
      </c>
      <c r="B20" s="661" t="s">
        <v>346</v>
      </c>
      <c r="C20" s="662"/>
      <c r="D20" s="158">
        <v>220</v>
      </c>
    </row>
    <row r="21" spans="1:4" ht="15.75">
      <c r="A21" s="67">
        <v>5</v>
      </c>
      <c r="B21" s="661" t="s">
        <v>347</v>
      </c>
      <c r="C21" s="662"/>
      <c r="D21" s="75" t="s">
        <v>348</v>
      </c>
    </row>
    <row r="22" spans="1:4" ht="15.75">
      <c r="A22" s="67">
        <v>6</v>
      </c>
      <c r="B22" s="661" t="s">
        <v>349</v>
      </c>
      <c r="C22" s="662"/>
      <c r="D22" s="76">
        <v>44562</v>
      </c>
    </row>
    <row r="23" spans="1:4" ht="15.75">
      <c r="A23" s="659"/>
      <c r="B23" s="671"/>
      <c r="C23" s="671"/>
      <c r="D23" s="660"/>
    </row>
    <row r="24" spans="1:4" ht="15.75">
      <c r="A24" s="672" t="s">
        <v>350</v>
      </c>
      <c r="B24" s="672"/>
      <c r="C24" s="672"/>
      <c r="D24" s="672"/>
    </row>
    <row r="25" spans="1:4" ht="15.75">
      <c r="A25" s="673"/>
      <c r="B25" s="674"/>
      <c r="C25" s="674"/>
      <c r="D25" s="675"/>
    </row>
    <row r="26" spans="1:4" ht="15.75">
      <c r="A26" s="66">
        <v>1</v>
      </c>
      <c r="B26" s="676" t="s">
        <v>351</v>
      </c>
      <c r="C26" s="677"/>
      <c r="D26" s="66" t="s">
        <v>352</v>
      </c>
    </row>
    <row r="27" spans="1:4" ht="15.75" hidden="1" outlineLevel="1">
      <c r="A27" s="67" t="s">
        <v>353</v>
      </c>
      <c r="B27" s="65" t="s">
        <v>354</v>
      </c>
      <c r="C27" s="73">
        <f>'SR - ASG'!C27</f>
        <v>220</v>
      </c>
      <c r="D27" s="107">
        <f>D19/220*C27</f>
        <v>1314.09</v>
      </c>
    </row>
    <row r="28" spans="1:4" ht="15.75" hidden="1" outlineLevel="1">
      <c r="A28" s="67" t="s">
        <v>322</v>
      </c>
      <c r="B28" s="65" t="s">
        <v>575</v>
      </c>
      <c r="C28" s="31">
        <v>0</v>
      </c>
      <c r="D28" s="107">
        <f>C28*D27</f>
        <v>0</v>
      </c>
    </row>
    <row r="29" spans="1:4" ht="15.75" hidden="1" outlineLevel="1">
      <c r="A29" s="67" t="s">
        <v>325</v>
      </c>
      <c r="B29" s="65" t="s">
        <v>356</v>
      </c>
      <c r="C29" s="31">
        <v>0.4</v>
      </c>
      <c r="D29" s="107">
        <f>C29*D27</f>
        <v>525.64</v>
      </c>
    </row>
    <row r="30" spans="1:4" ht="15.75" hidden="1" outlineLevel="1">
      <c r="A30" s="67" t="s">
        <v>328</v>
      </c>
      <c r="B30" s="65" t="s">
        <v>357</v>
      </c>
      <c r="C30" s="159">
        <v>0</v>
      </c>
      <c r="D30" s="108">
        <f>SUM(D31:D32)</f>
        <v>0</v>
      </c>
    </row>
    <row r="31" spans="1:4" ht="15.75" hidden="1" outlineLevel="2">
      <c r="A31" s="80" t="s">
        <v>358</v>
      </c>
      <c r="B31" s="65" t="s">
        <v>359</v>
      </c>
      <c r="C31" s="81">
        <v>0.2</v>
      </c>
      <c r="D31" s="108">
        <f>(SUM(D27:D29)/C27)*C31*15*C30</f>
        <v>0</v>
      </c>
    </row>
    <row r="32" spans="1:4" ht="15.75" hidden="1" outlineLevel="2">
      <c r="A32" s="80" t="s">
        <v>360</v>
      </c>
      <c r="B32" s="65" t="s">
        <v>361</v>
      </c>
      <c r="C32" s="82">
        <f>C30*(60/52.5)/8</f>
        <v>0</v>
      </c>
      <c r="D32" s="108">
        <f>(SUM(D27:D29)/C27)*(C31)*15*C32</f>
        <v>0</v>
      </c>
    </row>
    <row r="33" spans="1:4" ht="15.75" hidden="1" outlineLevel="1">
      <c r="A33" s="67" t="s">
        <v>331</v>
      </c>
      <c r="B33" s="65" t="s">
        <v>362</v>
      </c>
      <c r="C33" s="31" t="s">
        <v>363</v>
      </c>
      <c r="D33" s="1">
        <f>SUM(D34:D37)</f>
        <v>0</v>
      </c>
    </row>
    <row r="34" spans="1:4" ht="15.75" hidden="1" outlineLevel="2">
      <c r="A34" s="83" t="s">
        <v>364</v>
      </c>
      <c r="B34" s="84" t="s">
        <v>365</v>
      </c>
      <c r="C34" s="85">
        <v>0</v>
      </c>
      <c r="D34" s="109">
        <f>(SUM($D$27:$D$29)/$C$27)*C34*1.5</f>
        <v>0</v>
      </c>
    </row>
    <row r="35" spans="1:4" ht="15.75" hidden="1" outlineLevel="2">
      <c r="A35" s="83" t="s">
        <v>366</v>
      </c>
      <c r="B35" s="86" t="s">
        <v>367</v>
      </c>
      <c r="C35" s="87">
        <v>0</v>
      </c>
      <c r="D35" s="109">
        <f>(SUM($D$27:$D$29)/$C$27)*C35*((60/52.5)*1.2*1.5)</f>
        <v>0</v>
      </c>
    </row>
    <row r="36" spans="1:4" ht="15.75" hidden="1" outlineLevel="2">
      <c r="A36" s="83" t="s">
        <v>368</v>
      </c>
      <c r="B36" s="84" t="s">
        <v>369</v>
      </c>
      <c r="C36" s="88">
        <f>C34*0.1429</f>
        <v>0</v>
      </c>
      <c r="D36" s="109">
        <f>(SUM($D$27:$D$29)/$C$27)*C36*2</f>
        <v>0</v>
      </c>
    </row>
    <row r="37" spans="1:4" ht="15.75" hidden="1" outlineLevel="2">
      <c r="A37" s="83" t="s">
        <v>370</v>
      </c>
      <c r="B37" s="84" t="s">
        <v>371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>
      <c r="A38" s="67" t="s">
        <v>334</v>
      </c>
      <c r="B38" s="58" t="s">
        <v>372</v>
      </c>
      <c r="C38" s="59">
        <v>0</v>
      </c>
      <c r="D38" s="110">
        <v>0</v>
      </c>
    </row>
    <row r="39" spans="1:4" ht="15.75" collapsed="1">
      <c r="A39" s="676" t="s">
        <v>373</v>
      </c>
      <c r="B39" s="678"/>
      <c r="C39" s="677"/>
      <c r="D39" s="111">
        <f>SUM(D27:D30,D33,D38)</f>
        <v>1839.73</v>
      </c>
    </row>
    <row r="40" spans="1:4" ht="15.75">
      <c r="A40" s="679"/>
      <c r="B40" s="679"/>
      <c r="C40" s="679"/>
      <c r="D40" s="679"/>
    </row>
    <row r="41" spans="1:4" ht="15.75" hidden="1" outlineLevel="1">
      <c r="A41" s="89" t="s">
        <v>374</v>
      </c>
      <c r="B41" s="112" t="s">
        <v>375</v>
      </c>
      <c r="C41" s="113" t="s">
        <v>376</v>
      </c>
      <c r="D41" s="113" t="s">
        <v>352</v>
      </c>
    </row>
    <row r="42" spans="1:4" ht="15.75" hidden="1" outlineLevel="1">
      <c r="A42" s="114" t="s">
        <v>353</v>
      </c>
      <c r="B42" s="30" t="s">
        <v>377</v>
      </c>
      <c r="C42" s="90">
        <v>0</v>
      </c>
      <c r="D42" s="115">
        <f>(SUM(D27)/$C$27)*C42*1.5</f>
        <v>0</v>
      </c>
    </row>
    <row r="43" spans="1:4" ht="15.75" hidden="1" outlineLevel="1">
      <c r="A43" s="116" t="s">
        <v>325</v>
      </c>
      <c r="B43" s="117" t="s">
        <v>378</v>
      </c>
      <c r="C43" s="118">
        <v>0</v>
      </c>
      <c r="D43" s="107">
        <f>C43*177</f>
        <v>0</v>
      </c>
    </row>
    <row r="44" spans="1:4" ht="15.75" hidden="1" outlineLevel="1">
      <c r="A44" s="67" t="s">
        <v>328</v>
      </c>
      <c r="B44" s="58" t="s">
        <v>372</v>
      </c>
      <c r="C44" s="59">
        <v>0</v>
      </c>
      <c r="D44" s="110">
        <v>0</v>
      </c>
    </row>
    <row r="45" spans="1:4" ht="15.75" collapsed="1">
      <c r="A45" s="663" t="s">
        <v>379</v>
      </c>
      <c r="B45" s="664"/>
      <c r="C45" s="33">
        <f>D45/D39</f>
        <v>0</v>
      </c>
      <c r="D45" s="119">
        <f>SUM(D42:D43)</f>
        <v>0</v>
      </c>
    </row>
    <row r="46" spans="1:4" ht="15.75">
      <c r="A46" s="665"/>
      <c r="B46" s="666"/>
      <c r="C46" s="666"/>
      <c r="D46" s="667"/>
    </row>
    <row r="47" spans="1:4" ht="15.75">
      <c r="A47" s="668" t="s">
        <v>380</v>
      </c>
      <c r="B47" s="669"/>
      <c r="C47" s="669"/>
      <c r="D47" s="670"/>
    </row>
    <row r="48" spans="1:4" ht="15.75" hidden="1" outlineLevel="1">
      <c r="A48" s="665"/>
      <c r="B48" s="666"/>
      <c r="C48" s="666"/>
      <c r="D48" s="667"/>
    </row>
    <row r="49" spans="1:4" ht="15.75" hidden="1" outlineLevel="1">
      <c r="A49" s="113" t="s">
        <v>381</v>
      </c>
      <c r="B49" s="112" t="s">
        <v>382</v>
      </c>
      <c r="C49" s="113" t="s">
        <v>383</v>
      </c>
      <c r="D49" s="113" t="s">
        <v>352</v>
      </c>
    </row>
    <row r="50" spans="1:4" ht="15.75" hidden="1" outlineLevel="2">
      <c r="A50" s="116" t="s">
        <v>353</v>
      </c>
      <c r="B50" s="117" t="s">
        <v>384</v>
      </c>
      <c r="C50" s="32">
        <f>1/12</f>
        <v>8.3299999999999999E-2</v>
      </c>
      <c r="D50" s="107">
        <f>C50*D39</f>
        <v>153.25</v>
      </c>
    </row>
    <row r="51" spans="1:4" ht="15.75" hidden="1" outlineLevel="2">
      <c r="A51" s="116" t="s">
        <v>322</v>
      </c>
      <c r="B51" s="117" t="s">
        <v>385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>
      <c r="A52" s="663" t="s">
        <v>176</v>
      </c>
      <c r="B52" s="664"/>
      <c r="C52" s="33">
        <f>SUM(C50:C51)</f>
        <v>0.1</v>
      </c>
      <c r="D52" s="119">
        <f>SUM(D50:D51)</f>
        <v>183.97</v>
      </c>
    </row>
    <row r="53" spans="1:4" ht="15.75" hidden="1" outlineLevel="1">
      <c r="A53" s="665"/>
      <c r="B53" s="666"/>
      <c r="C53" s="666"/>
      <c r="D53" s="667"/>
    </row>
    <row r="54" spans="1:4" ht="15.75" hidden="1" outlineLevel="1">
      <c r="A54" s="113" t="s">
        <v>386</v>
      </c>
      <c r="B54" s="120" t="s">
        <v>387</v>
      </c>
      <c r="C54" s="113" t="s">
        <v>383</v>
      </c>
      <c r="D54" s="121" t="s">
        <v>352</v>
      </c>
    </row>
    <row r="55" spans="1:4" ht="15.75" hidden="1" outlineLevel="2">
      <c r="A55" s="114" t="s">
        <v>353</v>
      </c>
      <c r="B55" s="34" t="s">
        <v>388</v>
      </c>
      <c r="C55" s="35">
        <v>0.2</v>
      </c>
      <c r="D55" s="107">
        <f t="shared" ref="D55:D62" si="0">C55*($D$39+$D$52)</f>
        <v>404.74</v>
      </c>
    </row>
    <row r="56" spans="1:4" ht="15.75" hidden="1" outlineLevel="2">
      <c r="A56" s="114" t="s">
        <v>322</v>
      </c>
      <c r="B56" s="34" t="s">
        <v>389</v>
      </c>
      <c r="C56" s="35">
        <v>2.5000000000000001E-2</v>
      </c>
      <c r="D56" s="107">
        <f t="shared" si="0"/>
        <v>50.59</v>
      </c>
    </row>
    <row r="57" spans="1:4" ht="15.75" hidden="1" outlineLevel="2">
      <c r="A57" s="114" t="s">
        <v>325</v>
      </c>
      <c r="B57" s="34" t="s">
        <v>390</v>
      </c>
      <c r="C57" s="68">
        <v>0.03</v>
      </c>
      <c r="D57" s="107">
        <f t="shared" si="0"/>
        <v>60.71</v>
      </c>
    </row>
    <row r="58" spans="1:4" ht="15.75" hidden="1" outlineLevel="2">
      <c r="A58" s="114" t="s">
        <v>328</v>
      </c>
      <c r="B58" s="34" t="s">
        <v>391</v>
      </c>
      <c r="C58" s="35">
        <v>1.4999999999999999E-2</v>
      </c>
      <c r="D58" s="107">
        <f t="shared" si="0"/>
        <v>30.36</v>
      </c>
    </row>
    <row r="59" spans="1:4" ht="15.75" hidden="1" outlineLevel="2">
      <c r="A59" s="114" t="s">
        <v>331</v>
      </c>
      <c r="B59" s="34" t="s">
        <v>392</v>
      </c>
      <c r="C59" s="35">
        <v>0.01</v>
      </c>
      <c r="D59" s="107">
        <f t="shared" si="0"/>
        <v>20.239999999999998</v>
      </c>
    </row>
    <row r="60" spans="1:4" ht="15.75" hidden="1" outlineLevel="2">
      <c r="A60" s="114" t="s">
        <v>334</v>
      </c>
      <c r="B60" s="34" t="s">
        <v>393</v>
      </c>
      <c r="C60" s="35">
        <v>6.0000000000000001E-3</v>
      </c>
      <c r="D60" s="107">
        <f t="shared" si="0"/>
        <v>12.14</v>
      </c>
    </row>
    <row r="61" spans="1:4" ht="15.75" hidden="1" outlineLevel="2">
      <c r="A61" s="114" t="s">
        <v>394</v>
      </c>
      <c r="B61" s="34" t="s">
        <v>395</v>
      </c>
      <c r="C61" s="35">
        <v>2E-3</v>
      </c>
      <c r="D61" s="107">
        <f t="shared" si="0"/>
        <v>4.05</v>
      </c>
    </row>
    <row r="62" spans="1:4" ht="15.75" hidden="1" outlineLevel="2">
      <c r="A62" s="114" t="s">
        <v>336</v>
      </c>
      <c r="B62" s="34" t="s">
        <v>396</v>
      </c>
      <c r="C62" s="35">
        <v>0.08</v>
      </c>
      <c r="D62" s="107">
        <f t="shared" si="0"/>
        <v>161.9</v>
      </c>
    </row>
    <row r="63" spans="1:4" ht="15.75" hidden="1" outlineLevel="1">
      <c r="A63" s="663" t="s">
        <v>176</v>
      </c>
      <c r="B63" s="664"/>
      <c r="C63" s="36">
        <f>SUM(C55:C62)</f>
        <v>0.36799999999999999</v>
      </c>
      <c r="D63" s="122">
        <f>SUM(D55:D62)</f>
        <v>744.73</v>
      </c>
    </row>
    <row r="64" spans="1:4" ht="15.75" hidden="1" outlineLevel="1">
      <c r="A64" s="665"/>
      <c r="B64" s="666"/>
      <c r="C64" s="666"/>
      <c r="D64" s="667"/>
    </row>
    <row r="65" spans="1:4" ht="15.75" hidden="1" outlineLevel="1">
      <c r="A65" s="113" t="s">
        <v>397</v>
      </c>
      <c r="B65" s="120" t="s">
        <v>398</v>
      </c>
      <c r="C65" s="113" t="s">
        <v>399</v>
      </c>
      <c r="D65" s="113" t="s">
        <v>352</v>
      </c>
    </row>
    <row r="66" spans="1:4" ht="15.75" hidden="1" outlineLevel="2">
      <c r="A66" s="114" t="s">
        <v>353</v>
      </c>
      <c r="B66" s="34" t="s">
        <v>400</v>
      </c>
      <c r="C66" s="123">
        <v>4.5</v>
      </c>
      <c r="D66" s="124">
        <f>IF(D67+D68&gt;0,(D67+D68),0)</f>
        <v>110.15</v>
      </c>
    </row>
    <row r="67" spans="1:4" ht="15.75" hidden="1" outlineLevel="3">
      <c r="A67" s="125" t="s">
        <v>401</v>
      </c>
      <c r="B67" s="34" t="s">
        <v>402</v>
      </c>
      <c r="C67" s="126">
        <v>21</v>
      </c>
      <c r="D67" s="127">
        <f>C66*C67*2</f>
        <v>189</v>
      </c>
    </row>
    <row r="68" spans="1:4" ht="15.75" hidden="1" outlineLevel="3">
      <c r="A68" s="125" t="s">
        <v>403</v>
      </c>
      <c r="B68" s="34" t="s">
        <v>404</v>
      </c>
      <c r="C68" s="128">
        <v>0.06</v>
      </c>
      <c r="D68" s="127">
        <f>-D27*C68</f>
        <v>-78.849999999999994</v>
      </c>
    </row>
    <row r="69" spans="1:4" ht="15.75" hidden="1" outlineLevel="2">
      <c r="A69" s="114" t="s">
        <v>322</v>
      </c>
      <c r="B69" s="34" t="s">
        <v>405</v>
      </c>
      <c r="C69" s="129">
        <f>'SR - ASG'!C69</f>
        <v>20.18</v>
      </c>
      <c r="D69" s="124">
        <f>D70+D71</f>
        <v>343.26</v>
      </c>
    </row>
    <row r="70" spans="1:4" ht="15.75" hidden="1" outlineLevel="3">
      <c r="A70" s="125" t="s">
        <v>406</v>
      </c>
      <c r="B70" s="34" t="s">
        <v>407</v>
      </c>
      <c r="C70" s="126">
        <v>21</v>
      </c>
      <c r="D70" s="127">
        <f>C69*C70</f>
        <v>423.78</v>
      </c>
    </row>
    <row r="71" spans="1:4" ht="15.75" hidden="1" outlineLevel="3">
      <c r="A71" s="125" t="s">
        <v>408</v>
      </c>
      <c r="B71" s="34" t="s">
        <v>409</v>
      </c>
      <c r="C71" s="130">
        <v>-0.19</v>
      </c>
      <c r="D71" s="127">
        <f>D70*C71</f>
        <v>-80.52</v>
      </c>
    </row>
    <row r="72" spans="1:4" ht="15.75" hidden="1" outlineLevel="2">
      <c r="A72" s="114" t="s">
        <v>325</v>
      </c>
      <c r="B72" s="77" t="s">
        <v>410</v>
      </c>
      <c r="C72" s="129">
        <v>17.32</v>
      </c>
      <c r="D72" s="132">
        <f>C72</f>
        <v>17.32</v>
      </c>
    </row>
    <row r="73" spans="1:4" ht="15.75" hidden="1" outlineLevel="2">
      <c r="A73" s="114" t="s">
        <v>328</v>
      </c>
      <c r="B73" s="78" t="s">
        <v>411</v>
      </c>
      <c r="C73" s="129">
        <f>140*3</f>
        <v>420</v>
      </c>
      <c r="D73" s="132">
        <f>C73*C152</f>
        <v>0.84</v>
      </c>
    </row>
    <row r="74" spans="1:4" ht="15.75" hidden="1" outlineLevel="2">
      <c r="A74" s="114" t="s">
        <v>331</v>
      </c>
      <c r="B74" s="77" t="s">
        <v>412</v>
      </c>
      <c r="C74" s="129">
        <v>21</v>
      </c>
      <c r="D74" s="132">
        <f>C74</f>
        <v>21</v>
      </c>
    </row>
    <row r="75" spans="1:4" ht="15.75" hidden="1" outlineLevel="2">
      <c r="A75" s="114" t="s">
        <v>334</v>
      </c>
      <c r="B75" s="77" t="s">
        <v>372</v>
      </c>
      <c r="C75" s="131">
        <v>0</v>
      </c>
      <c r="D75" s="132">
        <f>C75*D39</f>
        <v>0</v>
      </c>
    </row>
    <row r="76" spans="1:4" ht="15.75" hidden="1" outlineLevel="2">
      <c r="A76" s="114" t="s">
        <v>394</v>
      </c>
      <c r="B76" s="77" t="s">
        <v>372</v>
      </c>
      <c r="C76" s="129">
        <v>0</v>
      </c>
      <c r="D76" s="133">
        <f>C76</f>
        <v>0</v>
      </c>
    </row>
    <row r="77" spans="1:4" ht="15.75" hidden="1" outlineLevel="1">
      <c r="A77" s="663" t="s">
        <v>413</v>
      </c>
      <c r="B77" s="700"/>
      <c r="C77" s="664"/>
      <c r="D77" s="119">
        <f>SUM(D66,D69,D72:D76)</f>
        <v>492.57</v>
      </c>
    </row>
    <row r="78" spans="1:4" ht="15.75" hidden="1" outlineLevel="1">
      <c r="A78" s="665"/>
      <c r="B78" s="666"/>
      <c r="C78" s="666"/>
      <c r="D78" s="667"/>
    </row>
    <row r="79" spans="1:4" ht="15.75" hidden="1" outlineLevel="1">
      <c r="A79" s="701" t="s">
        <v>414</v>
      </c>
      <c r="B79" s="702"/>
      <c r="C79" s="113" t="s">
        <v>383</v>
      </c>
      <c r="D79" s="113" t="s">
        <v>352</v>
      </c>
    </row>
    <row r="80" spans="1:4" ht="15.75" hidden="1" outlineLevel="1">
      <c r="A80" s="114" t="s">
        <v>415</v>
      </c>
      <c r="B80" s="34" t="s">
        <v>382</v>
      </c>
      <c r="C80" s="37">
        <f>C52</f>
        <v>0.1</v>
      </c>
      <c r="D80" s="107">
        <f>D52</f>
        <v>183.97</v>
      </c>
    </row>
    <row r="81" spans="1:4" ht="15.75" hidden="1" outlineLevel="1">
      <c r="A81" s="114" t="s">
        <v>386</v>
      </c>
      <c r="B81" s="34" t="s">
        <v>387</v>
      </c>
      <c r="C81" s="37">
        <f>C63</f>
        <v>0.36799999999999999</v>
      </c>
      <c r="D81" s="107">
        <f>D63</f>
        <v>744.73</v>
      </c>
    </row>
    <row r="82" spans="1:4" ht="15.75" hidden="1" outlineLevel="1">
      <c r="A82" s="114" t="s">
        <v>416</v>
      </c>
      <c r="B82" s="34" t="s">
        <v>398</v>
      </c>
      <c r="C82" s="37">
        <f>D77/D39</f>
        <v>0.26769999999999999</v>
      </c>
      <c r="D82" s="107">
        <f>D77</f>
        <v>492.57</v>
      </c>
    </row>
    <row r="83" spans="1:4" ht="15.75" collapsed="1">
      <c r="A83" s="663" t="s">
        <v>176</v>
      </c>
      <c r="B83" s="700"/>
      <c r="C83" s="664"/>
      <c r="D83" s="119">
        <f>SUM(D80:D82)</f>
        <v>1421.27</v>
      </c>
    </row>
    <row r="84" spans="1:4" ht="15.75">
      <c r="A84" s="665"/>
      <c r="B84" s="666"/>
      <c r="C84" s="666"/>
      <c r="D84" s="667"/>
    </row>
    <row r="85" spans="1:4" ht="15.75">
      <c r="A85" s="694" t="s">
        <v>417</v>
      </c>
      <c r="B85" s="695"/>
      <c r="C85" s="695"/>
      <c r="D85" s="696"/>
    </row>
    <row r="86" spans="1:4" ht="15.75" hidden="1" outlineLevel="1">
      <c r="A86" s="665"/>
      <c r="B86" s="666"/>
      <c r="C86" s="666"/>
      <c r="D86" s="667"/>
    </row>
    <row r="87" spans="1:4" ht="15.75" hidden="1" outlineLevel="1">
      <c r="A87" s="66" t="s">
        <v>418</v>
      </c>
      <c r="B87" s="112" t="s">
        <v>419</v>
      </c>
      <c r="C87" s="113" t="s">
        <v>383</v>
      </c>
      <c r="D87" s="113" t="s">
        <v>352</v>
      </c>
    </row>
    <row r="88" spans="1:4" ht="15.75" hidden="1" outlineLevel="2">
      <c r="A88" s="38" t="s">
        <v>353</v>
      </c>
      <c r="B88" s="39" t="s">
        <v>420</v>
      </c>
      <c r="C88" s="38" t="s">
        <v>363</v>
      </c>
      <c r="D88" s="134">
        <f>IF(C99&gt;1,SUM(D89:D92)*2,SUM(D89:D92))</f>
        <v>2592.48</v>
      </c>
    </row>
    <row r="89" spans="1:4" ht="15.75" hidden="1" outlineLevel="3">
      <c r="A89" s="40" t="s">
        <v>421</v>
      </c>
      <c r="B89" s="41" t="s">
        <v>422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>
      <c r="A90" s="40" t="s">
        <v>423</v>
      </c>
      <c r="B90" s="41" t="s">
        <v>424</v>
      </c>
      <c r="C90" s="32">
        <f>1/12</f>
        <v>8.3299999999999999E-2</v>
      </c>
      <c r="D90" s="134">
        <f>C90*D89</f>
        <v>168.57</v>
      </c>
    </row>
    <row r="91" spans="1:4" ht="15.75" hidden="1" outlineLevel="3">
      <c r="A91" s="40" t="s">
        <v>425</v>
      </c>
      <c r="B91" s="41" t="s">
        <v>426</v>
      </c>
      <c r="C91" s="32">
        <f>(1/12)+(1/12/3)</f>
        <v>0.1111</v>
      </c>
      <c r="D91" s="135">
        <f>C91*D89</f>
        <v>224.83</v>
      </c>
    </row>
    <row r="92" spans="1:4" ht="15.75" hidden="1" outlineLevel="3">
      <c r="A92" s="40" t="s">
        <v>427</v>
      </c>
      <c r="B92" s="41" t="s">
        <v>428</v>
      </c>
      <c r="C92" s="42">
        <v>0.08</v>
      </c>
      <c r="D92" s="134">
        <f>SUM(D89:D90)*C92</f>
        <v>175.38</v>
      </c>
    </row>
    <row r="93" spans="1:4" ht="15.75" hidden="1" outlineLevel="2">
      <c r="A93" s="38" t="s">
        <v>322</v>
      </c>
      <c r="B93" s="39" t="s">
        <v>429</v>
      </c>
      <c r="C93" s="43">
        <v>0.4</v>
      </c>
      <c r="D93" s="134">
        <f>C93*D94</f>
        <v>1297.1300000000001</v>
      </c>
    </row>
    <row r="94" spans="1:4" ht="15.75" hidden="1" outlineLevel="3">
      <c r="A94" s="38" t="s">
        <v>430</v>
      </c>
      <c r="B94" s="39" t="s">
        <v>431</v>
      </c>
      <c r="C94" s="43">
        <f>C62</f>
        <v>0.08</v>
      </c>
      <c r="D94" s="134">
        <f>C94*D95</f>
        <v>3242.83</v>
      </c>
    </row>
    <row r="95" spans="1:4" ht="15.75" hidden="1" outlineLevel="3">
      <c r="A95" s="38" t="s">
        <v>432</v>
      </c>
      <c r="B95" s="44" t="s">
        <v>433</v>
      </c>
      <c r="C95" s="45" t="s">
        <v>363</v>
      </c>
      <c r="D95" s="135">
        <f>SUM(D96:D98)</f>
        <v>40535.379999999997</v>
      </c>
    </row>
    <row r="96" spans="1:4" ht="15.75" hidden="1" outlineLevel="3">
      <c r="A96" s="40" t="s">
        <v>434</v>
      </c>
      <c r="B96" s="41" t="s">
        <v>435</v>
      </c>
      <c r="C96" s="46">
        <f>C12-C98</f>
        <v>19</v>
      </c>
      <c r="D96" s="134">
        <f>D39*C96</f>
        <v>34954.870000000003</v>
      </c>
    </row>
    <row r="97" spans="1:4" ht="15.75" hidden="1" outlineLevel="3">
      <c r="A97" s="40" t="s">
        <v>436</v>
      </c>
      <c r="B97" s="41" t="s">
        <v>437</v>
      </c>
      <c r="C97" s="47">
        <f>C12/12</f>
        <v>1.7</v>
      </c>
      <c r="D97" s="134">
        <f>D39*C97</f>
        <v>3127.54</v>
      </c>
    </row>
    <row r="98" spans="1:4" ht="15.75" hidden="1" outlineLevel="3">
      <c r="A98" s="40" t="s">
        <v>438</v>
      </c>
      <c r="B98" s="41" t="s">
        <v>439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>
      <c r="A99" s="663" t="s">
        <v>176</v>
      </c>
      <c r="B99" s="664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>
      <c r="A100" s="697"/>
      <c r="B100" s="698"/>
      <c r="C100" s="698"/>
      <c r="D100" s="699"/>
    </row>
    <row r="101" spans="1:4" ht="15.75" hidden="1" outlineLevel="1">
      <c r="A101" s="66" t="s">
        <v>440</v>
      </c>
      <c r="B101" s="112" t="s">
        <v>441</v>
      </c>
      <c r="C101" s="113" t="s">
        <v>383</v>
      </c>
      <c r="D101" s="113" t="s">
        <v>352</v>
      </c>
    </row>
    <row r="102" spans="1:4" ht="15.75" hidden="1" outlineLevel="2">
      <c r="A102" s="38" t="s">
        <v>353</v>
      </c>
      <c r="B102" s="44" t="s">
        <v>442</v>
      </c>
      <c r="C102" s="48">
        <f>IF(C111&gt;1,(1/30*7)*2,(1/30*7))</f>
        <v>0.23330000000000001</v>
      </c>
      <c r="D102" s="135">
        <f>C102*SUM(D103:D107)</f>
        <v>798.67</v>
      </c>
    </row>
    <row r="103" spans="1:4" ht="15.75" hidden="1" outlineLevel="3">
      <c r="A103" s="40" t="s">
        <v>421</v>
      </c>
      <c r="B103" s="41" t="s">
        <v>443</v>
      </c>
      <c r="C103" s="38">
        <v>1</v>
      </c>
      <c r="D103" s="134">
        <f>D39</f>
        <v>1839.73</v>
      </c>
    </row>
    <row r="104" spans="1:4" ht="15.75" hidden="1" outlineLevel="3">
      <c r="A104" s="40" t="s">
        <v>423</v>
      </c>
      <c r="B104" s="41" t="s">
        <v>444</v>
      </c>
      <c r="C104" s="32">
        <f>1/12</f>
        <v>8.3299999999999999E-2</v>
      </c>
      <c r="D104" s="134">
        <f>C104*D103</f>
        <v>153.25</v>
      </c>
    </row>
    <row r="105" spans="1:4" ht="15.75" hidden="1" outlineLevel="3">
      <c r="A105" s="40" t="s">
        <v>425</v>
      </c>
      <c r="B105" s="41" t="s">
        <v>445</v>
      </c>
      <c r="C105" s="32">
        <f>(1/12)+(1/12/3)</f>
        <v>0.1111</v>
      </c>
      <c r="D105" s="134">
        <f>C105*D103</f>
        <v>204.39</v>
      </c>
    </row>
    <row r="106" spans="1:4" ht="15.75" hidden="1" outlineLevel="3">
      <c r="A106" s="40" t="s">
        <v>427</v>
      </c>
      <c r="B106" s="49" t="s">
        <v>446</v>
      </c>
      <c r="C106" s="50">
        <f>C63</f>
        <v>0.36799999999999999</v>
      </c>
      <c r="D106" s="135">
        <f>C106*(D103+D104)</f>
        <v>733.42</v>
      </c>
    </row>
    <row r="107" spans="1:4" ht="15.75" hidden="1" outlineLevel="3">
      <c r="A107" s="40" t="s">
        <v>447</v>
      </c>
      <c r="B107" s="49" t="s">
        <v>448</v>
      </c>
      <c r="C107" s="45">
        <v>1</v>
      </c>
      <c r="D107" s="135">
        <f>D77</f>
        <v>492.57</v>
      </c>
    </row>
    <row r="108" spans="1:4" ht="15.75" hidden="1" outlineLevel="2">
      <c r="A108" s="38" t="s">
        <v>322</v>
      </c>
      <c r="B108" s="39" t="s">
        <v>449</v>
      </c>
      <c r="C108" s="43">
        <v>0.4</v>
      </c>
      <c r="D108" s="134">
        <f>C108*D109</f>
        <v>1297.1300000000001</v>
      </c>
    </row>
    <row r="109" spans="1:4" ht="15.75" hidden="1" outlineLevel="2">
      <c r="A109" s="38" t="s">
        <v>430</v>
      </c>
      <c r="B109" s="39" t="s">
        <v>431</v>
      </c>
      <c r="C109" s="43">
        <f>C62</f>
        <v>0.08</v>
      </c>
      <c r="D109" s="134">
        <f>C109*D110</f>
        <v>3242.83</v>
      </c>
    </row>
    <row r="110" spans="1:4" ht="15.75" hidden="1" outlineLevel="2">
      <c r="A110" s="38" t="s">
        <v>432</v>
      </c>
      <c r="B110" s="44" t="s">
        <v>433</v>
      </c>
      <c r="C110" s="45" t="s">
        <v>363</v>
      </c>
      <c r="D110" s="135">
        <f>D95</f>
        <v>40535.379999999997</v>
      </c>
    </row>
    <row r="111" spans="1:4" ht="15.75" hidden="1" outlineLevel="1">
      <c r="A111" s="663" t="s">
        <v>176</v>
      </c>
      <c r="B111" s="664"/>
      <c r="C111" s="69">
        <f>'SR - ASG'!C111</f>
        <v>0.94450000000000001</v>
      </c>
      <c r="D111" s="119">
        <f>IF(C111&gt;1,D102+D108,(D102+D108)*C111)</f>
        <v>1979.48</v>
      </c>
    </row>
    <row r="112" spans="1:4" ht="15.75" hidden="1" outlineLevel="1">
      <c r="A112" s="697"/>
      <c r="B112" s="698"/>
      <c r="C112" s="698"/>
      <c r="D112" s="699"/>
    </row>
    <row r="113" spans="1:4" ht="15.75" hidden="1" outlineLevel="1">
      <c r="A113" s="66" t="s">
        <v>450</v>
      </c>
      <c r="B113" s="112" t="s">
        <v>451</v>
      </c>
      <c r="C113" s="113" t="s">
        <v>383</v>
      </c>
      <c r="D113" s="113" t="s">
        <v>352</v>
      </c>
    </row>
    <row r="114" spans="1:4" ht="15.75" hidden="1" outlineLevel="2">
      <c r="A114" s="114" t="s">
        <v>353</v>
      </c>
      <c r="B114" s="34" t="s">
        <v>452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>
      <c r="A115" s="114" t="s">
        <v>322</v>
      </c>
      <c r="B115" s="51" t="s">
        <v>453</v>
      </c>
      <c r="C115" s="37">
        <f>C114/3</f>
        <v>1.11E-2</v>
      </c>
      <c r="D115" s="137">
        <f>C115*D39</f>
        <v>20.420000000000002</v>
      </c>
    </row>
    <row r="116" spans="1:4" ht="15.75" hidden="1" outlineLevel="1">
      <c r="A116" s="663" t="s">
        <v>176</v>
      </c>
      <c r="B116" s="664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>
      <c r="A117" s="697"/>
      <c r="B117" s="698"/>
      <c r="C117" s="698"/>
      <c r="D117" s="699"/>
    </row>
    <row r="118" spans="1:4" ht="15.75" hidden="1" outlineLevel="1">
      <c r="A118" s="701" t="s">
        <v>454</v>
      </c>
      <c r="B118" s="702"/>
      <c r="C118" s="113" t="s">
        <v>383</v>
      </c>
      <c r="D118" s="113" t="s">
        <v>352</v>
      </c>
    </row>
    <row r="119" spans="1:4" ht="15.75" hidden="1" outlineLevel="1">
      <c r="A119" s="114" t="s">
        <v>418</v>
      </c>
      <c r="B119" s="34" t="s">
        <v>419</v>
      </c>
      <c r="C119" s="37">
        <f>C99</f>
        <v>5.5500000000000001E-2</v>
      </c>
      <c r="D119" s="107">
        <f>D99</f>
        <v>215.87</v>
      </c>
    </row>
    <row r="120" spans="1:4" ht="15.75" hidden="1" outlineLevel="1">
      <c r="A120" s="116" t="s">
        <v>440</v>
      </c>
      <c r="B120" s="34" t="s">
        <v>441</v>
      </c>
      <c r="C120" s="52">
        <f>C111</f>
        <v>0.94450000000000001</v>
      </c>
      <c r="D120" s="107">
        <f>D111</f>
        <v>1979.48</v>
      </c>
    </row>
    <row r="121" spans="1:4" ht="15.75" hidden="1" outlineLevel="1">
      <c r="A121" s="707" t="s">
        <v>455</v>
      </c>
      <c r="B121" s="707"/>
      <c r="C121" s="707"/>
      <c r="D121" s="138">
        <f>D119+D120</f>
        <v>2195.35</v>
      </c>
    </row>
    <row r="122" spans="1:4" ht="15.75" hidden="1" outlineLevel="1">
      <c r="A122" s="703" t="s">
        <v>456</v>
      </c>
      <c r="B122" s="704"/>
      <c r="C122" s="70">
        <f>'SR - ASG'!C122</f>
        <v>0.63570000000000004</v>
      </c>
      <c r="D122" s="61">
        <f>C122*D121</f>
        <v>1395.58</v>
      </c>
    </row>
    <row r="123" spans="1:4" ht="15.75" hidden="1" outlineLevel="1">
      <c r="A123" s="703" t="s">
        <v>457</v>
      </c>
      <c r="B123" s="70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>
      <c r="A124" s="705" t="s">
        <v>458</v>
      </c>
      <c r="B124" s="706"/>
      <c r="C124" s="74">
        <f>1/C12</f>
        <v>0.05</v>
      </c>
      <c r="D124" s="62">
        <f>(D122+D123)*C124</f>
        <v>69.67</v>
      </c>
    </row>
    <row r="125" spans="1:4" ht="15.75" hidden="1" outlineLevel="1">
      <c r="A125" s="116" t="s">
        <v>450</v>
      </c>
      <c r="B125" s="34" t="s">
        <v>459</v>
      </c>
      <c r="C125" s="52"/>
      <c r="D125" s="127">
        <f>D116</f>
        <v>81.680000000000007</v>
      </c>
    </row>
    <row r="126" spans="1:4" ht="15.75" collapsed="1">
      <c r="A126" s="663" t="s">
        <v>176</v>
      </c>
      <c r="B126" s="664"/>
      <c r="C126" s="33"/>
      <c r="D126" s="139">
        <f>D124+D125</f>
        <v>151.35</v>
      </c>
    </row>
    <row r="127" spans="1:4" ht="15.75">
      <c r="A127" s="665"/>
      <c r="B127" s="666"/>
      <c r="C127" s="666"/>
      <c r="D127" s="667"/>
    </row>
    <row r="128" spans="1:4" ht="15.75">
      <c r="A128" s="668" t="s">
        <v>460</v>
      </c>
      <c r="B128" s="669"/>
      <c r="C128" s="669"/>
      <c r="D128" s="670"/>
    </row>
    <row r="129" spans="1:4" ht="15.75" hidden="1" outlineLevel="1">
      <c r="A129" s="697"/>
      <c r="B129" s="698"/>
      <c r="C129" s="698"/>
      <c r="D129" s="699"/>
    </row>
    <row r="130" spans="1:4" ht="15.75" hidden="1" outlineLevel="1">
      <c r="A130" s="113" t="s">
        <v>461</v>
      </c>
      <c r="B130" s="120" t="s">
        <v>462</v>
      </c>
      <c r="C130" s="33" t="s">
        <v>383</v>
      </c>
      <c r="D130" s="113" t="s">
        <v>352</v>
      </c>
    </row>
    <row r="131" spans="1:4" ht="15.75" hidden="1" outlineLevel="2">
      <c r="A131" s="140" t="s">
        <v>353</v>
      </c>
      <c r="B131" s="91" t="s">
        <v>463</v>
      </c>
      <c r="C131" s="53">
        <f>IF(C12&gt;60,5/C12,IF(C12&gt;48,4/C12,IF(C12&gt;36,3/C12,IF(C12&gt;24,2/C12,IF(C12&gt;12,1/C12,0)))))</f>
        <v>0.05</v>
      </c>
      <c r="D131" s="136">
        <f>SUM(D132:D136)</f>
        <v>118.85</v>
      </c>
    </row>
    <row r="132" spans="1:4" ht="15.75" hidden="1" outlineLevel="3">
      <c r="A132" s="141" t="s">
        <v>464</v>
      </c>
      <c r="B132" s="92" t="s">
        <v>465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>
      <c r="A133" s="141" t="s">
        <v>466</v>
      </c>
      <c r="B133" s="92" t="s">
        <v>467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>
      <c r="A134" s="141" t="s">
        <v>468</v>
      </c>
      <c r="B134" s="92" t="s">
        <v>469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>
      <c r="A135" s="141" t="s">
        <v>470</v>
      </c>
      <c r="B135" s="92" t="s">
        <v>471</v>
      </c>
      <c r="C135" s="93">
        <f>C63</f>
        <v>0.36799999999999999</v>
      </c>
      <c r="D135" s="143">
        <f>SUM(D132:D134)*C131</f>
        <v>5.49</v>
      </c>
    </row>
    <row r="136" spans="1:4" ht="15.75" hidden="1" outlineLevel="3">
      <c r="A136" s="141" t="s">
        <v>472</v>
      </c>
      <c r="B136" s="92" t="s">
        <v>473</v>
      </c>
      <c r="C136" s="144">
        <f>D124</f>
        <v>69.67</v>
      </c>
      <c r="D136" s="143">
        <f>C136*C131</f>
        <v>3.48</v>
      </c>
    </row>
    <row r="137" spans="1:4" ht="15.75" hidden="1" outlineLevel="2">
      <c r="A137" s="114" t="s">
        <v>322</v>
      </c>
      <c r="B137" s="34" t="s">
        <v>474</v>
      </c>
      <c r="C137" s="94">
        <v>0</v>
      </c>
      <c r="D137" s="127">
        <f>$C$131*(D39)*(C137/3)</f>
        <v>0</v>
      </c>
    </row>
    <row r="138" spans="1:4" ht="15.75" hidden="1" outlineLevel="1">
      <c r="A138" s="663" t="s">
        <v>475</v>
      </c>
      <c r="B138" s="664"/>
      <c r="C138" s="33">
        <f>C131+(D137/D39)</f>
        <v>0.05</v>
      </c>
      <c r="D138" s="119">
        <f>SUM(D131:D137)</f>
        <v>237.7</v>
      </c>
    </row>
    <row r="139" spans="1:4" ht="15.75" hidden="1" outlineLevel="1">
      <c r="A139" s="697"/>
      <c r="B139" s="698"/>
      <c r="C139" s="698"/>
      <c r="D139" s="699"/>
    </row>
    <row r="140" spans="1:4" ht="15.75" hidden="1" outlineLevel="2">
      <c r="A140" s="710" t="s">
        <v>476</v>
      </c>
      <c r="B140" s="145" t="s">
        <v>435</v>
      </c>
      <c r="C140" s="95">
        <v>220</v>
      </c>
      <c r="D140" s="146">
        <f>D39</f>
        <v>1839.73</v>
      </c>
    </row>
    <row r="141" spans="1:4" ht="15.75" hidden="1" outlineLevel="2">
      <c r="A141" s="711"/>
      <c r="B141" s="145" t="s">
        <v>477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>
      <c r="A142" s="711"/>
      <c r="B142" s="145" t="s">
        <v>478</v>
      </c>
      <c r="C142" s="53">
        <f>C63</f>
        <v>0.36799999999999999</v>
      </c>
      <c r="D142" s="147">
        <f>(D140+D141)*C142</f>
        <v>808.63</v>
      </c>
    </row>
    <row r="143" spans="1:4" ht="15.75" hidden="1" outlineLevel="2">
      <c r="A143" s="711"/>
      <c r="B143" s="145" t="s">
        <v>479</v>
      </c>
      <c r="C143" s="53">
        <f>D143/D140</f>
        <v>0.26769999999999999</v>
      </c>
      <c r="D143" s="147">
        <f>D77</f>
        <v>492.57</v>
      </c>
    </row>
    <row r="144" spans="1:4" ht="15.75" hidden="1" outlineLevel="2">
      <c r="A144" s="712"/>
      <c r="B144" s="148" t="s">
        <v>480</v>
      </c>
      <c r="C144" s="53">
        <f>D144/D140</f>
        <v>3.7900000000000003E-2</v>
      </c>
      <c r="D144" s="147">
        <f>D124</f>
        <v>69.67</v>
      </c>
    </row>
    <row r="145" spans="1:4" ht="15.75" hidden="1" outlineLevel="2">
      <c r="A145" s="713" t="s">
        <v>481</v>
      </c>
      <c r="B145" s="714"/>
      <c r="C145" s="96">
        <f>D145/D140</f>
        <v>1.9395</v>
      </c>
      <c r="D145" s="149">
        <f>SUM(D140:D144)</f>
        <v>3568.24</v>
      </c>
    </row>
    <row r="146" spans="1:4" ht="15.75" hidden="1" outlineLevel="2">
      <c r="A146" s="715"/>
      <c r="B146" s="715"/>
      <c r="C146" s="715"/>
      <c r="D146" s="716"/>
    </row>
    <row r="147" spans="1:4" ht="15.75" hidden="1" outlineLevel="1">
      <c r="A147" s="113" t="s">
        <v>482</v>
      </c>
      <c r="B147" s="120" t="s">
        <v>483</v>
      </c>
      <c r="C147" s="33" t="s">
        <v>383</v>
      </c>
      <c r="D147" s="113" t="s">
        <v>352</v>
      </c>
    </row>
    <row r="148" spans="1:4" ht="15.75" hidden="1" outlineLevel="2">
      <c r="A148" s="114" t="s">
        <v>322</v>
      </c>
      <c r="B148" s="34" t="s">
        <v>484</v>
      </c>
      <c r="C148" s="79">
        <f>5/252</f>
        <v>1.9800000000000002E-2</v>
      </c>
      <c r="D148" s="136">
        <f>C148*$D$145</f>
        <v>70.650000000000006</v>
      </c>
    </row>
    <row r="149" spans="1:4" ht="15.75" hidden="1" outlineLevel="2">
      <c r="A149" s="114" t="s">
        <v>325</v>
      </c>
      <c r="B149" s="34" t="s">
        <v>485</v>
      </c>
      <c r="C149" s="79">
        <f>1.383/252</f>
        <v>5.4999999999999997E-3</v>
      </c>
      <c r="D149" s="136">
        <f>C149*$D$145</f>
        <v>19.63</v>
      </c>
    </row>
    <row r="150" spans="1:4" ht="15.75" hidden="1" outlineLevel="2">
      <c r="A150" s="114" t="s">
        <v>328</v>
      </c>
      <c r="B150" s="34" t="s">
        <v>486</v>
      </c>
      <c r="C150" s="79">
        <f>1.3892/252</f>
        <v>5.4999999999999997E-3</v>
      </c>
      <c r="D150" s="136">
        <f t="shared" ref="D150:D153" si="1">C150*$D$145</f>
        <v>19.63</v>
      </c>
    </row>
    <row r="151" spans="1:4" ht="15.75" hidden="1" outlineLevel="2">
      <c r="A151" s="114" t="s">
        <v>331</v>
      </c>
      <c r="B151" s="34" t="s">
        <v>487</v>
      </c>
      <c r="C151" s="79">
        <f>0.65/252</f>
        <v>2.5999999999999999E-3</v>
      </c>
      <c r="D151" s="136">
        <f t="shared" si="1"/>
        <v>9.2799999999999994</v>
      </c>
    </row>
    <row r="152" spans="1:4" ht="15.75" hidden="1" outlineLevel="2">
      <c r="A152" s="114" t="s">
        <v>334</v>
      </c>
      <c r="B152" s="34" t="s">
        <v>488</v>
      </c>
      <c r="C152" s="79">
        <f>0.5052/252</f>
        <v>2E-3</v>
      </c>
      <c r="D152" s="136">
        <f t="shared" si="1"/>
        <v>7.14</v>
      </c>
    </row>
    <row r="153" spans="1:4" ht="15.75" hidden="1" outlineLevel="2">
      <c r="A153" s="114" t="s">
        <v>353</v>
      </c>
      <c r="B153" s="63" t="s">
        <v>489</v>
      </c>
      <c r="C153" s="71">
        <f>0.2/252</f>
        <v>8.0000000000000004E-4</v>
      </c>
      <c r="D153" s="136">
        <f t="shared" si="1"/>
        <v>2.85</v>
      </c>
    </row>
    <row r="154" spans="1:4" ht="15.75" hidden="1" outlineLevel="1">
      <c r="A154" s="663" t="s">
        <v>475</v>
      </c>
      <c r="B154" s="664"/>
      <c r="C154" s="33">
        <f>SUM(C148:C153)</f>
        <v>3.6200000000000003E-2</v>
      </c>
      <c r="D154" s="119">
        <f>SUM(D148:D153)</f>
        <v>129.18</v>
      </c>
    </row>
    <row r="155" spans="1:4" ht="15.75" hidden="1" outlineLevel="1">
      <c r="A155" s="697"/>
      <c r="B155" s="698"/>
      <c r="C155" s="698"/>
      <c r="D155" s="699"/>
    </row>
    <row r="156" spans="1:4" ht="15.75" hidden="1" outlineLevel="1">
      <c r="A156" s="701" t="s">
        <v>490</v>
      </c>
      <c r="B156" s="708"/>
      <c r="C156" s="33" t="s">
        <v>491</v>
      </c>
      <c r="D156" s="113" t="s">
        <v>352</v>
      </c>
    </row>
    <row r="157" spans="1:4" ht="15.75" hidden="1" outlineLevel="2">
      <c r="A157" s="709" t="s">
        <v>492</v>
      </c>
      <c r="B157" s="145" t="s">
        <v>493</v>
      </c>
      <c r="C157" s="97">
        <f>C153</f>
        <v>8.0000000000000004E-4</v>
      </c>
      <c r="D157" s="150">
        <f>C157*-D140</f>
        <v>-1.47</v>
      </c>
    </row>
    <row r="158" spans="1:4" ht="15.75" hidden="1" outlineLevel="2">
      <c r="A158" s="709"/>
      <c r="B158" s="151" t="s">
        <v>494</v>
      </c>
      <c r="C158" s="98">
        <v>0</v>
      </c>
      <c r="D158" s="152">
        <f>C158*-(D140/220/24*5)</f>
        <v>0</v>
      </c>
    </row>
    <row r="159" spans="1:4" ht="15.75" hidden="1" outlineLevel="2">
      <c r="A159" s="709"/>
      <c r="B159" s="151" t="s">
        <v>495</v>
      </c>
      <c r="C159" s="98">
        <v>0</v>
      </c>
      <c r="D159" s="152">
        <f>C159*-D141</f>
        <v>0</v>
      </c>
    </row>
    <row r="160" spans="1:4" ht="15.75" hidden="1" outlineLevel="2">
      <c r="A160" s="709"/>
      <c r="B160" s="145" t="s">
        <v>496</v>
      </c>
      <c r="C160" s="97">
        <f>C154</f>
        <v>3.6200000000000003E-2</v>
      </c>
      <c r="D160" s="150">
        <f>C160*-D66</f>
        <v>-3.99</v>
      </c>
    </row>
    <row r="161" spans="1:4" ht="15.75" hidden="1" outlineLevel="2">
      <c r="A161" s="709"/>
      <c r="B161" s="145" t="s">
        <v>497</v>
      </c>
      <c r="C161" s="97">
        <f>C154</f>
        <v>3.6200000000000003E-2</v>
      </c>
      <c r="D161" s="150">
        <f>C161*-D69</f>
        <v>-12.43</v>
      </c>
    </row>
    <row r="162" spans="1:4" ht="15.75" hidden="1" outlineLevel="2">
      <c r="A162" s="709"/>
      <c r="B162" s="148" t="s">
        <v>498</v>
      </c>
      <c r="C162" s="97">
        <f>C153</f>
        <v>8.0000000000000004E-4</v>
      </c>
      <c r="D162" s="150">
        <f>C162*-D74</f>
        <v>-0.02</v>
      </c>
    </row>
    <row r="163" spans="1:4" ht="15.75" hidden="1" outlineLevel="2">
      <c r="A163" s="709"/>
      <c r="B163" s="148" t="s">
        <v>499</v>
      </c>
      <c r="C163" s="99">
        <f>C152</f>
        <v>2E-3</v>
      </c>
      <c r="D163" s="136">
        <f>C163*-SUM(D55:D61)</f>
        <v>-1.17</v>
      </c>
    </row>
    <row r="164" spans="1:4" ht="15.75" hidden="1" outlineLevel="2">
      <c r="A164" s="709"/>
      <c r="B164" s="145" t="s">
        <v>500</v>
      </c>
      <c r="C164" s="97">
        <f>C153</f>
        <v>8.0000000000000004E-4</v>
      </c>
      <c r="D164" s="150">
        <f>C164*-D142</f>
        <v>-0.65</v>
      </c>
    </row>
    <row r="165" spans="1:4" ht="15.75" hidden="1" outlineLevel="1">
      <c r="A165" s="663" t="s">
        <v>501</v>
      </c>
      <c r="B165" s="664"/>
      <c r="C165" s="33">
        <f>D165/D140</f>
        <v>-1.0699999999999999E-2</v>
      </c>
      <c r="D165" s="119">
        <f>SUM(D157:D164)</f>
        <v>-19.73</v>
      </c>
    </row>
    <row r="166" spans="1:4" ht="15.75" hidden="1" outlineLevel="1">
      <c r="A166" s="697"/>
      <c r="B166" s="698"/>
      <c r="C166" s="698"/>
      <c r="D166" s="699"/>
    </row>
    <row r="167" spans="1:4" ht="15.75" hidden="1" outlineLevel="1">
      <c r="A167" s="663" t="s">
        <v>502</v>
      </c>
      <c r="B167" s="664"/>
      <c r="C167" s="33">
        <f>D167/D140</f>
        <v>5.9499999999999997E-2</v>
      </c>
      <c r="D167" s="119">
        <f>D154+D165</f>
        <v>109.45</v>
      </c>
    </row>
    <row r="168" spans="1:4" ht="15.75" hidden="1" outlineLevel="1">
      <c r="A168" s="697"/>
      <c r="B168" s="698"/>
      <c r="C168" s="698"/>
      <c r="D168" s="699"/>
    </row>
    <row r="169" spans="1:4" ht="15.75" hidden="1" outlineLevel="1">
      <c r="A169" s="701" t="s">
        <v>503</v>
      </c>
      <c r="B169" s="702"/>
      <c r="C169" s="113" t="s">
        <v>383</v>
      </c>
      <c r="D169" s="113" t="s">
        <v>352</v>
      </c>
    </row>
    <row r="170" spans="1:4" ht="15.75" hidden="1" outlineLevel="1">
      <c r="A170" s="114" t="s">
        <v>461</v>
      </c>
      <c r="B170" s="34" t="s">
        <v>462</v>
      </c>
      <c r="C170" s="37"/>
      <c r="D170" s="153">
        <f>D138</f>
        <v>237.7</v>
      </c>
    </row>
    <row r="171" spans="1:4" ht="15.75" hidden="1" outlineLevel="1">
      <c r="A171" s="114" t="s">
        <v>482</v>
      </c>
      <c r="B171" s="34" t="s">
        <v>483</v>
      </c>
      <c r="C171" s="37"/>
      <c r="D171" s="153">
        <f>D167</f>
        <v>109.45</v>
      </c>
    </row>
    <row r="172" spans="1:4" ht="15.75" collapsed="1">
      <c r="A172" s="663" t="s">
        <v>176</v>
      </c>
      <c r="B172" s="700"/>
      <c r="C172" s="664"/>
      <c r="D172" s="122">
        <f>SUM(D170:D171)</f>
        <v>347.15</v>
      </c>
    </row>
    <row r="173" spans="1:4" ht="15.75">
      <c r="A173" s="697"/>
      <c r="B173" s="698"/>
      <c r="C173" s="698"/>
      <c r="D173" s="699"/>
    </row>
    <row r="174" spans="1:4" ht="15.75">
      <c r="A174" s="668" t="s">
        <v>504</v>
      </c>
      <c r="B174" s="669"/>
      <c r="C174" s="669"/>
      <c r="D174" s="670"/>
    </row>
    <row r="175" spans="1:4" ht="15.75" hidden="1" outlineLevel="1">
      <c r="A175" s="697"/>
      <c r="B175" s="698"/>
      <c r="C175" s="698"/>
      <c r="D175" s="699"/>
    </row>
    <row r="176" spans="1:4" ht="15.75" hidden="1" outlineLevel="1">
      <c r="A176" s="66">
        <v>5</v>
      </c>
      <c r="B176" s="663" t="s">
        <v>505</v>
      </c>
      <c r="C176" s="664"/>
      <c r="D176" s="113" t="s">
        <v>352</v>
      </c>
    </row>
    <row r="177" spans="1:4" ht="15.75" hidden="1" outlineLevel="1">
      <c r="A177" s="114" t="s">
        <v>353</v>
      </c>
      <c r="B177" s="717" t="s">
        <v>506</v>
      </c>
      <c r="C177" s="718"/>
      <c r="D177" s="136">
        <f>INSUMOS!H14</f>
        <v>25.55</v>
      </c>
    </row>
    <row r="178" spans="1:4" ht="15.75" hidden="1" outlineLevel="1">
      <c r="A178" s="114" t="s">
        <v>322</v>
      </c>
      <c r="B178" s="717" t="s">
        <v>541</v>
      </c>
      <c r="C178" s="718"/>
      <c r="D178" s="154">
        <f>INSUMOS!H42</f>
        <v>26.74</v>
      </c>
    </row>
    <row r="179" spans="1:4" ht="15.75" hidden="1" outlineLevel="1">
      <c r="A179" s="114" t="s">
        <v>325</v>
      </c>
      <c r="B179" s="649" t="s">
        <v>508</v>
      </c>
      <c r="C179" s="650"/>
      <c r="D179" s="154">
        <f>MATERIAIS!L109</f>
        <v>873.57</v>
      </c>
    </row>
    <row r="180" spans="1:4" ht="15.75" hidden="1" outlineLevel="1">
      <c r="A180" s="114" t="s">
        <v>328</v>
      </c>
      <c r="B180" s="649" t="s">
        <v>509</v>
      </c>
      <c r="C180" s="650"/>
      <c r="D180" s="154">
        <f>EQUIPAMENTOS!M111</f>
        <v>35.6</v>
      </c>
    </row>
    <row r="181" spans="1:4" ht="15.75" hidden="1" outlineLevel="1">
      <c r="A181" s="114" t="s">
        <v>331</v>
      </c>
      <c r="B181" s="651" t="s">
        <v>372</v>
      </c>
      <c r="C181" s="652"/>
      <c r="D181" s="133">
        <v>0</v>
      </c>
    </row>
    <row r="182" spans="1:4" ht="15.75" collapsed="1">
      <c r="A182" s="663" t="s">
        <v>176</v>
      </c>
      <c r="B182" s="700"/>
      <c r="C182" s="664"/>
      <c r="D182" s="119">
        <f>SUM(D177:D181)</f>
        <v>961.46</v>
      </c>
    </row>
    <row r="183" spans="1:4" ht="15.75">
      <c r="A183" s="665"/>
      <c r="B183" s="666"/>
      <c r="C183" s="666"/>
      <c r="D183" s="667"/>
    </row>
    <row r="184" spans="1:4" ht="15.75">
      <c r="A184" s="723" t="s">
        <v>510</v>
      </c>
      <c r="B184" s="723"/>
      <c r="C184" s="723"/>
      <c r="D184" s="155">
        <f>D39+D83+D126+D172+D182</f>
        <v>4720.96</v>
      </c>
    </row>
    <row r="185" spans="1:4" ht="15.75">
      <c r="A185" s="679"/>
      <c r="B185" s="679"/>
      <c r="C185" s="679"/>
      <c r="D185" s="679"/>
    </row>
    <row r="186" spans="1:4" ht="15.75">
      <c r="A186" s="724" t="s">
        <v>511</v>
      </c>
      <c r="B186" s="724"/>
      <c r="C186" s="724"/>
      <c r="D186" s="724"/>
    </row>
    <row r="187" spans="1:4" ht="15.75" hidden="1" outlineLevel="1">
      <c r="A187" s="725"/>
      <c r="B187" s="726"/>
      <c r="C187" s="726"/>
      <c r="D187" s="727"/>
    </row>
    <row r="188" spans="1:4" ht="15.75" hidden="1" outlineLevel="1">
      <c r="A188" s="66">
        <v>6</v>
      </c>
      <c r="B188" s="120" t="s">
        <v>512</v>
      </c>
      <c r="C188" s="113" t="s">
        <v>383</v>
      </c>
      <c r="D188" s="113" t="s">
        <v>352</v>
      </c>
    </row>
    <row r="189" spans="1:4" ht="15.75" hidden="1" outlineLevel="1">
      <c r="A189" s="114" t="s">
        <v>353</v>
      </c>
      <c r="B189" s="34" t="s">
        <v>513</v>
      </c>
      <c r="C189" s="72">
        <f>'SR - ASG'!C189</f>
        <v>2.6499999999999999E-2</v>
      </c>
      <c r="D189" s="108">
        <f>C189*D184</f>
        <v>125.11</v>
      </c>
    </row>
    <row r="190" spans="1:4" ht="15.75" hidden="1" outlineLevel="1">
      <c r="A190" s="719" t="s">
        <v>514</v>
      </c>
      <c r="B190" s="720"/>
      <c r="C190" s="722"/>
      <c r="D190" s="108">
        <f>D184+D189</f>
        <v>4846.07</v>
      </c>
    </row>
    <row r="191" spans="1:4" ht="15.75" hidden="1" outlineLevel="1">
      <c r="A191" s="114" t="s">
        <v>322</v>
      </c>
      <c r="B191" s="34" t="s">
        <v>515</v>
      </c>
      <c r="C191" s="72">
        <f>'SR - ASG'!C191</f>
        <v>0.1087</v>
      </c>
      <c r="D191" s="108">
        <f>C191*D190</f>
        <v>526.77</v>
      </c>
    </row>
    <row r="192" spans="1:4" ht="15.75" hidden="1" outlineLevel="1">
      <c r="A192" s="719" t="s">
        <v>514</v>
      </c>
      <c r="B192" s="720"/>
      <c r="C192" s="720"/>
      <c r="D192" s="108">
        <f>D191+D190</f>
        <v>5372.84</v>
      </c>
    </row>
    <row r="193" spans="1:4" ht="15.75" hidden="1" outlineLevel="1">
      <c r="A193" s="114" t="s">
        <v>325</v>
      </c>
      <c r="B193" s="649" t="s">
        <v>516</v>
      </c>
      <c r="C193" s="721"/>
      <c r="D193" s="650"/>
    </row>
    <row r="194" spans="1:4" ht="15.75" hidden="1" outlineLevel="1">
      <c r="A194" s="156"/>
      <c r="B194" s="65" t="s">
        <v>517</v>
      </c>
      <c r="C194" s="72">
        <v>6.4999999999999997E-3</v>
      </c>
      <c r="D194" s="108">
        <f>(D192/(1-C197)*C194)</f>
        <v>37.61</v>
      </c>
    </row>
    <row r="195" spans="1:4" ht="15.75" hidden="1" outlineLevel="1">
      <c r="A195" s="156"/>
      <c r="B195" s="65" t="s">
        <v>518</v>
      </c>
      <c r="C195" s="72">
        <v>0.03</v>
      </c>
      <c r="D195" s="108">
        <f>(D192/(1-C197)*C195)</f>
        <v>173.6</v>
      </c>
    </row>
    <row r="196" spans="1:4" ht="15.75" hidden="1" outlineLevel="1">
      <c r="A196" s="156"/>
      <c r="B196" s="65" t="s">
        <v>576</v>
      </c>
      <c r="C196" s="54">
        <v>3.5000000000000003E-2</v>
      </c>
      <c r="D196" s="108">
        <f>(D192/(1-C197)*C196)</f>
        <v>202.53</v>
      </c>
    </row>
    <row r="197" spans="1:4" ht="15.75" hidden="1" outlineLevel="1">
      <c r="A197" s="719" t="s">
        <v>520</v>
      </c>
      <c r="B197" s="722"/>
      <c r="C197" s="55">
        <f>SUM(C194:C196)</f>
        <v>7.1499999999999994E-2</v>
      </c>
      <c r="D197" s="108">
        <f>SUM(D194:D196)</f>
        <v>413.74</v>
      </c>
    </row>
    <row r="198" spans="1:4" ht="15.75" collapsed="1">
      <c r="A198" s="663" t="s">
        <v>176</v>
      </c>
      <c r="B198" s="664"/>
      <c r="C198" s="56">
        <f>(1+C189)*(1+C191)*(1/(1-C197))-1</f>
        <v>0.22570000000000001</v>
      </c>
      <c r="D198" s="111">
        <f>SUM(D197+D189+D191)</f>
        <v>1065.6199999999999</v>
      </c>
    </row>
    <row r="199" spans="1:4" ht="15.75">
      <c r="A199" s="665"/>
      <c r="B199" s="666"/>
      <c r="C199" s="666"/>
      <c r="D199" s="667"/>
    </row>
    <row r="200" spans="1:4" ht="15.75">
      <c r="A200" s="676" t="s">
        <v>521</v>
      </c>
      <c r="B200" s="678"/>
      <c r="C200" s="677"/>
      <c r="D200" s="57" t="s">
        <v>352</v>
      </c>
    </row>
    <row r="201" spans="1:4" ht="15.75">
      <c r="A201" s="661" t="s">
        <v>522</v>
      </c>
      <c r="B201" s="728"/>
      <c r="C201" s="728"/>
      <c r="D201" s="662"/>
    </row>
    <row r="202" spans="1:4" ht="15.75">
      <c r="A202" s="67" t="s">
        <v>353</v>
      </c>
      <c r="B202" s="661" t="s">
        <v>523</v>
      </c>
      <c r="C202" s="662"/>
      <c r="D202" s="107">
        <f>D39</f>
        <v>1839.73</v>
      </c>
    </row>
    <row r="203" spans="1:4" ht="15.75">
      <c r="A203" s="67" t="s">
        <v>322</v>
      </c>
      <c r="B203" s="661" t="s">
        <v>524</v>
      </c>
      <c r="C203" s="662"/>
      <c r="D203" s="107">
        <f>D83</f>
        <v>1421.27</v>
      </c>
    </row>
    <row r="204" spans="1:4" ht="15.75">
      <c r="A204" s="67" t="s">
        <v>325</v>
      </c>
      <c r="B204" s="661" t="s">
        <v>525</v>
      </c>
      <c r="C204" s="662"/>
      <c r="D204" s="107">
        <f>D126</f>
        <v>151.35</v>
      </c>
    </row>
    <row r="205" spans="1:4" ht="15.75">
      <c r="A205" s="67" t="s">
        <v>328</v>
      </c>
      <c r="B205" s="661" t="s">
        <v>526</v>
      </c>
      <c r="C205" s="662"/>
      <c r="D205" s="107">
        <f>D172</f>
        <v>347.15</v>
      </c>
    </row>
    <row r="206" spans="1:4" ht="15.75">
      <c r="A206" s="67" t="s">
        <v>331</v>
      </c>
      <c r="B206" s="661" t="s">
        <v>527</v>
      </c>
      <c r="C206" s="662"/>
      <c r="D206" s="107">
        <f>D182</f>
        <v>961.46</v>
      </c>
    </row>
    <row r="207" spans="1:4" ht="15.75">
      <c r="A207" s="738" t="s">
        <v>528</v>
      </c>
      <c r="B207" s="739"/>
      <c r="C207" s="740"/>
      <c r="D207" s="107">
        <f>SUM(D202:D206)</f>
        <v>4720.96</v>
      </c>
    </row>
    <row r="208" spans="1:4" ht="15.75">
      <c r="A208" s="67" t="s">
        <v>529</v>
      </c>
      <c r="B208" s="661" t="s">
        <v>530</v>
      </c>
      <c r="C208" s="662"/>
      <c r="D208" s="107">
        <f>D198</f>
        <v>1065.6199999999999</v>
      </c>
    </row>
    <row r="209" spans="1:4" ht="15.75">
      <c r="A209" s="676" t="s">
        <v>531</v>
      </c>
      <c r="B209" s="678"/>
      <c r="C209" s="677"/>
      <c r="D209" s="157">
        <f xml:space="preserve"> D207+D208</f>
        <v>5786.58</v>
      </c>
    </row>
    <row r="210" spans="1:4" ht="15.75">
      <c r="A210" s="27"/>
      <c r="B210" s="27"/>
      <c r="C210" s="27"/>
      <c r="D210" s="27"/>
    </row>
    <row r="211" spans="1:4" ht="15.75" thickBot="1">
      <c r="A211" s="20"/>
      <c r="B211" s="20"/>
      <c r="C211" s="20"/>
      <c r="D211" s="20"/>
    </row>
    <row r="212" spans="1:4" ht="15.75">
      <c r="A212" s="646" t="s">
        <v>532</v>
      </c>
      <c r="B212" s="647"/>
      <c r="C212" s="647"/>
      <c r="D212" s="648"/>
    </row>
    <row r="213" spans="1:4" ht="31.5">
      <c r="A213" s="175" t="s">
        <v>533</v>
      </c>
      <c r="B213" s="176" t="s">
        <v>534</v>
      </c>
      <c r="C213" s="177" t="s">
        <v>535</v>
      </c>
      <c r="D213" s="178" t="s">
        <v>536</v>
      </c>
    </row>
    <row r="214" spans="1:4" ht="16.5" thickBot="1">
      <c r="A214" s="179">
        <v>3</v>
      </c>
      <c r="B214" s="182">
        <f>1/(C11/A214)</f>
        <v>1.0560070964E-3</v>
      </c>
      <c r="C214" s="180">
        <f>D209</f>
        <v>5786.58</v>
      </c>
      <c r="D214" s="184">
        <f>C214*B214</f>
        <v>6.1106695440000003</v>
      </c>
    </row>
  </sheetData>
  <mergeCells count="107">
    <mergeCell ref="A207:C207"/>
    <mergeCell ref="B208:C208"/>
    <mergeCell ref="A209:C209"/>
    <mergeCell ref="A201:D201"/>
    <mergeCell ref="B202:C202"/>
    <mergeCell ref="B203:C203"/>
    <mergeCell ref="B204:C204"/>
    <mergeCell ref="B205:C205"/>
    <mergeCell ref="B206:C206"/>
    <mergeCell ref="A192:C192"/>
    <mergeCell ref="B193:D193"/>
    <mergeCell ref="A197:B197"/>
    <mergeCell ref="A198:B198"/>
    <mergeCell ref="A199:D199"/>
    <mergeCell ref="A200:C200"/>
    <mergeCell ref="A183:D183"/>
    <mergeCell ref="A184:C184"/>
    <mergeCell ref="A185:D185"/>
    <mergeCell ref="A186:D186"/>
    <mergeCell ref="A187:D187"/>
    <mergeCell ref="A190:C190"/>
    <mergeCell ref="B176:C176"/>
    <mergeCell ref="B177:C177"/>
    <mergeCell ref="B178:C178"/>
    <mergeCell ref="B179:C179"/>
    <mergeCell ref="B181:C181"/>
    <mergeCell ref="A182:C182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212:D212"/>
    <mergeCell ref="B180:C180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7929D-CA92-47DD-B184-122217A5003A}">
  <sheetPr codeName="Planilha22">
    <pageSetUpPr fitToPage="1"/>
  </sheetPr>
  <dimension ref="A1:D214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>
      <c r="A1" s="680" t="s">
        <v>313</v>
      </c>
      <c r="B1" s="680"/>
      <c r="C1" s="680"/>
      <c r="D1" s="680"/>
    </row>
    <row r="2" spans="1:4" ht="15.75">
      <c r="A2" s="681" t="s">
        <v>314</v>
      </c>
      <c r="B2" s="681"/>
      <c r="C2" s="682" t="s">
        <v>315</v>
      </c>
      <c r="D2" s="683"/>
    </row>
    <row r="3" spans="1:4" ht="15.75">
      <c r="A3" s="681" t="s">
        <v>316</v>
      </c>
      <c r="B3" s="681"/>
      <c r="C3" s="682" t="s">
        <v>317</v>
      </c>
      <c r="D3" s="683"/>
    </row>
    <row r="4" spans="1:4" ht="15.75">
      <c r="A4" s="653"/>
      <c r="B4" s="653"/>
      <c r="C4" s="653"/>
      <c r="D4" s="653"/>
    </row>
    <row r="5" spans="1:4" ht="15.75">
      <c r="A5" s="653" t="s">
        <v>318</v>
      </c>
      <c r="B5" s="653"/>
      <c r="C5" s="653"/>
      <c r="D5" s="653"/>
    </row>
    <row r="6" spans="1:4" ht="15.75">
      <c r="A6" s="67" t="s">
        <v>319</v>
      </c>
      <c r="B6" s="65" t="s">
        <v>320</v>
      </c>
      <c r="C6" s="654" t="s">
        <v>321</v>
      </c>
      <c r="D6" s="655"/>
    </row>
    <row r="7" spans="1:4" ht="15.75">
      <c r="A7" s="67" t="s">
        <v>322</v>
      </c>
      <c r="B7" s="65" t="s">
        <v>323</v>
      </c>
      <c r="C7" s="656" t="s">
        <v>577</v>
      </c>
      <c r="D7" s="656"/>
    </row>
    <row r="8" spans="1:4" ht="15.75">
      <c r="A8" s="28" t="s">
        <v>325</v>
      </c>
      <c r="B8" s="29" t="s">
        <v>326</v>
      </c>
      <c r="C8" s="736" t="s">
        <v>327</v>
      </c>
      <c r="D8" s="737"/>
    </row>
    <row r="9" spans="1:4" ht="15.75">
      <c r="A9" s="67" t="s">
        <v>328</v>
      </c>
      <c r="B9" s="65" t="s">
        <v>329</v>
      </c>
      <c r="C9" s="659" t="s">
        <v>330</v>
      </c>
      <c r="D9" s="660"/>
    </row>
    <row r="10" spans="1:4" ht="15.75">
      <c r="A10" s="67" t="s">
        <v>331</v>
      </c>
      <c r="B10" s="65" t="s">
        <v>332</v>
      </c>
      <c r="C10" s="659" t="s">
        <v>333</v>
      </c>
      <c r="D10" s="660"/>
    </row>
    <row r="11" spans="1:4" ht="15.75">
      <c r="A11" s="67" t="s">
        <v>334</v>
      </c>
      <c r="B11" s="65" t="s">
        <v>335</v>
      </c>
      <c r="C11" s="686">
        <f>Resumo!F19</f>
        <v>2030.27</v>
      </c>
      <c r="D11" s="687"/>
    </row>
    <row r="12" spans="1:4" ht="15.75">
      <c r="A12" s="67" t="s">
        <v>394</v>
      </c>
      <c r="B12" s="65" t="s">
        <v>337</v>
      </c>
      <c r="C12" s="688">
        <f>Resumo!I5</f>
        <v>20</v>
      </c>
      <c r="D12" s="675"/>
    </row>
    <row r="13" spans="1:4" ht="15.75">
      <c r="A13" s="689"/>
      <c r="B13" s="690"/>
      <c r="C13" s="690"/>
      <c r="D13" s="690"/>
    </row>
    <row r="14" spans="1:4" ht="15.75">
      <c r="A14" s="691" t="s">
        <v>338</v>
      </c>
      <c r="B14" s="692"/>
      <c r="C14" s="692"/>
      <c r="D14" s="693"/>
    </row>
    <row r="15" spans="1:4" ht="15.75">
      <c r="A15" s="656" t="s">
        <v>339</v>
      </c>
      <c r="B15" s="656"/>
      <c r="C15" s="656"/>
      <c r="D15" s="656"/>
    </row>
    <row r="16" spans="1:4" ht="15.75">
      <c r="A16" s="67">
        <v>1</v>
      </c>
      <c r="B16" s="65" t="s">
        <v>340</v>
      </c>
      <c r="C16" s="659" t="s">
        <v>341</v>
      </c>
      <c r="D16" s="660" t="s">
        <v>62</v>
      </c>
    </row>
    <row r="17" spans="1:4" ht="15.75">
      <c r="A17" s="67">
        <v>2</v>
      </c>
      <c r="B17" s="30" t="s">
        <v>342</v>
      </c>
      <c r="C17" s="684" t="s">
        <v>343</v>
      </c>
      <c r="D17" s="685"/>
    </row>
    <row r="18" spans="1:4" ht="15.75">
      <c r="A18" s="656" t="s">
        <v>344</v>
      </c>
      <c r="B18" s="656"/>
      <c r="C18" s="656"/>
      <c r="D18" s="656"/>
    </row>
    <row r="19" spans="1:4" ht="15.75">
      <c r="A19" s="67">
        <v>3</v>
      </c>
      <c r="B19" s="661" t="s">
        <v>345</v>
      </c>
      <c r="C19" s="662"/>
      <c r="D19" s="106">
        <v>1314.09</v>
      </c>
    </row>
    <row r="20" spans="1:4" ht="15.75">
      <c r="A20" s="67">
        <v>4</v>
      </c>
      <c r="B20" s="661" t="s">
        <v>346</v>
      </c>
      <c r="C20" s="662"/>
      <c r="D20" s="158">
        <v>220</v>
      </c>
    </row>
    <row r="21" spans="1:4" ht="15.75">
      <c r="A21" s="67">
        <v>5</v>
      </c>
      <c r="B21" s="661" t="s">
        <v>347</v>
      </c>
      <c r="C21" s="662"/>
      <c r="D21" s="75" t="s">
        <v>348</v>
      </c>
    </row>
    <row r="22" spans="1:4" ht="15.75">
      <c r="A22" s="67">
        <v>6</v>
      </c>
      <c r="B22" s="661" t="s">
        <v>349</v>
      </c>
      <c r="C22" s="662"/>
      <c r="D22" s="76">
        <v>44562</v>
      </c>
    </row>
    <row r="23" spans="1:4" ht="15.75">
      <c r="A23" s="659"/>
      <c r="B23" s="671"/>
      <c r="C23" s="671"/>
      <c r="D23" s="660"/>
    </row>
    <row r="24" spans="1:4" ht="15.75">
      <c r="A24" s="672" t="s">
        <v>350</v>
      </c>
      <c r="B24" s="672"/>
      <c r="C24" s="672"/>
      <c r="D24" s="672"/>
    </row>
    <row r="25" spans="1:4" ht="15.75">
      <c r="A25" s="673"/>
      <c r="B25" s="674"/>
      <c r="C25" s="674"/>
      <c r="D25" s="675"/>
    </row>
    <row r="26" spans="1:4" ht="15.75">
      <c r="A26" s="66">
        <v>1</v>
      </c>
      <c r="B26" s="676" t="s">
        <v>351</v>
      </c>
      <c r="C26" s="677"/>
      <c r="D26" s="66" t="s">
        <v>352</v>
      </c>
    </row>
    <row r="27" spans="1:4" ht="15.75" hidden="1" outlineLevel="1">
      <c r="A27" s="67" t="s">
        <v>353</v>
      </c>
      <c r="B27" s="65" t="s">
        <v>354</v>
      </c>
      <c r="C27" s="73">
        <f>'SR - ASG'!C27</f>
        <v>220</v>
      </c>
      <c r="D27" s="107">
        <f>D19/220*C27</f>
        <v>1314.09</v>
      </c>
    </row>
    <row r="28" spans="1:4" ht="15.75" hidden="1" outlineLevel="1">
      <c r="A28" s="67" t="s">
        <v>322</v>
      </c>
      <c r="B28" s="65" t="s">
        <v>557</v>
      </c>
      <c r="C28" s="31">
        <v>0</v>
      </c>
      <c r="D28" s="107">
        <f>C28*D27</f>
        <v>0</v>
      </c>
    </row>
    <row r="29" spans="1:4" ht="15.75" hidden="1" outlineLevel="1">
      <c r="A29" s="67" t="s">
        <v>325</v>
      </c>
      <c r="B29" s="65" t="s">
        <v>356</v>
      </c>
      <c r="C29" s="31">
        <v>0.4</v>
      </c>
      <c r="D29" s="107">
        <f>C29*D27</f>
        <v>525.64</v>
      </c>
    </row>
    <row r="30" spans="1:4" ht="15.75" hidden="1" outlineLevel="1">
      <c r="A30" s="67" t="s">
        <v>328</v>
      </c>
      <c r="B30" s="65" t="s">
        <v>357</v>
      </c>
      <c r="C30" s="159">
        <v>0</v>
      </c>
      <c r="D30" s="108">
        <f>SUM(D31:D32)</f>
        <v>0</v>
      </c>
    </row>
    <row r="31" spans="1:4" ht="15.75" hidden="1" outlineLevel="2">
      <c r="A31" s="80" t="s">
        <v>358</v>
      </c>
      <c r="B31" s="65" t="s">
        <v>359</v>
      </c>
      <c r="C31" s="81">
        <v>0.2</v>
      </c>
      <c r="D31" s="108">
        <f>(SUM(D27:D29)/C27)*C31*15*C30</f>
        <v>0</v>
      </c>
    </row>
    <row r="32" spans="1:4" ht="15.75" hidden="1" outlineLevel="2">
      <c r="A32" s="80" t="s">
        <v>360</v>
      </c>
      <c r="B32" s="65" t="s">
        <v>361</v>
      </c>
      <c r="C32" s="82">
        <f>C30*(60/52.5)/8</f>
        <v>0</v>
      </c>
      <c r="D32" s="108">
        <f>(SUM(D27:D29)/C27)*(C31)*15*C32</f>
        <v>0</v>
      </c>
    </row>
    <row r="33" spans="1:4" ht="15.75" hidden="1" outlineLevel="1">
      <c r="A33" s="67" t="s">
        <v>331</v>
      </c>
      <c r="B33" s="65" t="s">
        <v>362</v>
      </c>
      <c r="C33" s="31" t="s">
        <v>363</v>
      </c>
      <c r="D33" s="1">
        <f>SUM(D34:D37)</f>
        <v>0</v>
      </c>
    </row>
    <row r="34" spans="1:4" ht="15.75" hidden="1" outlineLevel="2">
      <c r="A34" s="83" t="s">
        <v>364</v>
      </c>
      <c r="B34" s="84" t="s">
        <v>365</v>
      </c>
      <c r="C34" s="85">
        <v>0</v>
      </c>
      <c r="D34" s="109">
        <f>(SUM($D$27:$D$29)/$C$27)*C34*1.5</f>
        <v>0</v>
      </c>
    </row>
    <row r="35" spans="1:4" ht="15.75" hidden="1" outlineLevel="2">
      <c r="A35" s="83" t="s">
        <v>366</v>
      </c>
      <c r="B35" s="86" t="s">
        <v>367</v>
      </c>
      <c r="C35" s="87">
        <v>0</v>
      </c>
      <c r="D35" s="109">
        <f>(SUM($D$27:$D$29)/$C$27)*C35*((60/52.5)*1.2*1.5)</f>
        <v>0</v>
      </c>
    </row>
    <row r="36" spans="1:4" ht="15.75" hidden="1" outlineLevel="2">
      <c r="A36" s="83" t="s">
        <v>368</v>
      </c>
      <c r="B36" s="84" t="s">
        <v>369</v>
      </c>
      <c r="C36" s="88">
        <f>C34*0.1429</f>
        <v>0</v>
      </c>
      <c r="D36" s="109">
        <f>(SUM($D$27:$D$29)/$C$27)*C36*2</f>
        <v>0</v>
      </c>
    </row>
    <row r="37" spans="1:4" ht="15.75" hidden="1" outlineLevel="2">
      <c r="A37" s="83" t="s">
        <v>370</v>
      </c>
      <c r="B37" s="84" t="s">
        <v>371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>
      <c r="A38" s="67" t="s">
        <v>334</v>
      </c>
      <c r="B38" s="58" t="s">
        <v>372</v>
      </c>
      <c r="C38" s="59">
        <v>0</v>
      </c>
      <c r="D38" s="110">
        <v>0</v>
      </c>
    </row>
    <row r="39" spans="1:4" ht="15.75" collapsed="1">
      <c r="A39" s="676" t="s">
        <v>373</v>
      </c>
      <c r="B39" s="678"/>
      <c r="C39" s="677"/>
      <c r="D39" s="111">
        <f>SUM(D27:D30,D33,D38)</f>
        <v>1839.73</v>
      </c>
    </row>
    <row r="40" spans="1:4" ht="15.75">
      <c r="A40" s="679"/>
      <c r="B40" s="679"/>
      <c r="C40" s="679"/>
      <c r="D40" s="679"/>
    </row>
    <row r="41" spans="1:4" ht="15.75" hidden="1" outlineLevel="1">
      <c r="A41" s="89" t="s">
        <v>374</v>
      </c>
      <c r="B41" s="112" t="s">
        <v>375</v>
      </c>
      <c r="C41" s="113" t="s">
        <v>376</v>
      </c>
      <c r="D41" s="113" t="s">
        <v>352</v>
      </c>
    </row>
    <row r="42" spans="1:4" ht="15.75" hidden="1" outlineLevel="1">
      <c r="A42" s="114" t="s">
        <v>353</v>
      </c>
      <c r="B42" s="30" t="s">
        <v>377</v>
      </c>
      <c r="C42" s="90">
        <v>0</v>
      </c>
      <c r="D42" s="115">
        <f>(SUM(D27)/$C$27)*C42*1.5</f>
        <v>0</v>
      </c>
    </row>
    <row r="43" spans="1:4" ht="15.75" hidden="1" outlineLevel="1">
      <c r="A43" s="116" t="s">
        <v>325</v>
      </c>
      <c r="B43" s="117" t="s">
        <v>378</v>
      </c>
      <c r="C43" s="118">
        <v>0</v>
      </c>
      <c r="D43" s="107">
        <f>C43*177</f>
        <v>0</v>
      </c>
    </row>
    <row r="44" spans="1:4" ht="15.75" hidden="1" outlineLevel="1">
      <c r="A44" s="67" t="s">
        <v>328</v>
      </c>
      <c r="B44" s="58" t="s">
        <v>372</v>
      </c>
      <c r="C44" s="59">
        <v>0</v>
      </c>
      <c r="D44" s="110">
        <v>0</v>
      </c>
    </row>
    <row r="45" spans="1:4" ht="15.75" collapsed="1">
      <c r="A45" s="663" t="s">
        <v>379</v>
      </c>
      <c r="B45" s="664"/>
      <c r="C45" s="33">
        <f>D45/D39</f>
        <v>0</v>
      </c>
      <c r="D45" s="119">
        <f>SUM(D42:D43)</f>
        <v>0</v>
      </c>
    </row>
    <row r="46" spans="1:4" ht="15.75">
      <c r="A46" s="665"/>
      <c r="B46" s="666"/>
      <c r="C46" s="666"/>
      <c r="D46" s="667"/>
    </row>
    <row r="47" spans="1:4" ht="15.75">
      <c r="A47" s="668" t="s">
        <v>380</v>
      </c>
      <c r="B47" s="669"/>
      <c r="C47" s="669"/>
      <c r="D47" s="670"/>
    </row>
    <row r="48" spans="1:4" ht="15.75" hidden="1" outlineLevel="1">
      <c r="A48" s="665"/>
      <c r="B48" s="666"/>
      <c r="C48" s="666"/>
      <c r="D48" s="667"/>
    </row>
    <row r="49" spans="1:4" ht="15.75" hidden="1" outlineLevel="1">
      <c r="A49" s="113" t="s">
        <v>381</v>
      </c>
      <c r="B49" s="112" t="s">
        <v>382</v>
      </c>
      <c r="C49" s="113" t="s">
        <v>383</v>
      </c>
      <c r="D49" s="113" t="s">
        <v>352</v>
      </c>
    </row>
    <row r="50" spans="1:4" ht="15.75" hidden="1" outlineLevel="2">
      <c r="A50" s="116" t="s">
        <v>353</v>
      </c>
      <c r="B50" s="117" t="s">
        <v>384</v>
      </c>
      <c r="C50" s="32">
        <f>1/12</f>
        <v>8.3299999999999999E-2</v>
      </c>
      <c r="D50" s="107">
        <f>C50*D39</f>
        <v>153.25</v>
      </c>
    </row>
    <row r="51" spans="1:4" ht="15.75" hidden="1" outlineLevel="2">
      <c r="A51" s="116" t="s">
        <v>322</v>
      </c>
      <c r="B51" s="117" t="s">
        <v>385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>
      <c r="A52" s="663" t="s">
        <v>176</v>
      </c>
      <c r="B52" s="664"/>
      <c r="C52" s="33">
        <f>SUM(C50:C51)</f>
        <v>0.1</v>
      </c>
      <c r="D52" s="119">
        <f>SUM(D50:D51)</f>
        <v>183.97</v>
      </c>
    </row>
    <row r="53" spans="1:4" ht="15.75" hidden="1" outlineLevel="1">
      <c r="A53" s="665"/>
      <c r="B53" s="666"/>
      <c r="C53" s="666"/>
      <c r="D53" s="667"/>
    </row>
    <row r="54" spans="1:4" ht="15.75" hidden="1" outlineLevel="1">
      <c r="A54" s="113" t="s">
        <v>386</v>
      </c>
      <c r="B54" s="120" t="s">
        <v>387</v>
      </c>
      <c r="C54" s="113" t="s">
        <v>383</v>
      </c>
      <c r="D54" s="121" t="s">
        <v>352</v>
      </c>
    </row>
    <row r="55" spans="1:4" ht="15.75" hidden="1" outlineLevel="2">
      <c r="A55" s="114" t="s">
        <v>353</v>
      </c>
      <c r="B55" s="34" t="s">
        <v>388</v>
      </c>
      <c r="C55" s="35">
        <v>0.2</v>
      </c>
      <c r="D55" s="107">
        <f t="shared" ref="D55:D62" si="0">C55*($D$39+$D$52)</f>
        <v>404.74</v>
      </c>
    </row>
    <row r="56" spans="1:4" ht="15.75" hidden="1" outlineLevel="2">
      <c r="A56" s="114" t="s">
        <v>322</v>
      </c>
      <c r="B56" s="34" t="s">
        <v>389</v>
      </c>
      <c r="C56" s="35">
        <v>2.5000000000000001E-2</v>
      </c>
      <c r="D56" s="107">
        <f t="shared" si="0"/>
        <v>50.59</v>
      </c>
    </row>
    <row r="57" spans="1:4" ht="15.75" hidden="1" outlineLevel="2">
      <c r="A57" s="114" t="s">
        <v>325</v>
      </c>
      <c r="B57" s="34" t="s">
        <v>390</v>
      </c>
      <c r="C57" s="68">
        <v>0.03</v>
      </c>
      <c r="D57" s="107">
        <f t="shared" si="0"/>
        <v>60.71</v>
      </c>
    </row>
    <row r="58" spans="1:4" ht="15.75" hidden="1" outlineLevel="2">
      <c r="A58" s="114" t="s">
        <v>328</v>
      </c>
      <c r="B58" s="34" t="s">
        <v>391</v>
      </c>
      <c r="C58" s="35">
        <v>1.4999999999999999E-2</v>
      </c>
      <c r="D58" s="107">
        <f t="shared" si="0"/>
        <v>30.36</v>
      </c>
    </row>
    <row r="59" spans="1:4" ht="15.75" hidden="1" outlineLevel="2">
      <c r="A59" s="114" t="s">
        <v>331</v>
      </c>
      <c r="B59" s="34" t="s">
        <v>392</v>
      </c>
      <c r="C59" s="35">
        <v>0.01</v>
      </c>
      <c r="D59" s="107">
        <f t="shared" si="0"/>
        <v>20.239999999999998</v>
      </c>
    </row>
    <row r="60" spans="1:4" ht="15.75" hidden="1" outlineLevel="2">
      <c r="A60" s="114" t="s">
        <v>334</v>
      </c>
      <c r="B60" s="34" t="s">
        <v>393</v>
      </c>
      <c r="C60" s="35">
        <v>6.0000000000000001E-3</v>
      </c>
      <c r="D60" s="107">
        <f t="shared" si="0"/>
        <v>12.14</v>
      </c>
    </row>
    <row r="61" spans="1:4" ht="15.75" hidden="1" outlineLevel="2">
      <c r="A61" s="114" t="s">
        <v>394</v>
      </c>
      <c r="B61" s="34" t="s">
        <v>395</v>
      </c>
      <c r="C61" s="35">
        <v>2E-3</v>
      </c>
      <c r="D61" s="107">
        <f t="shared" si="0"/>
        <v>4.05</v>
      </c>
    </row>
    <row r="62" spans="1:4" ht="15.75" hidden="1" outlineLevel="2">
      <c r="A62" s="114" t="s">
        <v>336</v>
      </c>
      <c r="B62" s="34" t="s">
        <v>396</v>
      </c>
      <c r="C62" s="35">
        <v>0.08</v>
      </c>
      <c r="D62" s="107">
        <f t="shared" si="0"/>
        <v>161.9</v>
      </c>
    </row>
    <row r="63" spans="1:4" ht="15.75" hidden="1" outlineLevel="1">
      <c r="A63" s="663" t="s">
        <v>176</v>
      </c>
      <c r="B63" s="664"/>
      <c r="C63" s="36">
        <f>SUM(C55:C62)</f>
        <v>0.36799999999999999</v>
      </c>
      <c r="D63" s="122">
        <f>SUM(D55:D62)</f>
        <v>744.73</v>
      </c>
    </row>
    <row r="64" spans="1:4" ht="15.75" hidden="1" outlineLevel="1">
      <c r="A64" s="665"/>
      <c r="B64" s="666"/>
      <c r="C64" s="666"/>
      <c r="D64" s="667"/>
    </row>
    <row r="65" spans="1:4" ht="15.75" hidden="1" outlineLevel="1">
      <c r="A65" s="113" t="s">
        <v>397</v>
      </c>
      <c r="B65" s="120" t="s">
        <v>398</v>
      </c>
      <c r="C65" s="113" t="s">
        <v>399</v>
      </c>
      <c r="D65" s="113" t="s">
        <v>352</v>
      </c>
    </row>
    <row r="66" spans="1:4" ht="15.75" hidden="1" outlineLevel="2">
      <c r="A66" s="114" t="s">
        <v>353</v>
      </c>
      <c r="B66" s="34" t="s">
        <v>400</v>
      </c>
      <c r="C66" s="123">
        <v>4.3499999999999996</v>
      </c>
      <c r="D66" s="124">
        <f>IF(D67+D68&gt;0,(D67+D68),0)</f>
        <v>103.85</v>
      </c>
    </row>
    <row r="67" spans="1:4" ht="15.75" hidden="1" outlineLevel="3">
      <c r="A67" s="125" t="s">
        <v>401</v>
      </c>
      <c r="B67" s="34" t="s">
        <v>402</v>
      </c>
      <c r="C67" s="126">
        <v>21</v>
      </c>
      <c r="D67" s="127">
        <f>C66*C67*2</f>
        <v>182.7</v>
      </c>
    </row>
    <row r="68" spans="1:4" ht="15.75" hidden="1" outlineLevel="3">
      <c r="A68" s="125" t="s">
        <v>403</v>
      </c>
      <c r="B68" s="34" t="s">
        <v>404</v>
      </c>
      <c r="C68" s="128">
        <v>0.06</v>
      </c>
      <c r="D68" s="127">
        <f>-D27*C68</f>
        <v>-78.849999999999994</v>
      </c>
    </row>
    <row r="69" spans="1:4" ht="15.75" hidden="1" outlineLevel="2">
      <c r="A69" s="114" t="s">
        <v>322</v>
      </c>
      <c r="B69" s="34" t="s">
        <v>405</v>
      </c>
      <c r="C69" s="129">
        <f>'SR - ASG'!C69</f>
        <v>20.18</v>
      </c>
      <c r="D69" s="124">
        <f>D70+D71</f>
        <v>343.26</v>
      </c>
    </row>
    <row r="70" spans="1:4" ht="15.75" hidden="1" outlineLevel="3">
      <c r="A70" s="125" t="s">
        <v>406</v>
      </c>
      <c r="B70" s="34" t="s">
        <v>407</v>
      </c>
      <c r="C70" s="126">
        <v>21</v>
      </c>
      <c r="D70" s="127">
        <f>C69*C70</f>
        <v>423.78</v>
      </c>
    </row>
    <row r="71" spans="1:4" ht="15.75" hidden="1" outlineLevel="3">
      <c r="A71" s="125" t="s">
        <v>408</v>
      </c>
      <c r="B71" s="34" t="s">
        <v>409</v>
      </c>
      <c r="C71" s="130">
        <v>-0.19</v>
      </c>
      <c r="D71" s="127">
        <f>D70*C71</f>
        <v>-80.52</v>
      </c>
    </row>
    <row r="72" spans="1:4" ht="15.75" hidden="1" outlineLevel="2">
      <c r="A72" s="114" t="s">
        <v>325</v>
      </c>
      <c r="B72" s="77" t="s">
        <v>410</v>
      </c>
      <c r="C72" s="129">
        <v>17.32</v>
      </c>
      <c r="D72" s="132">
        <f>C72</f>
        <v>17.32</v>
      </c>
    </row>
    <row r="73" spans="1:4" ht="15.75" hidden="1" outlineLevel="2">
      <c r="A73" s="114" t="s">
        <v>328</v>
      </c>
      <c r="B73" s="78" t="s">
        <v>411</v>
      </c>
      <c r="C73" s="129">
        <f>140*3</f>
        <v>420</v>
      </c>
      <c r="D73" s="132">
        <f>C73*C152</f>
        <v>0.84</v>
      </c>
    </row>
    <row r="74" spans="1:4" ht="15.75" hidden="1" outlineLevel="2">
      <c r="A74" s="114" t="s">
        <v>331</v>
      </c>
      <c r="B74" s="77" t="s">
        <v>412</v>
      </c>
      <c r="C74" s="129">
        <v>21</v>
      </c>
      <c r="D74" s="132">
        <f>C74</f>
        <v>21</v>
      </c>
    </row>
    <row r="75" spans="1:4" ht="15.75" hidden="1" outlineLevel="2">
      <c r="A75" s="114" t="s">
        <v>334</v>
      </c>
      <c r="B75" s="77" t="s">
        <v>372</v>
      </c>
      <c r="C75" s="131">
        <v>0</v>
      </c>
      <c r="D75" s="132">
        <f>C75*D39</f>
        <v>0</v>
      </c>
    </row>
    <row r="76" spans="1:4" ht="15.75" hidden="1" outlineLevel="2">
      <c r="A76" s="114" t="s">
        <v>394</v>
      </c>
      <c r="B76" s="77" t="s">
        <v>372</v>
      </c>
      <c r="C76" s="129">
        <v>0</v>
      </c>
      <c r="D76" s="133">
        <f>C76</f>
        <v>0</v>
      </c>
    </row>
    <row r="77" spans="1:4" ht="15.75" hidden="1" outlineLevel="1">
      <c r="A77" s="663" t="s">
        <v>413</v>
      </c>
      <c r="B77" s="700"/>
      <c r="C77" s="664"/>
      <c r="D77" s="119">
        <f>SUM(D66,D69,D72:D76)</f>
        <v>486.27</v>
      </c>
    </row>
    <row r="78" spans="1:4" ht="15.75" hidden="1" outlineLevel="1">
      <c r="A78" s="665"/>
      <c r="B78" s="666"/>
      <c r="C78" s="666"/>
      <c r="D78" s="667"/>
    </row>
    <row r="79" spans="1:4" ht="15.75" hidden="1" outlineLevel="1">
      <c r="A79" s="701" t="s">
        <v>414</v>
      </c>
      <c r="B79" s="702"/>
      <c r="C79" s="113" t="s">
        <v>383</v>
      </c>
      <c r="D79" s="113" t="s">
        <v>352</v>
      </c>
    </row>
    <row r="80" spans="1:4" ht="15.75" hidden="1" outlineLevel="1">
      <c r="A80" s="114" t="s">
        <v>415</v>
      </c>
      <c r="B80" s="34" t="s">
        <v>382</v>
      </c>
      <c r="C80" s="37">
        <f>C52</f>
        <v>0.1</v>
      </c>
      <c r="D80" s="107">
        <f>D52</f>
        <v>183.97</v>
      </c>
    </row>
    <row r="81" spans="1:4" ht="15.75" hidden="1" outlineLevel="1">
      <c r="A81" s="114" t="s">
        <v>386</v>
      </c>
      <c r="B81" s="34" t="s">
        <v>387</v>
      </c>
      <c r="C81" s="37">
        <f>C63</f>
        <v>0.36799999999999999</v>
      </c>
      <c r="D81" s="107">
        <f>D63</f>
        <v>744.73</v>
      </c>
    </row>
    <row r="82" spans="1:4" ht="15.75" hidden="1" outlineLevel="1">
      <c r="A82" s="114" t="s">
        <v>416</v>
      </c>
      <c r="B82" s="34" t="s">
        <v>398</v>
      </c>
      <c r="C82" s="37">
        <f>D77/D39</f>
        <v>0.26429999999999998</v>
      </c>
      <c r="D82" s="107">
        <f>D77</f>
        <v>486.27</v>
      </c>
    </row>
    <row r="83" spans="1:4" ht="15.75" collapsed="1">
      <c r="A83" s="663" t="s">
        <v>176</v>
      </c>
      <c r="B83" s="700"/>
      <c r="C83" s="664"/>
      <c r="D83" s="119">
        <f>SUM(D80:D82)</f>
        <v>1414.97</v>
      </c>
    </row>
    <row r="84" spans="1:4" ht="15.75">
      <c r="A84" s="665"/>
      <c r="B84" s="666"/>
      <c r="C84" s="666"/>
      <c r="D84" s="667"/>
    </row>
    <row r="85" spans="1:4" ht="15.75">
      <c r="A85" s="694" t="s">
        <v>417</v>
      </c>
      <c r="B85" s="695"/>
      <c r="C85" s="695"/>
      <c r="D85" s="696"/>
    </row>
    <row r="86" spans="1:4" ht="15.75" hidden="1" outlineLevel="1">
      <c r="A86" s="665"/>
      <c r="B86" s="666"/>
      <c r="C86" s="666"/>
      <c r="D86" s="667"/>
    </row>
    <row r="87" spans="1:4" ht="15.75" hidden="1" outlineLevel="1">
      <c r="A87" s="66" t="s">
        <v>418</v>
      </c>
      <c r="B87" s="112" t="s">
        <v>419</v>
      </c>
      <c r="C87" s="113" t="s">
        <v>383</v>
      </c>
      <c r="D87" s="113" t="s">
        <v>352</v>
      </c>
    </row>
    <row r="88" spans="1:4" ht="15.75" hidden="1" outlineLevel="2">
      <c r="A88" s="38" t="s">
        <v>353</v>
      </c>
      <c r="B88" s="39" t="s">
        <v>420</v>
      </c>
      <c r="C88" s="38" t="s">
        <v>363</v>
      </c>
      <c r="D88" s="134">
        <f>IF(C99&gt;1,SUM(D89:D92)*2,SUM(D89:D92))</f>
        <v>2592.48</v>
      </c>
    </row>
    <row r="89" spans="1:4" ht="15.75" hidden="1" outlineLevel="3">
      <c r="A89" s="40" t="s">
        <v>421</v>
      </c>
      <c r="B89" s="41" t="s">
        <v>422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>
      <c r="A90" s="40" t="s">
        <v>423</v>
      </c>
      <c r="B90" s="41" t="s">
        <v>424</v>
      </c>
      <c r="C90" s="32">
        <f>1/12</f>
        <v>8.3299999999999999E-2</v>
      </c>
      <c r="D90" s="134">
        <f>C90*D89</f>
        <v>168.57</v>
      </c>
    </row>
    <row r="91" spans="1:4" ht="15.75" hidden="1" outlineLevel="3">
      <c r="A91" s="40" t="s">
        <v>425</v>
      </c>
      <c r="B91" s="41" t="s">
        <v>426</v>
      </c>
      <c r="C91" s="32">
        <f>(1/12)+(1/12/3)</f>
        <v>0.1111</v>
      </c>
      <c r="D91" s="135">
        <f>C91*D89</f>
        <v>224.83</v>
      </c>
    </row>
    <row r="92" spans="1:4" ht="15.75" hidden="1" outlineLevel="3">
      <c r="A92" s="40" t="s">
        <v>427</v>
      </c>
      <c r="B92" s="41" t="s">
        <v>428</v>
      </c>
      <c r="C92" s="42">
        <v>0.08</v>
      </c>
      <c r="D92" s="134">
        <f>SUM(D89:D90)*C92</f>
        <v>175.38</v>
      </c>
    </row>
    <row r="93" spans="1:4" ht="15.75" hidden="1" outlineLevel="2">
      <c r="A93" s="38" t="s">
        <v>322</v>
      </c>
      <c r="B93" s="39" t="s">
        <v>429</v>
      </c>
      <c r="C93" s="43">
        <v>0.4</v>
      </c>
      <c r="D93" s="134">
        <f>C93*D94</f>
        <v>1297.1300000000001</v>
      </c>
    </row>
    <row r="94" spans="1:4" ht="15.75" hidden="1" outlineLevel="3">
      <c r="A94" s="38" t="s">
        <v>430</v>
      </c>
      <c r="B94" s="39" t="s">
        <v>431</v>
      </c>
      <c r="C94" s="43">
        <f>C62</f>
        <v>0.08</v>
      </c>
      <c r="D94" s="134">
        <f>C94*D95</f>
        <v>3242.83</v>
      </c>
    </row>
    <row r="95" spans="1:4" ht="15.75" hidden="1" outlineLevel="3">
      <c r="A95" s="38" t="s">
        <v>432</v>
      </c>
      <c r="B95" s="44" t="s">
        <v>433</v>
      </c>
      <c r="C95" s="45" t="s">
        <v>363</v>
      </c>
      <c r="D95" s="135">
        <f>SUM(D96:D98)</f>
        <v>40535.379999999997</v>
      </c>
    </row>
    <row r="96" spans="1:4" ht="15.75" hidden="1" outlineLevel="3">
      <c r="A96" s="40" t="s">
        <v>434</v>
      </c>
      <c r="B96" s="41" t="s">
        <v>435</v>
      </c>
      <c r="C96" s="46">
        <f>C12-C98</f>
        <v>19</v>
      </c>
      <c r="D96" s="134">
        <f>D39*C96</f>
        <v>34954.870000000003</v>
      </c>
    </row>
    <row r="97" spans="1:4" ht="15.75" hidden="1" outlineLevel="3">
      <c r="A97" s="40" t="s">
        <v>436</v>
      </c>
      <c r="B97" s="41" t="s">
        <v>437</v>
      </c>
      <c r="C97" s="47">
        <f>C12/12</f>
        <v>1.7</v>
      </c>
      <c r="D97" s="134">
        <f>D39*C97</f>
        <v>3127.54</v>
      </c>
    </row>
    <row r="98" spans="1:4" ht="15.75" hidden="1" outlineLevel="3">
      <c r="A98" s="40" t="s">
        <v>438</v>
      </c>
      <c r="B98" s="41" t="s">
        <v>439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>
      <c r="A99" s="663" t="s">
        <v>176</v>
      </c>
      <c r="B99" s="664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>
      <c r="A100" s="697"/>
      <c r="B100" s="698"/>
      <c r="C100" s="698"/>
      <c r="D100" s="699"/>
    </row>
    <row r="101" spans="1:4" ht="15.75" hidden="1" outlineLevel="1">
      <c r="A101" s="66" t="s">
        <v>440</v>
      </c>
      <c r="B101" s="112" t="s">
        <v>441</v>
      </c>
      <c r="C101" s="113" t="s">
        <v>383</v>
      </c>
      <c r="D101" s="113" t="s">
        <v>352</v>
      </c>
    </row>
    <row r="102" spans="1:4" ht="15.75" hidden="1" outlineLevel="2">
      <c r="A102" s="38" t="s">
        <v>353</v>
      </c>
      <c r="B102" s="44" t="s">
        <v>442</v>
      </c>
      <c r="C102" s="48">
        <f>IF(C111&gt;1,(1/30*7)*2,(1/30*7))</f>
        <v>0.23330000000000001</v>
      </c>
      <c r="D102" s="135">
        <f>C102*SUM(D103:D107)</f>
        <v>797.2</v>
      </c>
    </row>
    <row r="103" spans="1:4" ht="15.75" hidden="1" outlineLevel="3">
      <c r="A103" s="40" t="s">
        <v>421</v>
      </c>
      <c r="B103" s="41" t="s">
        <v>443</v>
      </c>
      <c r="C103" s="38">
        <v>1</v>
      </c>
      <c r="D103" s="134">
        <f>D39</f>
        <v>1839.73</v>
      </c>
    </row>
    <row r="104" spans="1:4" ht="15.75" hidden="1" outlineLevel="3">
      <c r="A104" s="40" t="s">
        <v>423</v>
      </c>
      <c r="B104" s="41" t="s">
        <v>444</v>
      </c>
      <c r="C104" s="32">
        <f>1/12</f>
        <v>8.3299999999999999E-2</v>
      </c>
      <c r="D104" s="134">
        <f>C104*D103</f>
        <v>153.25</v>
      </c>
    </row>
    <row r="105" spans="1:4" ht="15.75" hidden="1" outlineLevel="3">
      <c r="A105" s="40" t="s">
        <v>425</v>
      </c>
      <c r="B105" s="41" t="s">
        <v>445</v>
      </c>
      <c r="C105" s="32">
        <f>(1/12)+(1/12/3)</f>
        <v>0.1111</v>
      </c>
      <c r="D105" s="134">
        <f>C105*D103</f>
        <v>204.39</v>
      </c>
    </row>
    <row r="106" spans="1:4" ht="15.75" hidden="1" outlineLevel="3">
      <c r="A106" s="40" t="s">
        <v>427</v>
      </c>
      <c r="B106" s="49" t="s">
        <v>446</v>
      </c>
      <c r="C106" s="50">
        <f>C63</f>
        <v>0.36799999999999999</v>
      </c>
      <c r="D106" s="135">
        <f>C106*(D103+D104)</f>
        <v>733.42</v>
      </c>
    </row>
    <row r="107" spans="1:4" ht="15.75" hidden="1" outlineLevel="3">
      <c r="A107" s="40" t="s">
        <v>447</v>
      </c>
      <c r="B107" s="49" t="s">
        <v>448</v>
      </c>
      <c r="C107" s="45">
        <v>1</v>
      </c>
      <c r="D107" s="135">
        <f>D77</f>
        <v>486.27</v>
      </c>
    </row>
    <row r="108" spans="1:4" ht="15.75" hidden="1" outlineLevel="2">
      <c r="A108" s="38" t="s">
        <v>322</v>
      </c>
      <c r="B108" s="39" t="s">
        <v>449</v>
      </c>
      <c r="C108" s="43">
        <v>0.4</v>
      </c>
      <c r="D108" s="134">
        <f>C108*D109</f>
        <v>1297.1300000000001</v>
      </c>
    </row>
    <row r="109" spans="1:4" ht="15.75" hidden="1" outlineLevel="2">
      <c r="A109" s="38" t="s">
        <v>430</v>
      </c>
      <c r="B109" s="39" t="s">
        <v>431</v>
      </c>
      <c r="C109" s="43">
        <f>C62</f>
        <v>0.08</v>
      </c>
      <c r="D109" s="134">
        <f>C109*D110</f>
        <v>3242.83</v>
      </c>
    </row>
    <row r="110" spans="1:4" ht="15.75" hidden="1" outlineLevel="2">
      <c r="A110" s="38" t="s">
        <v>432</v>
      </c>
      <c r="B110" s="44" t="s">
        <v>433</v>
      </c>
      <c r="C110" s="45" t="s">
        <v>363</v>
      </c>
      <c r="D110" s="135">
        <f>D95</f>
        <v>40535.379999999997</v>
      </c>
    </row>
    <row r="111" spans="1:4" ht="15.75" hidden="1" outlineLevel="1">
      <c r="A111" s="663" t="s">
        <v>176</v>
      </c>
      <c r="B111" s="664"/>
      <c r="C111" s="69">
        <f>'SR - ASG'!C111</f>
        <v>0.94450000000000001</v>
      </c>
      <c r="D111" s="119">
        <f>IF(C111&gt;1,D102+D108,(D102+D108)*C111)</f>
        <v>1978.09</v>
      </c>
    </row>
    <row r="112" spans="1:4" ht="15.75" hidden="1" outlineLevel="1">
      <c r="A112" s="697"/>
      <c r="B112" s="698"/>
      <c r="C112" s="698"/>
      <c r="D112" s="699"/>
    </row>
    <row r="113" spans="1:4" ht="15.75" hidden="1" outlineLevel="1">
      <c r="A113" s="66" t="s">
        <v>450</v>
      </c>
      <c r="B113" s="112" t="s">
        <v>451</v>
      </c>
      <c r="C113" s="113" t="s">
        <v>383</v>
      </c>
      <c r="D113" s="113" t="s">
        <v>352</v>
      </c>
    </row>
    <row r="114" spans="1:4" ht="15.75" hidden="1" outlineLevel="2">
      <c r="A114" s="114" t="s">
        <v>353</v>
      </c>
      <c r="B114" s="34" t="s">
        <v>452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>
      <c r="A115" s="114" t="s">
        <v>322</v>
      </c>
      <c r="B115" s="51" t="s">
        <v>453</v>
      </c>
      <c r="C115" s="37">
        <f>C114/3</f>
        <v>1.11E-2</v>
      </c>
      <c r="D115" s="137">
        <f>C115*D39</f>
        <v>20.420000000000002</v>
      </c>
    </row>
    <row r="116" spans="1:4" ht="15.75" hidden="1" outlineLevel="1">
      <c r="A116" s="663" t="s">
        <v>176</v>
      </c>
      <c r="B116" s="664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>
      <c r="A117" s="697"/>
      <c r="B117" s="698"/>
      <c r="C117" s="698"/>
      <c r="D117" s="699"/>
    </row>
    <row r="118" spans="1:4" ht="15.75" hidden="1" outlineLevel="1">
      <c r="A118" s="701" t="s">
        <v>454</v>
      </c>
      <c r="B118" s="702"/>
      <c r="C118" s="113" t="s">
        <v>383</v>
      </c>
      <c r="D118" s="113" t="s">
        <v>352</v>
      </c>
    </row>
    <row r="119" spans="1:4" ht="15.75" hidden="1" outlineLevel="1">
      <c r="A119" s="114" t="s">
        <v>418</v>
      </c>
      <c r="B119" s="34" t="s">
        <v>419</v>
      </c>
      <c r="C119" s="37">
        <f>C99</f>
        <v>5.5500000000000001E-2</v>
      </c>
      <c r="D119" s="107">
        <f>D99</f>
        <v>215.87</v>
      </c>
    </row>
    <row r="120" spans="1:4" ht="15.75" hidden="1" outlineLevel="1">
      <c r="A120" s="116" t="s">
        <v>440</v>
      </c>
      <c r="B120" s="34" t="s">
        <v>441</v>
      </c>
      <c r="C120" s="52">
        <f>C111</f>
        <v>0.94450000000000001</v>
      </c>
      <c r="D120" s="107">
        <f>D111</f>
        <v>1978.09</v>
      </c>
    </row>
    <row r="121" spans="1:4" ht="15.75" hidden="1" outlineLevel="1">
      <c r="A121" s="707" t="s">
        <v>455</v>
      </c>
      <c r="B121" s="707"/>
      <c r="C121" s="707"/>
      <c r="D121" s="138">
        <f>D119+D120</f>
        <v>2193.96</v>
      </c>
    </row>
    <row r="122" spans="1:4" ht="15.75" hidden="1" outlineLevel="1">
      <c r="A122" s="703" t="s">
        <v>456</v>
      </c>
      <c r="B122" s="704"/>
      <c r="C122" s="70">
        <f>'SR - ASG'!C122</f>
        <v>0.63570000000000004</v>
      </c>
      <c r="D122" s="61">
        <f>C122*D121</f>
        <v>1394.7</v>
      </c>
    </row>
    <row r="123" spans="1:4" ht="15.75" hidden="1" outlineLevel="1">
      <c r="A123" s="703" t="s">
        <v>457</v>
      </c>
      <c r="B123" s="70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>
      <c r="A124" s="705" t="s">
        <v>458</v>
      </c>
      <c r="B124" s="706"/>
      <c r="C124" s="74">
        <f>1/C12</f>
        <v>0.05</v>
      </c>
      <c r="D124" s="62">
        <f>(D122+D123)*C124</f>
        <v>69.63</v>
      </c>
    </row>
    <row r="125" spans="1:4" ht="15.75" hidden="1" outlineLevel="1">
      <c r="A125" s="116" t="s">
        <v>450</v>
      </c>
      <c r="B125" s="34" t="s">
        <v>459</v>
      </c>
      <c r="C125" s="52"/>
      <c r="D125" s="127">
        <f>D116</f>
        <v>81.680000000000007</v>
      </c>
    </row>
    <row r="126" spans="1:4" ht="15.75" collapsed="1">
      <c r="A126" s="663" t="s">
        <v>176</v>
      </c>
      <c r="B126" s="664"/>
      <c r="C126" s="33"/>
      <c r="D126" s="139">
        <f>D124+D125</f>
        <v>151.31</v>
      </c>
    </row>
    <row r="127" spans="1:4" ht="15.75">
      <c r="A127" s="665"/>
      <c r="B127" s="666"/>
      <c r="C127" s="666"/>
      <c r="D127" s="667"/>
    </row>
    <row r="128" spans="1:4" ht="15.75">
      <c r="A128" s="668" t="s">
        <v>460</v>
      </c>
      <c r="B128" s="669"/>
      <c r="C128" s="669"/>
      <c r="D128" s="670"/>
    </row>
    <row r="129" spans="1:4" ht="15.75" hidden="1" outlineLevel="1">
      <c r="A129" s="697"/>
      <c r="B129" s="698"/>
      <c r="C129" s="698"/>
      <c r="D129" s="699"/>
    </row>
    <row r="130" spans="1:4" ht="15.75" hidden="1" outlineLevel="1">
      <c r="A130" s="113" t="s">
        <v>461</v>
      </c>
      <c r="B130" s="120" t="s">
        <v>462</v>
      </c>
      <c r="C130" s="33" t="s">
        <v>383</v>
      </c>
      <c r="D130" s="113" t="s">
        <v>352</v>
      </c>
    </row>
    <row r="131" spans="1:4" ht="15.75" hidden="1" outlineLevel="2">
      <c r="A131" s="140" t="s">
        <v>353</v>
      </c>
      <c r="B131" s="91" t="s">
        <v>463</v>
      </c>
      <c r="C131" s="53">
        <f>IF(C12&gt;60,5/C12,IF(C12&gt;48,4/C12,IF(C12&gt;36,3/C12,IF(C12&gt;24,2/C12,IF(C12&gt;12,1/C12,0)))))</f>
        <v>0.05</v>
      </c>
      <c r="D131" s="136">
        <f>SUM(D132:D136)</f>
        <v>118.85</v>
      </c>
    </row>
    <row r="132" spans="1:4" ht="15.75" hidden="1" outlineLevel="3">
      <c r="A132" s="141" t="s">
        <v>464</v>
      </c>
      <c r="B132" s="92" t="s">
        <v>465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>
      <c r="A133" s="141" t="s">
        <v>466</v>
      </c>
      <c r="B133" s="92" t="s">
        <v>467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>
      <c r="A134" s="141" t="s">
        <v>468</v>
      </c>
      <c r="B134" s="92" t="s">
        <v>469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>
      <c r="A135" s="141" t="s">
        <v>470</v>
      </c>
      <c r="B135" s="92" t="s">
        <v>471</v>
      </c>
      <c r="C135" s="93">
        <f>C63</f>
        <v>0.36799999999999999</v>
      </c>
      <c r="D135" s="143">
        <f>SUM(D132:D134)*C131</f>
        <v>5.49</v>
      </c>
    </row>
    <row r="136" spans="1:4" ht="15.75" hidden="1" outlineLevel="3">
      <c r="A136" s="141" t="s">
        <v>472</v>
      </c>
      <c r="B136" s="92" t="s">
        <v>473</v>
      </c>
      <c r="C136" s="144">
        <f>D124</f>
        <v>69.63</v>
      </c>
      <c r="D136" s="143">
        <f>C136*C131</f>
        <v>3.48</v>
      </c>
    </row>
    <row r="137" spans="1:4" ht="15.75" hidden="1" outlineLevel="2">
      <c r="A137" s="114" t="s">
        <v>322</v>
      </c>
      <c r="B137" s="34" t="s">
        <v>474</v>
      </c>
      <c r="C137" s="94">
        <v>0</v>
      </c>
      <c r="D137" s="127">
        <f>$C$131*(D39)*(C137/3)</f>
        <v>0</v>
      </c>
    </row>
    <row r="138" spans="1:4" ht="15.75" hidden="1" outlineLevel="1">
      <c r="A138" s="663" t="s">
        <v>475</v>
      </c>
      <c r="B138" s="664"/>
      <c r="C138" s="33">
        <f>C131+(D137/D39)</f>
        <v>0.05</v>
      </c>
      <c r="D138" s="119">
        <f>SUM(D131:D137)</f>
        <v>237.7</v>
      </c>
    </row>
    <row r="139" spans="1:4" ht="15.75" hidden="1" outlineLevel="1">
      <c r="A139" s="697"/>
      <c r="B139" s="698"/>
      <c r="C139" s="698"/>
      <c r="D139" s="699"/>
    </row>
    <row r="140" spans="1:4" ht="15.75" hidden="1" outlineLevel="2">
      <c r="A140" s="710" t="s">
        <v>476</v>
      </c>
      <c r="B140" s="145" t="s">
        <v>435</v>
      </c>
      <c r="C140" s="95">
        <v>220</v>
      </c>
      <c r="D140" s="146">
        <f>D39</f>
        <v>1839.73</v>
      </c>
    </row>
    <row r="141" spans="1:4" ht="15.75" hidden="1" outlineLevel="2">
      <c r="A141" s="711"/>
      <c r="B141" s="145" t="s">
        <v>477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>
      <c r="A142" s="711"/>
      <c r="B142" s="145" t="s">
        <v>478</v>
      </c>
      <c r="C142" s="53">
        <f>C63</f>
        <v>0.36799999999999999</v>
      </c>
      <c r="D142" s="147">
        <f>(D140+D141)*C142</f>
        <v>808.63</v>
      </c>
    </row>
    <row r="143" spans="1:4" ht="15.75" hidden="1" outlineLevel="2">
      <c r="A143" s="711"/>
      <c r="B143" s="145" t="s">
        <v>479</v>
      </c>
      <c r="C143" s="53">
        <f>D143/D140</f>
        <v>0.26429999999999998</v>
      </c>
      <c r="D143" s="147">
        <f>D77</f>
        <v>486.27</v>
      </c>
    </row>
    <row r="144" spans="1:4" ht="15.75" hidden="1" outlineLevel="2">
      <c r="A144" s="712"/>
      <c r="B144" s="148" t="s">
        <v>480</v>
      </c>
      <c r="C144" s="53">
        <f>D144/D140</f>
        <v>3.78E-2</v>
      </c>
      <c r="D144" s="147">
        <f>D124</f>
        <v>69.63</v>
      </c>
    </row>
    <row r="145" spans="1:4" ht="15.75" hidden="1" outlineLevel="2">
      <c r="A145" s="713" t="s">
        <v>481</v>
      </c>
      <c r="B145" s="714"/>
      <c r="C145" s="96">
        <f>D145/D140</f>
        <v>1.9360999999999999</v>
      </c>
      <c r="D145" s="149">
        <f>SUM(D140:D144)</f>
        <v>3561.9</v>
      </c>
    </row>
    <row r="146" spans="1:4" ht="15.75" hidden="1" outlineLevel="2">
      <c r="A146" s="715"/>
      <c r="B146" s="715"/>
      <c r="C146" s="715"/>
      <c r="D146" s="716"/>
    </row>
    <row r="147" spans="1:4" ht="15.75" hidden="1" outlineLevel="1">
      <c r="A147" s="113" t="s">
        <v>482</v>
      </c>
      <c r="B147" s="120" t="s">
        <v>483</v>
      </c>
      <c r="C147" s="33" t="s">
        <v>383</v>
      </c>
      <c r="D147" s="113" t="s">
        <v>352</v>
      </c>
    </row>
    <row r="148" spans="1:4" ht="15.75" hidden="1" outlineLevel="2">
      <c r="A148" s="114" t="s">
        <v>322</v>
      </c>
      <c r="B148" s="34" t="s">
        <v>484</v>
      </c>
      <c r="C148" s="79">
        <f>5/252</f>
        <v>1.9800000000000002E-2</v>
      </c>
      <c r="D148" s="136">
        <f>C148*$D$145</f>
        <v>70.53</v>
      </c>
    </row>
    <row r="149" spans="1:4" ht="15.75" hidden="1" outlineLevel="2">
      <c r="A149" s="114" t="s">
        <v>325</v>
      </c>
      <c r="B149" s="34" t="s">
        <v>485</v>
      </c>
      <c r="C149" s="79">
        <f>1.383/252</f>
        <v>5.4999999999999997E-3</v>
      </c>
      <c r="D149" s="136">
        <f>C149*$D$145</f>
        <v>19.59</v>
      </c>
    </row>
    <row r="150" spans="1:4" ht="15.75" hidden="1" outlineLevel="2">
      <c r="A150" s="114" t="s">
        <v>328</v>
      </c>
      <c r="B150" s="34" t="s">
        <v>486</v>
      </c>
      <c r="C150" s="79">
        <f>1.3892/252</f>
        <v>5.4999999999999997E-3</v>
      </c>
      <c r="D150" s="136">
        <f t="shared" ref="D150:D153" si="1">C150*$D$145</f>
        <v>19.59</v>
      </c>
    </row>
    <row r="151" spans="1:4" ht="15.75" hidden="1" outlineLevel="2">
      <c r="A151" s="114" t="s">
        <v>331</v>
      </c>
      <c r="B151" s="34" t="s">
        <v>487</v>
      </c>
      <c r="C151" s="79">
        <f>0.65/252</f>
        <v>2.5999999999999999E-3</v>
      </c>
      <c r="D151" s="136">
        <f t="shared" si="1"/>
        <v>9.26</v>
      </c>
    </row>
    <row r="152" spans="1:4" ht="15.75" hidden="1" outlineLevel="2">
      <c r="A152" s="114" t="s">
        <v>334</v>
      </c>
      <c r="B152" s="34" t="s">
        <v>488</v>
      </c>
      <c r="C152" s="79">
        <f>0.5052/252</f>
        <v>2E-3</v>
      </c>
      <c r="D152" s="136">
        <f t="shared" si="1"/>
        <v>7.12</v>
      </c>
    </row>
    <row r="153" spans="1:4" ht="15.75" hidden="1" outlineLevel="2">
      <c r="A153" s="114" t="s">
        <v>353</v>
      </c>
      <c r="B153" s="63" t="s">
        <v>489</v>
      </c>
      <c r="C153" s="71">
        <f>0.2/252</f>
        <v>8.0000000000000004E-4</v>
      </c>
      <c r="D153" s="136">
        <f t="shared" si="1"/>
        <v>2.85</v>
      </c>
    </row>
    <row r="154" spans="1:4" ht="15.75" hidden="1" outlineLevel="1">
      <c r="A154" s="663" t="s">
        <v>475</v>
      </c>
      <c r="B154" s="664"/>
      <c r="C154" s="33">
        <f>SUM(C148:C153)</f>
        <v>3.6200000000000003E-2</v>
      </c>
      <c r="D154" s="119">
        <f>SUM(D148:D153)</f>
        <v>128.94</v>
      </c>
    </row>
    <row r="155" spans="1:4" ht="15.75" hidden="1" outlineLevel="1">
      <c r="A155" s="697"/>
      <c r="B155" s="698"/>
      <c r="C155" s="698"/>
      <c r="D155" s="699"/>
    </row>
    <row r="156" spans="1:4" ht="15.75" hidden="1" outlineLevel="1">
      <c r="A156" s="701" t="s">
        <v>490</v>
      </c>
      <c r="B156" s="708"/>
      <c r="C156" s="33" t="s">
        <v>491</v>
      </c>
      <c r="D156" s="113" t="s">
        <v>352</v>
      </c>
    </row>
    <row r="157" spans="1:4" ht="15.75" hidden="1" outlineLevel="2">
      <c r="A157" s="709" t="s">
        <v>492</v>
      </c>
      <c r="B157" s="145" t="s">
        <v>493</v>
      </c>
      <c r="C157" s="97">
        <f>C153</f>
        <v>8.0000000000000004E-4</v>
      </c>
      <c r="D157" s="150">
        <f>C157*-D140</f>
        <v>-1.47</v>
      </c>
    </row>
    <row r="158" spans="1:4" ht="15.75" hidden="1" outlineLevel="2">
      <c r="A158" s="709"/>
      <c r="B158" s="151" t="s">
        <v>494</v>
      </c>
      <c r="C158" s="98">
        <v>0</v>
      </c>
      <c r="D158" s="152">
        <f>C158*-(D140/220/24*5)</f>
        <v>0</v>
      </c>
    </row>
    <row r="159" spans="1:4" ht="15.75" hidden="1" outlineLevel="2">
      <c r="A159" s="709"/>
      <c r="B159" s="151" t="s">
        <v>495</v>
      </c>
      <c r="C159" s="98">
        <v>0</v>
      </c>
      <c r="D159" s="152">
        <f>C159*-D141</f>
        <v>0</v>
      </c>
    </row>
    <row r="160" spans="1:4" ht="15.75" hidden="1" outlineLevel="2">
      <c r="A160" s="709"/>
      <c r="B160" s="145" t="s">
        <v>496</v>
      </c>
      <c r="C160" s="97">
        <f>C154</f>
        <v>3.6200000000000003E-2</v>
      </c>
      <c r="D160" s="150">
        <f>C160*-D66</f>
        <v>-3.76</v>
      </c>
    </row>
    <row r="161" spans="1:4" ht="15.75" hidden="1" outlineLevel="2">
      <c r="A161" s="709"/>
      <c r="B161" s="145" t="s">
        <v>497</v>
      </c>
      <c r="C161" s="97">
        <f>C154</f>
        <v>3.6200000000000003E-2</v>
      </c>
      <c r="D161" s="150">
        <f>C161*-D69</f>
        <v>-12.43</v>
      </c>
    </row>
    <row r="162" spans="1:4" ht="15.75" hidden="1" outlineLevel="2">
      <c r="A162" s="709"/>
      <c r="B162" s="148" t="s">
        <v>498</v>
      </c>
      <c r="C162" s="97">
        <f>C153</f>
        <v>8.0000000000000004E-4</v>
      </c>
      <c r="D162" s="150">
        <f>C162*-D74</f>
        <v>-0.02</v>
      </c>
    </row>
    <row r="163" spans="1:4" ht="15.75" hidden="1" outlineLevel="2">
      <c r="A163" s="709"/>
      <c r="B163" s="148" t="s">
        <v>499</v>
      </c>
      <c r="C163" s="99">
        <f>C152</f>
        <v>2E-3</v>
      </c>
      <c r="D163" s="136">
        <f>C163*-SUM(D55:D61)</f>
        <v>-1.17</v>
      </c>
    </row>
    <row r="164" spans="1:4" ht="15.75" hidden="1" outlineLevel="2">
      <c r="A164" s="709"/>
      <c r="B164" s="145" t="s">
        <v>500</v>
      </c>
      <c r="C164" s="97">
        <f>C153</f>
        <v>8.0000000000000004E-4</v>
      </c>
      <c r="D164" s="150">
        <f>C164*-D142</f>
        <v>-0.65</v>
      </c>
    </row>
    <row r="165" spans="1:4" ht="15.75" hidden="1" outlineLevel="1">
      <c r="A165" s="663" t="s">
        <v>501</v>
      </c>
      <c r="B165" s="664"/>
      <c r="C165" s="33">
        <f>D165/D140</f>
        <v>-1.06E-2</v>
      </c>
      <c r="D165" s="119">
        <f>SUM(D157:D164)</f>
        <v>-19.5</v>
      </c>
    </row>
    <row r="166" spans="1:4" ht="15.75" hidden="1" outlineLevel="1">
      <c r="A166" s="697"/>
      <c r="B166" s="698"/>
      <c r="C166" s="698"/>
      <c r="D166" s="699"/>
    </row>
    <row r="167" spans="1:4" ht="15.75" hidden="1" outlineLevel="1">
      <c r="A167" s="663" t="s">
        <v>502</v>
      </c>
      <c r="B167" s="664"/>
      <c r="C167" s="33">
        <f>D167/D140</f>
        <v>5.9499999999999997E-2</v>
      </c>
      <c r="D167" s="119">
        <f>D154+D165</f>
        <v>109.44</v>
      </c>
    </row>
    <row r="168" spans="1:4" ht="15.75" hidden="1" outlineLevel="1">
      <c r="A168" s="697"/>
      <c r="B168" s="698"/>
      <c r="C168" s="698"/>
      <c r="D168" s="699"/>
    </row>
    <row r="169" spans="1:4" ht="15.75" hidden="1" outlineLevel="1">
      <c r="A169" s="701" t="s">
        <v>503</v>
      </c>
      <c r="B169" s="702"/>
      <c r="C169" s="113" t="s">
        <v>383</v>
      </c>
      <c r="D169" s="113" t="s">
        <v>352</v>
      </c>
    </row>
    <row r="170" spans="1:4" ht="15.75" hidden="1" outlineLevel="1">
      <c r="A170" s="114" t="s">
        <v>461</v>
      </c>
      <c r="B170" s="34" t="s">
        <v>462</v>
      </c>
      <c r="C170" s="37"/>
      <c r="D170" s="153">
        <f>D138</f>
        <v>237.7</v>
      </c>
    </row>
    <row r="171" spans="1:4" ht="15.75" hidden="1" outlineLevel="1">
      <c r="A171" s="114" t="s">
        <v>482</v>
      </c>
      <c r="B171" s="34" t="s">
        <v>483</v>
      </c>
      <c r="C171" s="37"/>
      <c r="D171" s="153">
        <f>D167</f>
        <v>109.44</v>
      </c>
    </row>
    <row r="172" spans="1:4" ht="15.75" collapsed="1">
      <c r="A172" s="663" t="s">
        <v>176</v>
      </c>
      <c r="B172" s="700"/>
      <c r="C172" s="664"/>
      <c r="D172" s="122">
        <f>SUM(D170:D171)</f>
        <v>347.14</v>
      </c>
    </row>
    <row r="173" spans="1:4" ht="15.75">
      <c r="A173" s="697"/>
      <c r="B173" s="698"/>
      <c r="C173" s="698"/>
      <c r="D173" s="699"/>
    </row>
    <row r="174" spans="1:4" ht="15.75">
      <c r="A174" s="668" t="s">
        <v>504</v>
      </c>
      <c r="B174" s="669"/>
      <c r="C174" s="669"/>
      <c r="D174" s="670"/>
    </row>
    <row r="175" spans="1:4" ht="15.75" hidden="1" outlineLevel="1">
      <c r="A175" s="697"/>
      <c r="B175" s="698"/>
      <c r="C175" s="698"/>
      <c r="D175" s="699"/>
    </row>
    <row r="176" spans="1:4" ht="15.75" hidden="1" outlineLevel="1">
      <c r="A176" s="66">
        <v>5</v>
      </c>
      <c r="B176" s="663" t="s">
        <v>505</v>
      </c>
      <c r="C176" s="664"/>
      <c r="D176" s="113" t="s">
        <v>352</v>
      </c>
    </row>
    <row r="177" spans="1:4" ht="15.75" hidden="1" outlineLevel="1">
      <c r="A177" s="114" t="s">
        <v>353</v>
      </c>
      <c r="B177" s="717" t="s">
        <v>506</v>
      </c>
      <c r="C177" s="718"/>
      <c r="D177" s="136">
        <f>INSUMOS!H14</f>
        <v>25.55</v>
      </c>
    </row>
    <row r="178" spans="1:4" ht="15.75" hidden="1" outlineLevel="1">
      <c r="A178" s="114" t="s">
        <v>322</v>
      </c>
      <c r="B178" s="717" t="s">
        <v>541</v>
      </c>
      <c r="C178" s="718"/>
      <c r="D178" s="154">
        <f>INSUMOS!H43</f>
        <v>26.74</v>
      </c>
    </row>
    <row r="179" spans="1:4" ht="15.75" hidden="1" outlineLevel="1">
      <c r="A179" s="114" t="s">
        <v>325</v>
      </c>
      <c r="B179" s="649" t="s">
        <v>508</v>
      </c>
      <c r="C179" s="650"/>
      <c r="D179" s="154">
        <f>MATERIAIS!M109</f>
        <v>872.62</v>
      </c>
    </row>
    <row r="180" spans="1:4" ht="15.75" hidden="1" outlineLevel="1">
      <c r="A180" s="114" t="s">
        <v>328</v>
      </c>
      <c r="B180" s="649" t="s">
        <v>509</v>
      </c>
      <c r="C180" s="650"/>
      <c r="D180" s="154">
        <f>EQUIPAMENTOS!N111</f>
        <v>56.41</v>
      </c>
    </row>
    <row r="181" spans="1:4" ht="15.75" hidden="1" outlineLevel="1">
      <c r="A181" s="114" t="s">
        <v>331</v>
      </c>
      <c r="B181" s="651" t="s">
        <v>372</v>
      </c>
      <c r="C181" s="652"/>
      <c r="D181" s="133">
        <v>0</v>
      </c>
    </row>
    <row r="182" spans="1:4" ht="15.75" collapsed="1">
      <c r="A182" s="663" t="s">
        <v>176</v>
      </c>
      <c r="B182" s="700"/>
      <c r="C182" s="664"/>
      <c r="D182" s="119">
        <f>SUM(D177:D181)</f>
        <v>981.32</v>
      </c>
    </row>
    <row r="183" spans="1:4" ht="15.75">
      <c r="A183" s="665"/>
      <c r="B183" s="666"/>
      <c r="C183" s="666"/>
      <c r="D183" s="667"/>
    </row>
    <row r="184" spans="1:4" ht="15.75">
      <c r="A184" s="723" t="s">
        <v>510</v>
      </c>
      <c r="B184" s="723"/>
      <c r="C184" s="723"/>
      <c r="D184" s="155">
        <f>D39+D83+D126+D172+D182</f>
        <v>4734.47</v>
      </c>
    </row>
    <row r="185" spans="1:4" ht="15.75">
      <c r="A185" s="679"/>
      <c r="B185" s="679"/>
      <c r="C185" s="679"/>
      <c r="D185" s="679"/>
    </row>
    <row r="186" spans="1:4" ht="15.75">
      <c r="A186" s="724" t="s">
        <v>511</v>
      </c>
      <c r="B186" s="724"/>
      <c r="C186" s="724"/>
      <c r="D186" s="724"/>
    </row>
    <row r="187" spans="1:4" ht="15.75" hidden="1" outlineLevel="1">
      <c r="A187" s="725"/>
      <c r="B187" s="726"/>
      <c r="C187" s="726"/>
      <c r="D187" s="727"/>
    </row>
    <row r="188" spans="1:4" ht="15.75" hidden="1" outlineLevel="1">
      <c r="A188" s="66">
        <v>6</v>
      </c>
      <c r="B188" s="120" t="s">
        <v>512</v>
      </c>
      <c r="C188" s="113" t="s">
        <v>383</v>
      </c>
      <c r="D188" s="113" t="s">
        <v>352</v>
      </c>
    </row>
    <row r="189" spans="1:4" ht="15.75" hidden="1" outlineLevel="1">
      <c r="A189" s="114" t="s">
        <v>353</v>
      </c>
      <c r="B189" s="34" t="s">
        <v>513</v>
      </c>
      <c r="C189" s="72">
        <f>'SR - ASG'!C189</f>
        <v>2.6499999999999999E-2</v>
      </c>
      <c r="D189" s="108">
        <f>C189*D184</f>
        <v>125.46</v>
      </c>
    </row>
    <row r="190" spans="1:4" ht="15.75" hidden="1" outlineLevel="1">
      <c r="A190" s="719" t="s">
        <v>514</v>
      </c>
      <c r="B190" s="720"/>
      <c r="C190" s="722"/>
      <c r="D190" s="108">
        <f>D184+D189</f>
        <v>4859.93</v>
      </c>
    </row>
    <row r="191" spans="1:4" ht="15.75" hidden="1" outlineLevel="1">
      <c r="A191" s="114" t="s">
        <v>322</v>
      </c>
      <c r="B191" s="34" t="s">
        <v>515</v>
      </c>
      <c r="C191" s="72">
        <f>'SR - ASG'!C191</f>
        <v>0.1087</v>
      </c>
      <c r="D191" s="108">
        <f>C191*D190</f>
        <v>528.27</v>
      </c>
    </row>
    <row r="192" spans="1:4" ht="15.75" hidden="1" outlineLevel="1">
      <c r="A192" s="719" t="s">
        <v>514</v>
      </c>
      <c r="B192" s="720"/>
      <c r="C192" s="720"/>
      <c r="D192" s="108">
        <f>D191+D190</f>
        <v>5388.2</v>
      </c>
    </row>
    <row r="193" spans="1:4" ht="15.75" hidden="1" outlineLevel="1">
      <c r="A193" s="114" t="s">
        <v>325</v>
      </c>
      <c r="B193" s="649" t="s">
        <v>516</v>
      </c>
      <c r="C193" s="721"/>
      <c r="D193" s="650"/>
    </row>
    <row r="194" spans="1:4" ht="15.75" hidden="1" outlineLevel="1">
      <c r="A194" s="156"/>
      <c r="B194" s="65" t="s">
        <v>517</v>
      </c>
      <c r="C194" s="72">
        <v>6.4999999999999997E-3</v>
      </c>
      <c r="D194" s="108">
        <f>(D192/(1-C197)*C194)</f>
        <v>37.92</v>
      </c>
    </row>
    <row r="195" spans="1:4" ht="15.75" hidden="1" outlineLevel="1">
      <c r="A195" s="156"/>
      <c r="B195" s="65" t="s">
        <v>518</v>
      </c>
      <c r="C195" s="72">
        <v>0.03</v>
      </c>
      <c r="D195" s="108">
        <f>(D192/(1-C197)*C195)</f>
        <v>175.04</v>
      </c>
    </row>
    <row r="196" spans="1:4" ht="15.75" hidden="1" outlineLevel="1">
      <c r="A196" s="156"/>
      <c r="B196" s="65" t="s">
        <v>578</v>
      </c>
      <c r="C196" s="54">
        <v>0.04</v>
      </c>
      <c r="D196" s="108">
        <f>(D192/(1-C197)*C196)</f>
        <v>233.38</v>
      </c>
    </row>
    <row r="197" spans="1:4" ht="15.75" hidden="1" outlineLevel="1">
      <c r="A197" s="719" t="s">
        <v>520</v>
      </c>
      <c r="B197" s="722"/>
      <c r="C197" s="55">
        <f>SUM(C194:C196)</f>
        <v>7.6499999999999999E-2</v>
      </c>
      <c r="D197" s="108">
        <f>SUM(D194:D196)</f>
        <v>446.34</v>
      </c>
    </row>
    <row r="198" spans="1:4" ht="15.75" collapsed="1">
      <c r="A198" s="663" t="s">
        <v>176</v>
      </c>
      <c r="B198" s="664"/>
      <c r="C198" s="56">
        <f>(1+C189)*(1+C191)*(1/(1-C197))-1</f>
        <v>0.2324</v>
      </c>
      <c r="D198" s="111">
        <f>SUM(D197+D189+D191)</f>
        <v>1100.07</v>
      </c>
    </row>
    <row r="199" spans="1:4" ht="15.75">
      <c r="A199" s="665"/>
      <c r="B199" s="666"/>
      <c r="C199" s="666"/>
      <c r="D199" s="667"/>
    </row>
    <row r="200" spans="1:4" ht="15.75">
      <c r="A200" s="676" t="s">
        <v>521</v>
      </c>
      <c r="B200" s="678"/>
      <c r="C200" s="677"/>
      <c r="D200" s="57" t="s">
        <v>352</v>
      </c>
    </row>
    <row r="201" spans="1:4" ht="15.75">
      <c r="A201" s="661" t="s">
        <v>522</v>
      </c>
      <c r="B201" s="728"/>
      <c r="C201" s="728"/>
      <c r="D201" s="662"/>
    </row>
    <row r="202" spans="1:4" ht="15.75">
      <c r="A202" s="67" t="s">
        <v>353</v>
      </c>
      <c r="B202" s="661" t="s">
        <v>523</v>
      </c>
      <c r="C202" s="662"/>
      <c r="D202" s="107">
        <f>D39</f>
        <v>1839.73</v>
      </c>
    </row>
    <row r="203" spans="1:4" ht="15.75">
      <c r="A203" s="67" t="s">
        <v>322</v>
      </c>
      <c r="B203" s="661" t="s">
        <v>524</v>
      </c>
      <c r="C203" s="662"/>
      <c r="D203" s="107">
        <f>D83</f>
        <v>1414.97</v>
      </c>
    </row>
    <row r="204" spans="1:4" ht="15.75">
      <c r="A204" s="67" t="s">
        <v>325</v>
      </c>
      <c r="B204" s="661" t="s">
        <v>525</v>
      </c>
      <c r="C204" s="662"/>
      <c r="D204" s="107">
        <f>D126</f>
        <v>151.31</v>
      </c>
    </row>
    <row r="205" spans="1:4" ht="15.75">
      <c r="A205" s="67" t="s">
        <v>328</v>
      </c>
      <c r="B205" s="661" t="s">
        <v>526</v>
      </c>
      <c r="C205" s="662"/>
      <c r="D205" s="107">
        <f>D172</f>
        <v>347.14</v>
      </c>
    </row>
    <row r="206" spans="1:4" ht="15.75">
      <c r="A206" s="67" t="s">
        <v>331</v>
      </c>
      <c r="B206" s="661" t="s">
        <v>527</v>
      </c>
      <c r="C206" s="662"/>
      <c r="D206" s="107">
        <f>D182</f>
        <v>981.32</v>
      </c>
    </row>
    <row r="207" spans="1:4" ht="15.75">
      <c r="A207" s="738" t="s">
        <v>528</v>
      </c>
      <c r="B207" s="739"/>
      <c r="C207" s="740"/>
      <c r="D207" s="107">
        <f>SUM(D202:D206)</f>
        <v>4734.47</v>
      </c>
    </row>
    <row r="208" spans="1:4" ht="15.75">
      <c r="A208" s="67" t="s">
        <v>529</v>
      </c>
      <c r="B208" s="661" t="s">
        <v>530</v>
      </c>
      <c r="C208" s="662"/>
      <c r="D208" s="107">
        <f>D198</f>
        <v>1100.07</v>
      </c>
    </row>
    <row r="209" spans="1:4" ht="15.75">
      <c r="A209" s="676" t="s">
        <v>531</v>
      </c>
      <c r="B209" s="678"/>
      <c r="C209" s="677"/>
      <c r="D209" s="157">
        <f xml:space="preserve"> D207+D208</f>
        <v>5834.54</v>
      </c>
    </row>
    <row r="210" spans="1:4" ht="15.75">
      <c r="A210" s="27"/>
      <c r="B210" s="27"/>
      <c r="C210" s="27"/>
      <c r="D210" s="27"/>
    </row>
    <row r="211" spans="1:4" ht="15.75" thickBot="1">
      <c r="A211" s="20"/>
      <c r="B211" s="20"/>
      <c r="C211" s="20"/>
      <c r="D211" s="20"/>
    </row>
    <row r="212" spans="1:4" ht="15.75">
      <c r="A212" s="646" t="s">
        <v>532</v>
      </c>
      <c r="B212" s="647"/>
      <c r="C212" s="647"/>
      <c r="D212" s="648"/>
    </row>
    <row r="213" spans="1:4" ht="31.5">
      <c r="A213" s="175" t="s">
        <v>533</v>
      </c>
      <c r="B213" s="176" t="s">
        <v>534</v>
      </c>
      <c r="C213" s="177" t="s">
        <v>535</v>
      </c>
      <c r="D213" s="178" t="s">
        <v>536</v>
      </c>
    </row>
    <row r="214" spans="1:4" ht="16.5" thickBot="1">
      <c r="A214" s="179">
        <v>3</v>
      </c>
      <c r="B214" s="182">
        <f>1/(C11/A214)</f>
        <v>1.4776359794999999E-3</v>
      </c>
      <c r="C214" s="180">
        <f>D209</f>
        <v>5834.54</v>
      </c>
      <c r="D214" s="184">
        <f>C214*B214</f>
        <v>8.6213262279999991</v>
      </c>
    </row>
  </sheetData>
  <mergeCells count="107">
    <mergeCell ref="A207:C207"/>
    <mergeCell ref="B208:C208"/>
    <mergeCell ref="A209:C209"/>
    <mergeCell ref="A201:D201"/>
    <mergeCell ref="B202:C202"/>
    <mergeCell ref="B203:C203"/>
    <mergeCell ref="B204:C204"/>
    <mergeCell ref="B205:C205"/>
    <mergeCell ref="B206:C206"/>
    <mergeCell ref="A192:C192"/>
    <mergeCell ref="B193:D193"/>
    <mergeCell ref="A197:B197"/>
    <mergeCell ref="A198:B198"/>
    <mergeCell ref="A199:D199"/>
    <mergeCell ref="A200:C200"/>
    <mergeCell ref="A183:D183"/>
    <mergeCell ref="A184:C184"/>
    <mergeCell ref="A185:D185"/>
    <mergeCell ref="A186:D186"/>
    <mergeCell ref="A187:D187"/>
    <mergeCell ref="A190:C190"/>
    <mergeCell ref="B176:C176"/>
    <mergeCell ref="B177:C177"/>
    <mergeCell ref="B178:C178"/>
    <mergeCell ref="B179:C179"/>
    <mergeCell ref="B181:C181"/>
    <mergeCell ref="A182:C182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212:D212"/>
    <mergeCell ref="B180:C180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C1113-E8C8-4B10-99C6-ECDA1736D60D}">
  <sheetPr codeName="Planilha23">
    <pageSetUpPr fitToPage="1"/>
  </sheetPr>
  <dimension ref="A1:D214"/>
  <sheetViews>
    <sheetView view="pageBreakPreview" zoomScale="85" zoomScaleNormal="85" zoomScaleSheetLayoutView="85" workbookViewId="0">
      <selection activeCell="C10" sqref="C10:D10"/>
    </sheetView>
  </sheetViews>
  <sheetFormatPr defaultColWidth="9.140625" defaultRowHeight="15" customHeight="1" outlineLevelRow="3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>
      <c r="A1" s="680" t="s">
        <v>313</v>
      </c>
      <c r="B1" s="680"/>
      <c r="C1" s="680"/>
      <c r="D1" s="680"/>
    </row>
    <row r="2" spans="1:4" ht="15.75">
      <c r="A2" s="681" t="s">
        <v>314</v>
      </c>
      <c r="B2" s="681"/>
      <c r="C2" s="682" t="s">
        <v>315</v>
      </c>
      <c r="D2" s="683"/>
    </row>
    <row r="3" spans="1:4" ht="15.75">
      <c r="A3" s="681" t="s">
        <v>316</v>
      </c>
      <c r="B3" s="681"/>
      <c r="C3" s="682" t="s">
        <v>317</v>
      </c>
      <c r="D3" s="683"/>
    </row>
    <row r="4" spans="1:4" ht="15.75">
      <c r="A4" s="653"/>
      <c r="B4" s="653"/>
      <c r="C4" s="653"/>
      <c r="D4" s="653"/>
    </row>
    <row r="5" spans="1:4" ht="15.75">
      <c r="A5" s="653" t="s">
        <v>318</v>
      </c>
      <c r="B5" s="653"/>
      <c r="C5" s="653"/>
      <c r="D5" s="653"/>
    </row>
    <row r="6" spans="1:4" ht="15.75">
      <c r="A6" s="67" t="s">
        <v>319</v>
      </c>
      <c r="B6" s="65" t="s">
        <v>320</v>
      </c>
      <c r="C6" s="654" t="s">
        <v>321</v>
      </c>
      <c r="D6" s="655"/>
    </row>
    <row r="7" spans="1:4" ht="15.75">
      <c r="A7" s="67" t="s">
        <v>322</v>
      </c>
      <c r="B7" s="65" t="s">
        <v>323</v>
      </c>
      <c r="C7" s="656" t="s">
        <v>579</v>
      </c>
      <c r="D7" s="656"/>
    </row>
    <row r="8" spans="1:4" ht="15.75">
      <c r="A8" s="28" t="s">
        <v>325</v>
      </c>
      <c r="B8" s="29" t="s">
        <v>326</v>
      </c>
      <c r="C8" s="736" t="s">
        <v>327</v>
      </c>
      <c r="D8" s="737"/>
    </row>
    <row r="9" spans="1:4" ht="15.75">
      <c r="A9" s="67" t="s">
        <v>328</v>
      </c>
      <c r="B9" s="65" t="s">
        <v>329</v>
      </c>
      <c r="C9" s="659" t="s">
        <v>330</v>
      </c>
      <c r="D9" s="660"/>
    </row>
    <row r="10" spans="1:4" ht="15.75">
      <c r="A10" s="67" t="s">
        <v>331</v>
      </c>
      <c r="B10" s="65" t="s">
        <v>332</v>
      </c>
      <c r="C10" s="659" t="s">
        <v>333</v>
      </c>
      <c r="D10" s="660"/>
    </row>
    <row r="11" spans="1:4" ht="15.75">
      <c r="A11" s="67" t="s">
        <v>334</v>
      </c>
      <c r="B11" s="65" t="s">
        <v>335</v>
      </c>
      <c r="C11" s="686">
        <f>Resumo!F20</f>
        <v>3500.75</v>
      </c>
      <c r="D11" s="687"/>
    </row>
    <row r="12" spans="1:4" ht="15.75">
      <c r="A12" s="67" t="s">
        <v>394</v>
      </c>
      <c r="B12" s="65" t="s">
        <v>337</v>
      </c>
      <c r="C12" s="688">
        <f>Resumo!I5</f>
        <v>20</v>
      </c>
      <c r="D12" s="675"/>
    </row>
    <row r="13" spans="1:4" ht="15.75">
      <c r="A13" s="689"/>
      <c r="B13" s="690"/>
      <c r="C13" s="690"/>
      <c r="D13" s="690"/>
    </row>
    <row r="14" spans="1:4" ht="15.75">
      <c r="A14" s="691" t="s">
        <v>338</v>
      </c>
      <c r="B14" s="692"/>
      <c r="C14" s="692"/>
      <c r="D14" s="693"/>
    </row>
    <row r="15" spans="1:4" ht="15.75">
      <c r="A15" s="656" t="s">
        <v>339</v>
      </c>
      <c r="B15" s="656"/>
      <c r="C15" s="656"/>
      <c r="D15" s="656"/>
    </row>
    <row r="16" spans="1:4" ht="15.75">
      <c r="A16" s="67">
        <v>1</v>
      </c>
      <c r="B16" s="65" t="s">
        <v>340</v>
      </c>
      <c r="C16" s="659" t="s">
        <v>341</v>
      </c>
      <c r="D16" s="660" t="s">
        <v>62</v>
      </c>
    </row>
    <row r="17" spans="1:4" ht="15.75">
      <c r="A17" s="67">
        <v>2</v>
      </c>
      <c r="B17" s="30" t="s">
        <v>342</v>
      </c>
      <c r="C17" s="684" t="s">
        <v>343</v>
      </c>
      <c r="D17" s="685"/>
    </row>
    <row r="18" spans="1:4" ht="15.75">
      <c r="A18" s="656" t="s">
        <v>344</v>
      </c>
      <c r="B18" s="656"/>
      <c r="C18" s="656"/>
      <c r="D18" s="656"/>
    </row>
    <row r="19" spans="1:4" ht="15.75">
      <c r="A19" s="67">
        <v>3</v>
      </c>
      <c r="B19" s="661" t="s">
        <v>345</v>
      </c>
      <c r="C19" s="662"/>
      <c r="D19" s="106">
        <v>1314.09</v>
      </c>
    </row>
    <row r="20" spans="1:4" ht="15.75">
      <c r="A20" s="67">
        <v>4</v>
      </c>
      <c r="B20" s="661" t="s">
        <v>346</v>
      </c>
      <c r="C20" s="662"/>
      <c r="D20" s="158">
        <v>220</v>
      </c>
    </row>
    <row r="21" spans="1:4" ht="15.75">
      <c r="A21" s="67">
        <v>5</v>
      </c>
      <c r="B21" s="661" t="s">
        <v>347</v>
      </c>
      <c r="C21" s="662"/>
      <c r="D21" s="75" t="s">
        <v>348</v>
      </c>
    </row>
    <row r="22" spans="1:4" ht="15.75">
      <c r="A22" s="67">
        <v>6</v>
      </c>
      <c r="B22" s="661" t="s">
        <v>349</v>
      </c>
      <c r="C22" s="662"/>
      <c r="D22" s="76">
        <v>44562</v>
      </c>
    </row>
    <row r="23" spans="1:4" ht="15.75">
      <c r="A23" s="659"/>
      <c r="B23" s="671"/>
      <c r="C23" s="671"/>
      <c r="D23" s="660"/>
    </row>
    <row r="24" spans="1:4" ht="15.75">
      <c r="A24" s="672" t="s">
        <v>350</v>
      </c>
      <c r="B24" s="672"/>
      <c r="C24" s="672"/>
      <c r="D24" s="672"/>
    </row>
    <row r="25" spans="1:4" ht="15.75">
      <c r="A25" s="673"/>
      <c r="B25" s="674"/>
      <c r="C25" s="674"/>
      <c r="D25" s="675"/>
    </row>
    <row r="26" spans="1:4" ht="15.75">
      <c r="A26" s="66">
        <v>1</v>
      </c>
      <c r="B26" s="676" t="s">
        <v>351</v>
      </c>
      <c r="C26" s="677"/>
      <c r="D26" s="66" t="s">
        <v>352</v>
      </c>
    </row>
    <row r="27" spans="1:4" ht="15.75" hidden="1" outlineLevel="1">
      <c r="A27" s="67" t="s">
        <v>353</v>
      </c>
      <c r="B27" s="65" t="s">
        <v>354</v>
      </c>
      <c r="C27" s="73">
        <f>'SR - ASG'!C27</f>
        <v>220</v>
      </c>
      <c r="D27" s="107">
        <f>D19/220*C27</f>
        <v>1314.09</v>
      </c>
    </row>
    <row r="28" spans="1:4" ht="15.75" hidden="1" outlineLevel="1">
      <c r="A28" s="67" t="s">
        <v>322</v>
      </c>
      <c r="B28" s="65" t="s">
        <v>355</v>
      </c>
      <c r="C28" s="31">
        <v>0</v>
      </c>
      <c r="D28" s="107">
        <f>C28*D27</f>
        <v>0</v>
      </c>
    </row>
    <row r="29" spans="1:4" ht="15.75" hidden="1" outlineLevel="1">
      <c r="A29" s="67" t="s">
        <v>325</v>
      </c>
      <c r="B29" s="65" t="s">
        <v>356</v>
      </c>
      <c r="C29" s="31">
        <v>0.4</v>
      </c>
      <c r="D29" s="107">
        <f>C29*D27</f>
        <v>525.64</v>
      </c>
    </row>
    <row r="30" spans="1:4" ht="15.75" hidden="1" outlineLevel="1">
      <c r="A30" s="67" t="s">
        <v>328</v>
      </c>
      <c r="B30" s="65" t="s">
        <v>357</v>
      </c>
      <c r="C30" s="159">
        <v>0</v>
      </c>
      <c r="D30" s="108">
        <f>SUM(D31:D32)</f>
        <v>0</v>
      </c>
    </row>
    <row r="31" spans="1:4" ht="15.75" hidden="1" outlineLevel="2">
      <c r="A31" s="80" t="s">
        <v>358</v>
      </c>
      <c r="B31" s="65" t="s">
        <v>359</v>
      </c>
      <c r="C31" s="81">
        <v>0.2</v>
      </c>
      <c r="D31" s="108">
        <f>(SUM(D27:D29)/C27)*C31*15*C30</f>
        <v>0</v>
      </c>
    </row>
    <row r="32" spans="1:4" ht="15.75" hidden="1" outlineLevel="2">
      <c r="A32" s="80" t="s">
        <v>360</v>
      </c>
      <c r="B32" s="65" t="s">
        <v>361</v>
      </c>
      <c r="C32" s="82">
        <f>C30*(60/52.5)/8</f>
        <v>0</v>
      </c>
      <c r="D32" s="108">
        <f>(SUM(D27:D29)/C27)*(C31)*15*C32</f>
        <v>0</v>
      </c>
    </row>
    <row r="33" spans="1:4" ht="15.75" hidden="1" outlineLevel="1">
      <c r="A33" s="67" t="s">
        <v>331</v>
      </c>
      <c r="B33" s="65" t="s">
        <v>362</v>
      </c>
      <c r="C33" s="31" t="s">
        <v>363</v>
      </c>
      <c r="D33" s="1">
        <f>SUM(D34:D37)</f>
        <v>0</v>
      </c>
    </row>
    <row r="34" spans="1:4" ht="15.75" hidden="1" outlineLevel="2">
      <c r="A34" s="83" t="s">
        <v>364</v>
      </c>
      <c r="B34" s="84" t="s">
        <v>365</v>
      </c>
      <c r="C34" s="85">
        <v>0</v>
      </c>
      <c r="D34" s="109">
        <f>(SUM($D$27:$D$29)/$C$27)*C34*1.5</f>
        <v>0</v>
      </c>
    </row>
    <row r="35" spans="1:4" ht="15.75" hidden="1" outlineLevel="2">
      <c r="A35" s="83" t="s">
        <v>366</v>
      </c>
      <c r="B35" s="86" t="s">
        <v>367</v>
      </c>
      <c r="C35" s="87">
        <v>0</v>
      </c>
      <c r="D35" s="109">
        <f>(SUM($D$27:$D$29)/$C$27)*C35*((60/52.5)*1.2*1.5)</f>
        <v>0</v>
      </c>
    </row>
    <row r="36" spans="1:4" ht="15.75" hidden="1" outlineLevel="2">
      <c r="A36" s="83" t="s">
        <v>368</v>
      </c>
      <c r="B36" s="84" t="s">
        <v>369</v>
      </c>
      <c r="C36" s="88">
        <f>C34*0.1429</f>
        <v>0</v>
      </c>
      <c r="D36" s="109">
        <f>(SUM($D$27:$D$29)/$C$27)*C36*2</f>
        <v>0</v>
      </c>
    </row>
    <row r="37" spans="1:4" ht="15.75" hidden="1" outlineLevel="2">
      <c r="A37" s="83" t="s">
        <v>370</v>
      </c>
      <c r="B37" s="84" t="s">
        <v>371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>
      <c r="A38" s="67" t="s">
        <v>334</v>
      </c>
      <c r="B38" s="58" t="s">
        <v>372</v>
      </c>
      <c r="C38" s="59">
        <v>0</v>
      </c>
      <c r="D38" s="110">
        <v>0</v>
      </c>
    </row>
    <row r="39" spans="1:4" ht="15.75" collapsed="1">
      <c r="A39" s="676" t="s">
        <v>373</v>
      </c>
      <c r="B39" s="678"/>
      <c r="C39" s="677"/>
      <c r="D39" s="111">
        <f>SUM(D27:D30,D33,D38)</f>
        <v>1839.73</v>
      </c>
    </row>
    <row r="40" spans="1:4" ht="15.75">
      <c r="A40" s="679"/>
      <c r="B40" s="679"/>
      <c r="C40" s="679"/>
      <c r="D40" s="679"/>
    </row>
    <row r="41" spans="1:4" ht="15.75" hidden="1" outlineLevel="1">
      <c r="A41" s="89" t="s">
        <v>374</v>
      </c>
      <c r="B41" s="112" t="s">
        <v>375</v>
      </c>
      <c r="C41" s="113" t="s">
        <v>376</v>
      </c>
      <c r="D41" s="113" t="s">
        <v>352</v>
      </c>
    </row>
    <row r="42" spans="1:4" ht="15.75" hidden="1" outlineLevel="1">
      <c r="A42" s="114" t="s">
        <v>353</v>
      </c>
      <c r="B42" s="30" t="s">
        <v>377</v>
      </c>
      <c r="C42" s="90">
        <v>0</v>
      </c>
      <c r="D42" s="115">
        <f>(SUM(D27)/$C$27)*C42*1.5</f>
        <v>0</v>
      </c>
    </row>
    <row r="43" spans="1:4" ht="15.75" hidden="1" outlineLevel="1">
      <c r="A43" s="116" t="s">
        <v>325</v>
      </c>
      <c r="B43" s="117" t="s">
        <v>378</v>
      </c>
      <c r="C43" s="118">
        <v>0</v>
      </c>
      <c r="D43" s="107">
        <f>C43*177</f>
        <v>0</v>
      </c>
    </row>
    <row r="44" spans="1:4" ht="15.75" hidden="1" outlineLevel="1">
      <c r="A44" s="67" t="s">
        <v>328</v>
      </c>
      <c r="B44" s="58" t="s">
        <v>372</v>
      </c>
      <c r="C44" s="59">
        <v>0</v>
      </c>
      <c r="D44" s="110">
        <v>0</v>
      </c>
    </row>
    <row r="45" spans="1:4" ht="15.75" collapsed="1">
      <c r="A45" s="663" t="s">
        <v>379</v>
      </c>
      <c r="B45" s="664"/>
      <c r="C45" s="33">
        <f>D45/D39</f>
        <v>0</v>
      </c>
      <c r="D45" s="119">
        <f>SUM(D42:D43)</f>
        <v>0</v>
      </c>
    </row>
    <row r="46" spans="1:4" ht="15.75">
      <c r="A46" s="665"/>
      <c r="B46" s="666"/>
      <c r="C46" s="666"/>
      <c r="D46" s="667"/>
    </row>
    <row r="47" spans="1:4" ht="15.75">
      <c r="A47" s="668" t="s">
        <v>380</v>
      </c>
      <c r="B47" s="669"/>
      <c r="C47" s="669"/>
      <c r="D47" s="670"/>
    </row>
    <row r="48" spans="1:4" ht="15.75" hidden="1" outlineLevel="1">
      <c r="A48" s="665"/>
      <c r="B48" s="666"/>
      <c r="C48" s="666"/>
      <c r="D48" s="667"/>
    </row>
    <row r="49" spans="1:4" ht="15.75" hidden="1" outlineLevel="1">
      <c r="A49" s="113" t="s">
        <v>381</v>
      </c>
      <c r="B49" s="112" t="s">
        <v>382</v>
      </c>
      <c r="C49" s="113" t="s">
        <v>383</v>
      </c>
      <c r="D49" s="113" t="s">
        <v>352</v>
      </c>
    </row>
    <row r="50" spans="1:4" ht="15.75" hidden="1" outlineLevel="2">
      <c r="A50" s="116" t="s">
        <v>353</v>
      </c>
      <c r="B50" s="117" t="s">
        <v>384</v>
      </c>
      <c r="C50" s="32">
        <f>1/12</f>
        <v>8.3299999999999999E-2</v>
      </c>
      <c r="D50" s="107">
        <f>C50*D39</f>
        <v>153.25</v>
      </c>
    </row>
    <row r="51" spans="1:4" ht="15.75" hidden="1" outlineLevel="2">
      <c r="A51" s="116" t="s">
        <v>322</v>
      </c>
      <c r="B51" s="117" t="s">
        <v>385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>
      <c r="A52" s="663" t="s">
        <v>176</v>
      </c>
      <c r="B52" s="664"/>
      <c r="C52" s="33">
        <f>SUM(C50:C51)</f>
        <v>0.1</v>
      </c>
      <c r="D52" s="119">
        <f>SUM(D50:D51)</f>
        <v>183.97</v>
      </c>
    </row>
    <row r="53" spans="1:4" ht="15.75" hidden="1" outlineLevel="1">
      <c r="A53" s="665"/>
      <c r="B53" s="666"/>
      <c r="C53" s="666"/>
      <c r="D53" s="667"/>
    </row>
    <row r="54" spans="1:4" ht="15.75" hidden="1" outlineLevel="1">
      <c r="A54" s="113" t="s">
        <v>386</v>
      </c>
      <c r="B54" s="120" t="s">
        <v>387</v>
      </c>
      <c r="C54" s="113" t="s">
        <v>383</v>
      </c>
      <c r="D54" s="121" t="s">
        <v>352</v>
      </c>
    </row>
    <row r="55" spans="1:4" ht="15.75" hidden="1" outlineLevel="2">
      <c r="A55" s="114" t="s">
        <v>353</v>
      </c>
      <c r="B55" s="34" t="s">
        <v>388</v>
      </c>
      <c r="C55" s="35">
        <v>0.2</v>
      </c>
      <c r="D55" s="107">
        <f t="shared" ref="D55:D62" si="0">C55*($D$39+$D$52)</f>
        <v>404.74</v>
      </c>
    </row>
    <row r="56" spans="1:4" ht="15.75" hidden="1" outlineLevel="2">
      <c r="A56" s="114" t="s">
        <v>322</v>
      </c>
      <c r="B56" s="34" t="s">
        <v>389</v>
      </c>
      <c r="C56" s="35">
        <v>2.5000000000000001E-2</v>
      </c>
      <c r="D56" s="107">
        <f t="shared" si="0"/>
        <v>50.59</v>
      </c>
    </row>
    <row r="57" spans="1:4" ht="15.75" hidden="1" outlineLevel="2">
      <c r="A57" s="114" t="s">
        <v>325</v>
      </c>
      <c r="B57" s="34" t="s">
        <v>390</v>
      </c>
      <c r="C57" s="68">
        <v>0.03</v>
      </c>
      <c r="D57" s="107">
        <f t="shared" si="0"/>
        <v>60.71</v>
      </c>
    </row>
    <row r="58" spans="1:4" ht="15.75" hidden="1" outlineLevel="2">
      <c r="A58" s="114" t="s">
        <v>328</v>
      </c>
      <c r="B58" s="34" t="s">
        <v>391</v>
      </c>
      <c r="C58" s="35">
        <v>1.4999999999999999E-2</v>
      </c>
      <c r="D58" s="107">
        <f t="shared" si="0"/>
        <v>30.36</v>
      </c>
    </row>
    <row r="59" spans="1:4" ht="15.75" hidden="1" outlineLevel="2">
      <c r="A59" s="114" t="s">
        <v>331</v>
      </c>
      <c r="B59" s="34" t="s">
        <v>392</v>
      </c>
      <c r="C59" s="35">
        <v>0.01</v>
      </c>
      <c r="D59" s="107">
        <f t="shared" si="0"/>
        <v>20.239999999999998</v>
      </c>
    </row>
    <row r="60" spans="1:4" ht="15.75" hidden="1" outlineLevel="2">
      <c r="A60" s="114" t="s">
        <v>334</v>
      </c>
      <c r="B60" s="34" t="s">
        <v>393</v>
      </c>
      <c r="C60" s="35">
        <v>6.0000000000000001E-3</v>
      </c>
      <c r="D60" s="107">
        <f t="shared" si="0"/>
        <v>12.14</v>
      </c>
    </row>
    <row r="61" spans="1:4" ht="15.75" hidden="1" outlineLevel="2">
      <c r="A61" s="114" t="s">
        <v>394</v>
      </c>
      <c r="B61" s="34" t="s">
        <v>395</v>
      </c>
      <c r="C61" s="35">
        <v>2E-3</v>
      </c>
      <c r="D61" s="107">
        <f t="shared" si="0"/>
        <v>4.05</v>
      </c>
    </row>
    <row r="62" spans="1:4" ht="15.75" hidden="1" outlineLevel="2">
      <c r="A62" s="114" t="s">
        <v>336</v>
      </c>
      <c r="B62" s="34" t="s">
        <v>396</v>
      </c>
      <c r="C62" s="35">
        <v>0.08</v>
      </c>
      <c r="D62" s="107">
        <f t="shared" si="0"/>
        <v>161.9</v>
      </c>
    </row>
    <row r="63" spans="1:4" ht="15.75" hidden="1" outlineLevel="1">
      <c r="A63" s="663" t="s">
        <v>176</v>
      </c>
      <c r="B63" s="664"/>
      <c r="C63" s="36">
        <f>SUM(C55:C62)</f>
        <v>0.36799999999999999</v>
      </c>
      <c r="D63" s="122">
        <f>SUM(D55:D62)</f>
        <v>744.73</v>
      </c>
    </row>
    <row r="64" spans="1:4" ht="15.75" hidden="1" outlineLevel="1">
      <c r="A64" s="665"/>
      <c r="B64" s="666"/>
      <c r="C64" s="666"/>
      <c r="D64" s="667"/>
    </row>
    <row r="65" spans="1:4" ht="15.75" hidden="1" outlineLevel="1">
      <c r="A65" s="113" t="s">
        <v>397</v>
      </c>
      <c r="B65" s="120" t="s">
        <v>398</v>
      </c>
      <c r="C65" s="113" t="s">
        <v>399</v>
      </c>
      <c r="D65" s="113" t="s">
        <v>352</v>
      </c>
    </row>
    <row r="66" spans="1:4" ht="15.75" hidden="1" outlineLevel="2">
      <c r="A66" s="114" t="s">
        <v>353</v>
      </c>
      <c r="B66" s="34" t="s">
        <v>400</v>
      </c>
      <c r="C66" s="123">
        <v>3.65</v>
      </c>
      <c r="D66" s="124">
        <f>IF(D67+D68&gt;0,(D67+D68),0)</f>
        <v>74.45</v>
      </c>
    </row>
    <row r="67" spans="1:4" ht="15.75" hidden="1" outlineLevel="3">
      <c r="A67" s="125" t="s">
        <v>401</v>
      </c>
      <c r="B67" s="34" t="s">
        <v>402</v>
      </c>
      <c r="C67" s="126">
        <v>21</v>
      </c>
      <c r="D67" s="127">
        <f>C66*C67*2</f>
        <v>153.30000000000001</v>
      </c>
    </row>
    <row r="68" spans="1:4" ht="15.75" hidden="1" outlineLevel="3">
      <c r="A68" s="125" t="s">
        <v>403</v>
      </c>
      <c r="B68" s="34" t="s">
        <v>404</v>
      </c>
      <c r="C68" s="128">
        <v>0.06</v>
      </c>
      <c r="D68" s="127">
        <f>-D27*C68</f>
        <v>-78.849999999999994</v>
      </c>
    </row>
    <row r="69" spans="1:4" ht="15.75" hidden="1" outlineLevel="2">
      <c r="A69" s="114" t="s">
        <v>322</v>
      </c>
      <c r="B69" s="34" t="s">
        <v>405</v>
      </c>
      <c r="C69" s="129">
        <f>'SR - ASG'!C69</f>
        <v>20.18</v>
      </c>
      <c r="D69" s="124">
        <f>D70+D71</f>
        <v>343.26</v>
      </c>
    </row>
    <row r="70" spans="1:4" ht="15.75" hidden="1" outlineLevel="3">
      <c r="A70" s="125" t="s">
        <v>406</v>
      </c>
      <c r="B70" s="34" t="s">
        <v>407</v>
      </c>
      <c r="C70" s="126">
        <v>21</v>
      </c>
      <c r="D70" s="127">
        <f>C69*C70</f>
        <v>423.78</v>
      </c>
    </row>
    <row r="71" spans="1:4" ht="15.75" hidden="1" outlineLevel="3">
      <c r="A71" s="125" t="s">
        <v>408</v>
      </c>
      <c r="B71" s="34" t="s">
        <v>409</v>
      </c>
      <c r="C71" s="130">
        <v>-0.19</v>
      </c>
      <c r="D71" s="127">
        <f>D70*C71</f>
        <v>-80.52</v>
      </c>
    </row>
    <row r="72" spans="1:4" ht="15.75" hidden="1" outlineLevel="2">
      <c r="A72" s="114" t="s">
        <v>325</v>
      </c>
      <c r="B72" s="77" t="s">
        <v>410</v>
      </c>
      <c r="C72" s="129">
        <v>17.32</v>
      </c>
      <c r="D72" s="132">
        <f>C72</f>
        <v>17.32</v>
      </c>
    </row>
    <row r="73" spans="1:4" ht="15.75" hidden="1" outlineLevel="2">
      <c r="A73" s="114" t="s">
        <v>328</v>
      </c>
      <c r="B73" s="78" t="s">
        <v>411</v>
      </c>
      <c r="C73" s="129">
        <f>140*3</f>
        <v>420</v>
      </c>
      <c r="D73" s="132">
        <f>C73*C152</f>
        <v>0.84</v>
      </c>
    </row>
    <row r="74" spans="1:4" ht="15.75" hidden="1" outlineLevel="2">
      <c r="A74" s="114" t="s">
        <v>331</v>
      </c>
      <c r="B74" s="77" t="s">
        <v>412</v>
      </c>
      <c r="C74" s="129">
        <v>21</v>
      </c>
      <c r="D74" s="132">
        <f>C74</f>
        <v>21</v>
      </c>
    </row>
    <row r="75" spans="1:4" ht="15.75" hidden="1" outlineLevel="2">
      <c r="A75" s="114" t="s">
        <v>334</v>
      </c>
      <c r="B75" s="77" t="s">
        <v>372</v>
      </c>
      <c r="C75" s="131">
        <v>0</v>
      </c>
      <c r="D75" s="132">
        <f>C75*D39</f>
        <v>0</v>
      </c>
    </row>
    <row r="76" spans="1:4" ht="15.75" hidden="1" outlineLevel="2">
      <c r="A76" s="114" t="s">
        <v>394</v>
      </c>
      <c r="B76" s="77" t="s">
        <v>372</v>
      </c>
      <c r="C76" s="129">
        <v>0</v>
      </c>
      <c r="D76" s="133">
        <f>C76</f>
        <v>0</v>
      </c>
    </row>
    <row r="77" spans="1:4" ht="15.75" hidden="1" outlineLevel="1">
      <c r="A77" s="663" t="s">
        <v>413</v>
      </c>
      <c r="B77" s="700"/>
      <c r="C77" s="664"/>
      <c r="D77" s="119">
        <f>SUM(D66,D69,D72:D76)</f>
        <v>456.87</v>
      </c>
    </row>
    <row r="78" spans="1:4" ht="15.75" hidden="1" outlineLevel="1">
      <c r="A78" s="665"/>
      <c r="B78" s="666"/>
      <c r="C78" s="666"/>
      <c r="D78" s="667"/>
    </row>
    <row r="79" spans="1:4" ht="15.75" hidden="1" outlineLevel="1">
      <c r="A79" s="701" t="s">
        <v>414</v>
      </c>
      <c r="B79" s="702"/>
      <c r="C79" s="113" t="s">
        <v>383</v>
      </c>
      <c r="D79" s="113" t="s">
        <v>352</v>
      </c>
    </row>
    <row r="80" spans="1:4" ht="15.75" hidden="1" outlineLevel="1">
      <c r="A80" s="114" t="s">
        <v>415</v>
      </c>
      <c r="B80" s="34" t="s">
        <v>382</v>
      </c>
      <c r="C80" s="37">
        <f>C52</f>
        <v>0.1</v>
      </c>
      <c r="D80" s="107">
        <f>D52</f>
        <v>183.97</v>
      </c>
    </row>
    <row r="81" spans="1:4" ht="15.75" hidden="1" outlineLevel="1">
      <c r="A81" s="114" t="s">
        <v>386</v>
      </c>
      <c r="B81" s="34" t="s">
        <v>387</v>
      </c>
      <c r="C81" s="37">
        <f>C63</f>
        <v>0.36799999999999999</v>
      </c>
      <c r="D81" s="107">
        <f>D63</f>
        <v>744.73</v>
      </c>
    </row>
    <row r="82" spans="1:4" ht="15.75" hidden="1" outlineLevel="1">
      <c r="A82" s="114" t="s">
        <v>416</v>
      </c>
      <c r="B82" s="34" t="s">
        <v>398</v>
      </c>
      <c r="C82" s="37">
        <f>D77/D39</f>
        <v>0.24829999999999999</v>
      </c>
      <c r="D82" s="107">
        <f>D77</f>
        <v>456.87</v>
      </c>
    </row>
    <row r="83" spans="1:4" ht="15.75" collapsed="1">
      <c r="A83" s="663" t="s">
        <v>176</v>
      </c>
      <c r="B83" s="700"/>
      <c r="C83" s="664"/>
      <c r="D83" s="119">
        <f>SUM(D80:D82)</f>
        <v>1385.57</v>
      </c>
    </row>
    <row r="84" spans="1:4" ht="15.75">
      <c r="A84" s="665"/>
      <c r="B84" s="666"/>
      <c r="C84" s="666"/>
      <c r="D84" s="667"/>
    </row>
    <row r="85" spans="1:4" ht="15.75">
      <c r="A85" s="694" t="s">
        <v>417</v>
      </c>
      <c r="B85" s="695"/>
      <c r="C85" s="695"/>
      <c r="D85" s="696"/>
    </row>
    <row r="86" spans="1:4" ht="15.75" hidden="1" outlineLevel="1">
      <c r="A86" s="665"/>
      <c r="B86" s="666"/>
      <c r="C86" s="666"/>
      <c r="D86" s="667"/>
    </row>
    <row r="87" spans="1:4" ht="15.75" hidden="1" outlineLevel="1">
      <c r="A87" s="66" t="s">
        <v>418</v>
      </c>
      <c r="B87" s="112" t="s">
        <v>419</v>
      </c>
      <c r="C87" s="113" t="s">
        <v>383</v>
      </c>
      <c r="D87" s="113" t="s">
        <v>352</v>
      </c>
    </row>
    <row r="88" spans="1:4" ht="15.75" hidden="1" outlineLevel="2">
      <c r="A88" s="38" t="s">
        <v>353</v>
      </c>
      <c r="B88" s="39" t="s">
        <v>420</v>
      </c>
      <c r="C88" s="38" t="s">
        <v>363</v>
      </c>
      <c r="D88" s="134">
        <f>IF(C99&gt;1,SUM(D89:D92)*2,SUM(D89:D92))</f>
        <v>2592.48</v>
      </c>
    </row>
    <row r="89" spans="1:4" ht="15.75" hidden="1" outlineLevel="3">
      <c r="A89" s="40" t="s">
        <v>421</v>
      </c>
      <c r="B89" s="41" t="s">
        <v>422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>
      <c r="A90" s="40" t="s">
        <v>423</v>
      </c>
      <c r="B90" s="41" t="s">
        <v>424</v>
      </c>
      <c r="C90" s="32">
        <f>1/12</f>
        <v>8.3299999999999999E-2</v>
      </c>
      <c r="D90" s="134">
        <f>C90*D89</f>
        <v>168.57</v>
      </c>
    </row>
    <row r="91" spans="1:4" ht="15.75" hidden="1" outlineLevel="3">
      <c r="A91" s="40" t="s">
        <v>425</v>
      </c>
      <c r="B91" s="41" t="s">
        <v>426</v>
      </c>
      <c r="C91" s="32">
        <f>(1/12)+(1/12/3)</f>
        <v>0.1111</v>
      </c>
      <c r="D91" s="135">
        <f>C91*D89</f>
        <v>224.83</v>
      </c>
    </row>
    <row r="92" spans="1:4" ht="15.75" hidden="1" outlineLevel="3">
      <c r="A92" s="40" t="s">
        <v>427</v>
      </c>
      <c r="B92" s="41" t="s">
        <v>428</v>
      </c>
      <c r="C92" s="42">
        <v>0.08</v>
      </c>
      <c r="D92" s="134">
        <f>SUM(D89:D90)*C92</f>
        <v>175.38</v>
      </c>
    </row>
    <row r="93" spans="1:4" ht="15.75" hidden="1" outlineLevel="2">
      <c r="A93" s="38" t="s">
        <v>322</v>
      </c>
      <c r="B93" s="39" t="s">
        <v>429</v>
      </c>
      <c r="C93" s="43">
        <v>0.4</v>
      </c>
      <c r="D93" s="134">
        <f>C93*D94</f>
        <v>1297.1300000000001</v>
      </c>
    </row>
    <row r="94" spans="1:4" ht="15.75" hidden="1" outlineLevel="3">
      <c r="A94" s="38" t="s">
        <v>430</v>
      </c>
      <c r="B94" s="39" t="s">
        <v>431</v>
      </c>
      <c r="C94" s="43">
        <f>C62</f>
        <v>0.08</v>
      </c>
      <c r="D94" s="134">
        <f>C94*D95</f>
        <v>3242.83</v>
      </c>
    </row>
    <row r="95" spans="1:4" ht="15.75" hidden="1" outlineLevel="3">
      <c r="A95" s="38" t="s">
        <v>432</v>
      </c>
      <c r="B95" s="44" t="s">
        <v>433</v>
      </c>
      <c r="C95" s="45" t="s">
        <v>363</v>
      </c>
      <c r="D95" s="135">
        <f>SUM(D96:D98)</f>
        <v>40535.379999999997</v>
      </c>
    </row>
    <row r="96" spans="1:4" ht="15.75" hidden="1" outlineLevel="3">
      <c r="A96" s="40" t="s">
        <v>434</v>
      </c>
      <c r="B96" s="41" t="s">
        <v>435</v>
      </c>
      <c r="C96" s="46">
        <f>C12-C98</f>
        <v>19</v>
      </c>
      <c r="D96" s="134">
        <f>D39*C96</f>
        <v>34954.870000000003</v>
      </c>
    </row>
    <row r="97" spans="1:4" ht="15.75" hidden="1" outlineLevel="3">
      <c r="A97" s="40" t="s">
        <v>436</v>
      </c>
      <c r="B97" s="41" t="s">
        <v>437</v>
      </c>
      <c r="C97" s="47">
        <f>C12/12</f>
        <v>1.7</v>
      </c>
      <c r="D97" s="134">
        <f>D39*C97</f>
        <v>3127.54</v>
      </c>
    </row>
    <row r="98" spans="1:4" ht="15.75" hidden="1" outlineLevel="3">
      <c r="A98" s="40" t="s">
        <v>438</v>
      </c>
      <c r="B98" s="41" t="s">
        <v>439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>
      <c r="A99" s="663" t="s">
        <v>176</v>
      </c>
      <c r="B99" s="664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>
      <c r="A100" s="697"/>
      <c r="B100" s="698"/>
      <c r="C100" s="698"/>
      <c r="D100" s="699"/>
    </row>
    <row r="101" spans="1:4" ht="15.75" hidden="1" outlineLevel="1">
      <c r="A101" s="66" t="s">
        <v>440</v>
      </c>
      <c r="B101" s="112" t="s">
        <v>441</v>
      </c>
      <c r="C101" s="113" t="s">
        <v>383</v>
      </c>
      <c r="D101" s="113" t="s">
        <v>352</v>
      </c>
    </row>
    <row r="102" spans="1:4" ht="15.75" hidden="1" outlineLevel="2">
      <c r="A102" s="38" t="s">
        <v>353</v>
      </c>
      <c r="B102" s="44" t="s">
        <v>442</v>
      </c>
      <c r="C102" s="48">
        <f>IF(C111&gt;1,(1/30*7)*2,(1/30*7))</f>
        <v>0.23330000000000001</v>
      </c>
      <c r="D102" s="135">
        <f>C102*SUM(D103:D107)</f>
        <v>790.34</v>
      </c>
    </row>
    <row r="103" spans="1:4" ht="15.75" hidden="1" outlineLevel="3">
      <c r="A103" s="40" t="s">
        <v>421</v>
      </c>
      <c r="B103" s="41" t="s">
        <v>443</v>
      </c>
      <c r="C103" s="38">
        <v>1</v>
      </c>
      <c r="D103" s="134">
        <f>D39</f>
        <v>1839.73</v>
      </c>
    </row>
    <row r="104" spans="1:4" ht="15.75" hidden="1" outlineLevel="3">
      <c r="A104" s="40" t="s">
        <v>423</v>
      </c>
      <c r="B104" s="41" t="s">
        <v>444</v>
      </c>
      <c r="C104" s="32">
        <f>1/12</f>
        <v>8.3299999999999999E-2</v>
      </c>
      <c r="D104" s="134">
        <f>C104*D103</f>
        <v>153.25</v>
      </c>
    </row>
    <row r="105" spans="1:4" ht="15.75" hidden="1" outlineLevel="3">
      <c r="A105" s="40" t="s">
        <v>425</v>
      </c>
      <c r="B105" s="41" t="s">
        <v>445</v>
      </c>
      <c r="C105" s="32">
        <f>(1/12)+(1/12/3)</f>
        <v>0.1111</v>
      </c>
      <c r="D105" s="134">
        <f>C105*D103</f>
        <v>204.39</v>
      </c>
    </row>
    <row r="106" spans="1:4" ht="15.75" hidden="1" outlineLevel="3">
      <c r="A106" s="40" t="s">
        <v>427</v>
      </c>
      <c r="B106" s="49" t="s">
        <v>446</v>
      </c>
      <c r="C106" s="50">
        <f>C63</f>
        <v>0.36799999999999999</v>
      </c>
      <c r="D106" s="135">
        <f>C106*(D103+D104)</f>
        <v>733.42</v>
      </c>
    </row>
    <row r="107" spans="1:4" ht="15.75" hidden="1" outlineLevel="3">
      <c r="A107" s="40" t="s">
        <v>447</v>
      </c>
      <c r="B107" s="49" t="s">
        <v>448</v>
      </c>
      <c r="C107" s="45">
        <v>1</v>
      </c>
      <c r="D107" s="135">
        <f>D77</f>
        <v>456.87</v>
      </c>
    </row>
    <row r="108" spans="1:4" ht="15.75" hidden="1" outlineLevel="2">
      <c r="A108" s="38" t="s">
        <v>322</v>
      </c>
      <c r="B108" s="39" t="s">
        <v>449</v>
      </c>
      <c r="C108" s="43">
        <v>0.4</v>
      </c>
      <c r="D108" s="134">
        <f>C108*D109</f>
        <v>1297.1300000000001</v>
      </c>
    </row>
    <row r="109" spans="1:4" ht="15.75" hidden="1" outlineLevel="2">
      <c r="A109" s="38" t="s">
        <v>430</v>
      </c>
      <c r="B109" s="39" t="s">
        <v>431</v>
      </c>
      <c r="C109" s="43">
        <f>C62</f>
        <v>0.08</v>
      </c>
      <c r="D109" s="134">
        <f>C109*D110</f>
        <v>3242.83</v>
      </c>
    </row>
    <row r="110" spans="1:4" ht="15.75" hidden="1" outlineLevel="2">
      <c r="A110" s="38" t="s">
        <v>432</v>
      </c>
      <c r="B110" s="44" t="s">
        <v>433</v>
      </c>
      <c r="C110" s="45" t="s">
        <v>363</v>
      </c>
      <c r="D110" s="135">
        <f>D95</f>
        <v>40535.379999999997</v>
      </c>
    </row>
    <row r="111" spans="1:4" ht="15.75" hidden="1" outlineLevel="1">
      <c r="A111" s="663" t="s">
        <v>176</v>
      </c>
      <c r="B111" s="664"/>
      <c r="C111" s="69">
        <f>'SR - ASG'!C111</f>
        <v>0.94450000000000001</v>
      </c>
      <c r="D111" s="119">
        <f>IF(C111&gt;1,D102+D108,(D102+D108)*C111)</f>
        <v>1971.62</v>
      </c>
    </row>
    <row r="112" spans="1:4" ht="15.75" hidden="1" outlineLevel="1">
      <c r="A112" s="697"/>
      <c r="B112" s="698"/>
      <c r="C112" s="698"/>
      <c r="D112" s="699"/>
    </row>
    <row r="113" spans="1:4" ht="15.75" hidden="1" outlineLevel="1">
      <c r="A113" s="66" t="s">
        <v>450</v>
      </c>
      <c r="B113" s="112" t="s">
        <v>451</v>
      </c>
      <c r="C113" s="113" t="s">
        <v>383</v>
      </c>
      <c r="D113" s="113" t="s">
        <v>352</v>
      </c>
    </row>
    <row r="114" spans="1:4" ht="15.75" hidden="1" outlineLevel="2">
      <c r="A114" s="114" t="s">
        <v>353</v>
      </c>
      <c r="B114" s="34" t="s">
        <v>452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>
      <c r="A115" s="114" t="s">
        <v>322</v>
      </c>
      <c r="B115" s="51" t="s">
        <v>453</v>
      </c>
      <c r="C115" s="37">
        <f>C114/3</f>
        <v>1.11E-2</v>
      </c>
      <c r="D115" s="137">
        <f>C115*D39</f>
        <v>20.420000000000002</v>
      </c>
    </row>
    <row r="116" spans="1:4" ht="15.75" hidden="1" outlineLevel="1">
      <c r="A116" s="663" t="s">
        <v>176</v>
      </c>
      <c r="B116" s="664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>
      <c r="A117" s="697"/>
      <c r="B117" s="698"/>
      <c r="C117" s="698"/>
      <c r="D117" s="699"/>
    </row>
    <row r="118" spans="1:4" ht="15.75" hidden="1" outlineLevel="1">
      <c r="A118" s="701" t="s">
        <v>454</v>
      </c>
      <c r="B118" s="702"/>
      <c r="C118" s="113" t="s">
        <v>383</v>
      </c>
      <c r="D118" s="113" t="s">
        <v>352</v>
      </c>
    </row>
    <row r="119" spans="1:4" ht="15.75" hidden="1" outlineLevel="1">
      <c r="A119" s="114" t="s">
        <v>418</v>
      </c>
      <c r="B119" s="34" t="s">
        <v>419</v>
      </c>
      <c r="C119" s="37">
        <f>C99</f>
        <v>5.5500000000000001E-2</v>
      </c>
      <c r="D119" s="107">
        <f>D99</f>
        <v>215.87</v>
      </c>
    </row>
    <row r="120" spans="1:4" ht="15.75" hidden="1" outlineLevel="1">
      <c r="A120" s="116" t="s">
        <v>440</v>
      </c>
      <c r="B120" s="34" t="s">
        <v>441</v>
      </c>
      <c r="C120" s="52">
        <f>C111</f>
        <v>0.94450000000000001</v>
      </c>
      <c r="D120" s="107">
        <f>D111</f>
        <v>1971.62</v>
      </c>
    </row>
    <row r="121" spans="1:4" ht="15.75" hidden="1" outlineLevel="1">
      <c r="A121" s="707" t="s">
        <v>455</v>
      </c>
      <c r="B121" s="707"/>
      <c r="C121" s="707"/>
      <c r="D121" s="138">
        <f>D119+D120</f>
        <v>2187.4899999999998</v>
      </c>
    </row>
    <row r="122" spans="1:4" ht="15.75" hidden="1" outlineLevel="1">
      <c r="A122" s="703" t="s">
        <v>456</v>
      </c>
      <c r="B122" s="704"/>
      <c r="C122" s="70">
        <f>'SR - ASG'!C122</f>
        <v>0.63570000000000004</v>
      </c>
      <c r="D122" s="61">
        <f>C122*D121</f>
        <v>1390.59</v>
      </c>
    </row>
    <row r="123" spans="1:4" ht="15.75" hidden="1" outlineLevel="1">
      <c r="A123" s="703" t="s">
        <v>457</v>
      </c>
      <c r="B123" s="70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>
      <c r="A124" s="705" t="s">
        <v>458</v>
      </c>
      <c r="B124" s="706"/>
      <c r="C124" s="74">
        <f>1/C12</f>
        <v>0.05</v>
      </c>
      <c r="D124" s="62">
        <f>(D122+D123)*C124</f>
        <v>69.42</v>
      </c>
    </row>
    <row r="125" spans="1:4" ht="15.75" hidden="1" outlineLevel="1">
      <c r="A125" s="116" t="s">
        <v>450</v>
      </c>
      <c r="B125" s="34" t="s">
        <v>459</v>
      </c>
      <c r="C125" s="52"/>
      <c r="D125" s="127">
        <f>D116</f>
        <v>81.680000000000007</v>
      </c>
    </row>
    <row r="126" spans="1:4" ht="15.75" collapsed="1">
      <c r="A126" s="663" t="s">
        <v>176</v>
      </c>
      <c r="B126" s="664"/>
      <c r="C126" s="33"/>
      <c r="D126" s="139">
        <f>D124+D125</f>
        <v>151.1</v>
      </c>
    </row>
    <row r="127" spans="1:4" ht="15.75">
      <c r="A127" s="665"/>
      <c r="B127" s="666"/>
      <c r="C127" s="666"/>
      <c r="D127" s="667"/>
    </row>
    <row r="128" spans="1:4" ht="15.75">
      <c r="A128" s="668" t="s">
        <v>460</v>
      </c>
      <c r="B128" s="669"/>
      <c r="C128" s="669"/>
      <c r="D128" s="670"/>
    </row>
    <row r="129" spans="1:4" ht="15.75" hidden="1" outlineLevel="1">
      <c r="A129" s="697"/>
      <c r="B129" s="698"/>
      <c r="C129" s="698"/>
      <c r="D129" s="699"/>
    </row>
    <row r="130" spans="1:4" ht="15.75" hidden="1" outlineLevel="1">
      <c r="A130" s="113" t="s">
        <v>461</v>
      </c>
      <c r="B130" s="120" t="s">
        <v>462</v>
      </c>
      <c r="C130" s="33" t="s">
        <v>383</v>
      </c>
      <c r="D130" s="113" t="s">
        <v>352</v>
      </c>
    </row>
    <row r="131" spans="1:4" ht="15.75" hidden="1" outlineLevel="2">
      <c r="A131" s="140" t="s">
        <v>353</v>
      </c>
      <c r="B131" s="91" t="s">
        <v>463</v>
      </c>
      <c r="C131" s="53">
        <f>IF(C12&gt;60,5/C12,IF(C12&gt;48,4/C12,IF(C12&gt;36,3/C12,IF(C12&gt;24,2/C12,IF(C12&gt;12,1/C12,0)))))</f>
        <v>0.05</v>
      </c>
      <c r="D131" s="136">
        <f>SUM(D132:D136)</f>
        <v>118.84</v>
      </c>
    </row>
    <row r="132" spans="1:4" ht="15.75" hidden="1" outlineLevel="3">
      <c r="A132" s="141" t="s">
        <v>464</v>
      </c>
      <c r="B132" s="92" t="s">
        <v>465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>
      <c r="A133" s="141" t="s">
        <v>466</v>
      </c>
      <c r="B133" s="92" t="s">
        <v>467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>
      <c r="A134" s="141" t="s">
        <v>468</v>
      </c>
      <c r="B134" s="92" t="s">
        <v>469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>
      <c r="A135" s="141" t="s">
        <v>470</v>
      </c>
      <c r="B135" s="92" t="s">
        <v>471</v>
      </c>
      <c r="C135" s="93">
        <f>C63</f>
        <v>0.36799999999999999</v>
      </c>
      <c r="D135" s="143">
        <f>SUM(D132:D134)*C131</f>
        <v>5.49</v>
      </c>
    </row>
    <row r="136" spans="1:4" ht="15.75" hidden="1" outlineLevel="3">
      <c r="A136" s="141" t="s">
        <v>472</v>
      </c>
      <c r="B136" s="92" t="s">
        <v>473</v>
      </c>
      <c r="C136" s="144">
        <f>D124</f>
        <v>69.42</v>
      </c>
      <c r="D136" s="143">
        <f>C136*C131</f>
        <v>3.47</v>
      </c>
    </row>
    <row r="137" spans="1:4" ht="15.75" hidden="1" outlineLevel="2">
      <c r="A137" s="114" t="s">
        <v>322</v>
      </c>
      <c r="B137" s="34" t="s">
        <v>474</v>
      </c>
      <c r="C137" s="94">
        <v>0</v>
      </c>
      <c r="D137" s="127">
        <f>$C$131*(D39)*(C137/3)</f>
        <v>0</v>
      </c>
    </row>
    <row r="138" spans="1:4" ht="15.75" hidden="1" outlineLevel="1">
      <c r="A138" s="663" t="s">
        <v>475</v>
      </c>
      <c r="B138" s="664"/>
      <c r="C138" s="33">
        <f>C131+(D137/D39)</f>
        <v>0.05</v>
      </c>
      <c r="D138" s="119">
        <f>SUM(D131:D137)</f>
        <v>237.68</v>
      </c>
    </row>
    <row r="139" spans="1:4" ht="15.75" hidden="1" outlineLevel="1">
      <c r="A139" s="697"/>
      <c r="B139" s="698"/>
      <c r="C139" s="698"/>
      <c r="D139" s="699"/>
    </row>
    <row r="140" spans="1:4" ht="15.75" hidden="1" outlineLevel="2">
      <c r="A140" s="710" t="s">
        <v>476</v>
      </c>
      <c r="B140" s="145" t="s">
        <v>435</v>
      </c>
      <c r="C140" s="95">
        <v>220</v>
      </c>
      <c r="D140" s="146">
        <f>D39</f>
        <v>1839.73</v>
      </c>
    </row>
    <row r="141" spans="1:4" ht="15.75" hidden="1" outlineLevel="2">
      <c r="A141" s="711"/>
      <c r="B141" s="145" t="s">
        <v>477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>
      <c r="A142" s="711"/>
      <c r="B142" s="145" t="s">
        <v>478</v>
      </c>
      <c r="C142" s="53">
        <f>C63</f>
        <v>0.36799999999999999</v>
      </c>
      <c r="D142" s="147">
        <f>(D140+D141)*C142</f>
        <v>808.63</v>
      </c>
    </row>
    <row r="143" spans="1:4" ht="15.75" hidden="1" outlineLevel="2">
      <c r="A143" s="711"/>
      <c r="B143" s="145" t="s">
        <v>479</v>
      </c>
      <c r="C143" s="53">
        <f>D143/D140</f>
        <v>0.24829999999999999</v>
      </c>
      <c r="D143" s="147">
        <f>D77</f>
        <v>456.87</v>
      </c>
    </row>
    <row r="144" spans="1:4" ht="15.75" hidden="1" outlineLevel="2">
      <c r="A144" s="712"/>
      <c r="B144" s="148" t="s">
        <v>480</v>
      </c>
      <c r="C144" s="53">
        <f>D144/D140</f>
        <v>3.7699999999999997E-2</v>
      </c>
      <c r="D144" s="147">
        <f>D124</f>
        <v>69.42</v>
      </c>
    </row>
    <row r="145" spans="1:4" ht="15.75" hidden="1" outlineLevel="2">
      <c r="A145" s="713" t="s">
        <v>481</v>
      </c>
      <c r="B145" s="714"/>
      <c r="C145" s="96">
        <f>D145/D140</f>
        <v>1.92</v>
      </c>
      <c r="D145" s="149">
        <f>SUM(D140:D144)</f>
        <v>3532.29</v>
      </c>
    </row>
    <row r="146" spans="1:4" ht="15.75" hidden="1" outlineLevel="2">
      <c r="A146" s="715"/>
      <c r="B146" s="715"/>
      <c r="C146" s="715"/>
      <c r="D146" s="716"/>
    </row>
    <row r="147" spans="1:4" ht="15.75" hidden="1" outlineLevel="1">
      <c r="A147" s="113" t="s">
        <v>482</v>
      </c>
      <c r="B147" s="120" t="s">
        <v>483</v>
      </c>
      <c r="C147" s="33" t="s">
        <v>383</v>
      </c>
      <c r="D147" s="113" t="s">
        <v>352</v>
      </c>
    </row>
    <row r="148" spans="1:4" ht="15.75" hidden="1" outlineLevel="2">
      <c r="A148" s="114" t="s">
        <v>322</v>
      </c>
      <c r="B148" s="34" t="s">
        <v>484</v>
      </c>
      <c r="C148" s="79">
        <f>5/252</f>
        <v>1.9800000000000002E-2</v>
      </c>
      <c r="D148" s="136">
        <f>C148*$D$145</f>
        <v>69.94</v>
      </c>
    </row>
    <row r="149" spans="1:4" ht="15.75" hidden="1" outlineLevel="2">
      <c r="A149" s="114" t="s">
        <v>325</v>
      </c>
      <c r="B149" s="34" t="s">
        <v>485</v>
      </c>
      <c r="C149" s="79">
        <f>1.383/252</f>
        <v>5.4999999999999997E-3</v>
      </c>
      <c r="D149" s="136">
        <f>C149*$D$145</f>
        <v>19.43</v>
      </c>
    </row>
    <row r="150" spans="1:4" ht="15.75" hidden="1" outlineLevel="2">
      <c r="A150" s="114" t="s">
        <v>328</v>
      </c>
      <c r="B150" s="34" t="s">
        <v>486</v>
      </c>
      <c r="C150" s="79">
        <f>1.3892/252</f>
        <v>5.4999999999999997E-3</v>
      </c>
      <c r="D150" s="136">
        <f t="shared" ref="D150:D153" si="1">C150*$D$145</f>
        <v>19.43</v>
      </c>
    </row>
    <row r="151" spans="1:4" ht="15.75" hidden="1" outlineLevel="2">
      <c r="A151" s="114" t="s">
        <v>331</v>
      </c>
      <c r="B151" s="34" t="s">
        <v>487</v>
      </c>
      <c r="C151" s="79">
        <f>0.65/252</f>
        <v>2.5999999999999999E-3</v>
      </c>
      <c r="D151" s="136">
        <f t="shared" si="1"/>
        <v>9.18</v>
      </c>
    </row>
    <row r="152" spans="1:4" ht="15.75" hidden="1" outlineLevel="2">
      <c r="A152" s="114" t="s">
        <v>334</v>
      </c>
      <c r="B152" s="34" t="s">
        <v>488</v>
      </c>
      <c r="C152" s="79">
        <f>0.5052/252</f>
        <v>2E-3</v>
      </c>
      <c r="D152" s="136">
        <f t="shared" si="1"/>
        <v>7.06</v>
      </c>
    </row>
    <row r="153" spans="1:4" ht="15.75" hidden="1" outlineLevel="2">
      <c r="A153" s="114" t="s">
        <v>353</v>
      </c>
      <c r="B153" s="63" t="s">
        <v>489</v>
      </c>
      <c r="C153" s="71">
        <f>0.2/252</f>
        <v>8.0000000000000004E-4</v>
      </c>
      <c r="D153" s="136">
        <f t="shared" si="1"/>
        <v>2.83</v>
      </c>
    </row>
    <row r="154" spans="1:4" ht="15.75" hidden="1" outlineLevel="1">
      <c r="A154" s="663" t="s">
        <v>475</v>
      </c>
      <c r="B154" s="664"/>
      <c r="C154" s="33">
        <f>SUM(C148:C153)</f>
        <v>3.6200000000000003E-2</v>
      </c>
      <c r="D154" s="119">
        <f>SUM(D148:D153)</f>
        <v>127.87</v>
      </c>
    </row>
    <row r="155" spans="1:4" ht="15.75" hidden="1" outlineLevel="1">
      <c r="A155" s="697"/>
      <c r="B155" s="698"/>
      <c r="C155" s="698"/>
      <c r="D155" s="699"/>
    </row>
    <row r="156" spans="1:4" ht="15.75" hidden="1" outlineLevel="1">
      <c r="A156" s="701" t="s">
        <v>490</v>
      </c>
      <c r="B156" s="708"/>
      <c r="C156" s="33" t="s">
        <v>491</v>
      </c>
      <c r="D156" s="113" t="s">
        <v>352</v>
      </c>
    </row>
    <row r="157" spans="1:4" ht="15.75" hidden="1" outlineLevel="2">
      <c r="A157" s="709" t="s">
        <v>492</v>
      </c>
      <c r="B157" s="145" t="s">
        <v>493</v>
      </c>
      <c r="C157" s="97">
        <f>C153</f>
        <v>8.0000000000000004E-4</v>
      </c>
      <c r="D157" s="150">
        <f>C157*-D140</f>
        <v>-1.47</v>
      </c>
    </row>
    <row r="158" spans="1:4" ht="15.75" hidden="1" outlineLevel="2">
      <c r="A158" s="709"/>
      <c r="B158" s="151" t="s">
        <v>494</v>
      </c>
      <c r="C158" s="98">
        <v>0</v>
      </c>
      <c r="D158" s="152">
        <f>C158*-(D140/220/24*5)</f>
        <v>0</v>
      </c>
    </row>
    <row r="159" spans="1:4" ht="15.75" hidden="1" outlineLevel="2">
      <c r="A159" s="709"/>
      <c r="B159" s="151" t="s">
        <v>495</v>
      </c>
      <c r="C159" s="98">
        <v>0</v>
      </c>
      <c r="D159" s="152">
        <f>C159*-D141</f>
        <v>0</v>
      </c>
    </row>
    <row r="160" spans="1:4" ht="15.75" hidden="1" outlineLevel="2">
      <c r="A160" s="709"/>
      <c r="B160" s="145" t="s">
        <v>496</v>
      </c>
      <c r="C160" s="97">
        <f>C154</f>
        <v>3.6200000000000003E-2</v>
      </c>
      <c r="D160" s="150">
        <f>C160*-D66</f>
        <v>-2.7</v>
      </c>
    </row>
    <row r="161" spans="1:4" ht="15.75" hidden="1" outlineLevel="2">
      <c r="A161" s="709"/>
      <c r="B161" s="145" t="s">
        <v>497</v>
      </c>
      <c r="C161" s="97">
        <f>C154</f>
        <v>3.6200000000000003E-2</v>
      </c>
      <c r="D161" s="150">
        <f>C161*-D69</f>
        <v>-12.43</v>
      </c>
    </row>
    <row r="162" spans="1:4" ht="15.75" hidden="1" outlineLevel="2">
      <c r="A162" s="709"/>
      <c r="B162" s="148" t="s">
        <v>498</v>
      </c>
      <c r="C162" s="97">
        <f>C153</f>
        <v>8.0000000000000004E-4</v>
      </c>
      <c r="D162" s="150">
        <f>C162*-D74</f>
        <v>-0.02</v>
      </c>
    </row>
    <row r="163" spans="1:4" ht="15.75" hidden="1" outlineLevel="2">
      <c r="A163" s="709"/>
      <c r="B163" s="148" t="s">
        <v>499</v>
      </c>
      <c r="C163" s="99">
        <f>C152</f>
        <v>2E-3</v>
      </c>
      <c r="D163" s="136">
        <f>C163*-SUM(D55:D61)</f>
        <v>-1.17</v>
      </c>
    </row>
    <row r="164" spans="1:4" ht="15.75" hidden="1" outlineLevel="2">
      <c r="A164" s="709"/>
      <c r="B164" s="145" t="s">
        <v>500</v>
      </c>
      <c r="C164" s="97">
        <f>C153</f>
        <v>8.0000000000000004E-4</v>
      </c>
      <c r="D164" s="150">
        <f>C164*-D142</f>
        <v>-0.65</v>
      </c>
    </row>
    <row r="165" spans="1:4" ht="15.75" hidden="1" outlineLevel="1">
      <c r="A165" s="663" t="s">
        <v>501</v>
      </c>
      <c r="B165" s="664"/>
      <c r="C165" s="33">
        <f>D165/D140</f>
        <v>-0.01</v>
      </c>
      <c r="D165" s="119">
        <f>SUM(D157:D164)</f>
        <v>-18.440000000000001</v>
      </c>
    </row>
    <row r="166" spans="1:4" ht="15.75" hidden="1" outlineLevel="1">
      <c r="A166" s="697"/>
      <c r="B166" s="698"/>
      <c r="C166" s="698"/>
      <c r="D166" s="699"/>
    </row>
    <row r="167" spans="1:4" ht="15.75" hidden="1" outlineLevel="1">
      <c r="A167" s="663" t="s">
        <v>502</v>
      </c>
      <c r="B167" s="664"/>
      <c r="C167" s="33">
        <f>D167/D140</f>
        <v>5.9499999999999997E-2</v>
      </c>
      <c r="D167" s="119">
        <f>D154+D165</f>
        <v>109.43</v>
      </c>
    </row>
    <row r="168" spans="1:4" ht="15.75" hidden="1" outlineLevel="1">
      <c r="A168" s="697"/>
      <c r="B168" s="698"/>
      <c r="C168" s="698"/>
      <c r="D168" s="699"/>
    </row>
    <row r="169" spans="1:4" ht="15.75" hidden="1" outlineLevel="1">
      <c r="A169" s="701" t="s">
        <v>503</v>
      </c>
      <c r="B169" s="702"/>
      <c r="C169" s="113" t="s">
        <v>383</v>
      </c>
      <c r="D169" s="113" t="s">
        <v>352</v>
      </c>
    </row>
    <row r="170" spans="1:4" ht="15.75" hidden="1" outlineLevel="1">
      <c r="A170" s="114" t="s">
        <v>461</v>
      </c>
      <c r="B170" s="34" t="s">
        <v>462</v>
      </c>
      <c r="C170" s="37"/>
      <c r="D170" s="153">
        <f>D138</f>
        <v>237.68</v>
      </c>
    </row>
    <row r="171" spans="1:4" ht="15.75" hidden="1" outlineLevel="1">
      <c r="A171" s="114" t="s">
        <v>482</v>
      </c>
      <c r="B171" s="34" t="s">
        <v>483</v>
      </c>
      <c r="C171" s="37"/>
      <c r="D171" s="153">
        <f>D167</f>
        <v>109.43</v>
      </c>
    </row>
    <row r="172" spans="1:4" ht="15.75" collapsed="1">
      <c r="A172" s="663" t="s">
        <v>176</v>
      </c>
      <c r="B172" s="700"/>
      <c r="C172" s="664"/>
      <c r="D172" s="122">
        <f>SUM(D170:D171)</f>
        <v>347.11</v>
      </c>
    </row>
    <row r="173" spans="1:4" ht="15.75">
      <c r="A173" s="697"/>
      <c r="B173" s="698"/>
      <c r="C173" s="698"/>
      <c r="D173" s="699"/>
    </row>
    <row r="174" spans="1:4" ht="15.75">
      <c r="A174" s="668" t="s">
        <v>504</v>
      </c>
      <c r="B174" s="669"/>
      <c r="C174" s="669"/>
      <c r="D174" s="670"/>
    </row>
    <row r="175" spans="1:4" ht="15.75" hidden="1" outlineLevel="1">
      <c r="A175" s="697"/>
      <c r="B175" s="698"/>
      <c r="C175" s="698"/>
      <c r="D175" s="699"/>
    </row>
    <row r="176" spans="1:4" ht="15.75" hidden="1" outlineLevel="1">
      <c r="A176" s="66">
        <v>5</v>
      </c>
      <c r="B176" s="663" t="s">
        <v>505</v>
      </c>
      <c r="C176" s="664"/>
      <c r="D176" s="113" t="s">
        <v>352</v>
      </c>
    </row>
    <row r="177" spans="1:4" ht="15.75" hidden="1" outlineLevel="1">
      <c r="A177" s="114" t="s">
        <v>353</v>
      </c>
      <c r="B177" s="717" t="s">
        <v>506</v>
      </c>
      <c r="C177" s="718"/>
      <c r="D177" s="136">
        <f>INSUMOS!H14</f>
        <v>25.55</v>
      </c>
    </row>
    <row r="178" spans="1:4" ht="15.75" hidden="1" outlineLevel="1">
      <c r="A178" s="114" t="s">
        <v>322</v>
      </c>
      <c r="B178" s="717" t="s">
        <v>541</v>
      </c>
      <c r="C178" s="718"/>
      <c r="D178" s="154">
        <f>INSUMOS!H44</f>
        <v>38.97</v>
      </c>
    </row>
    <row r="179" spans="1:4" ht="15.75" hidden="1" outlineLevel="1">
      <c r="A179" s="114" t="s">
        <v>325</v>
      </c>
      <c r="B179" s="649" t="s">
        <v>508</v>
      </c>
      <c r="C179" s="650"/>
      <c r="D179" s="154">
        <f>MATERIAIS!J109</f>
        <v>677.29</v>
      </c>
    </row>
    <row r="180" spans="1:4" ht="15.75" hidden="1" outlineLevel="1">
      <c r="A180" s="114" t="s">
        <v>328</v>
      </c>
      <c r="B180" s="649" t="s">
        <v>509</v>
      </c>
      <c r="C180" s="650"/>
      <c r="D180" s="154">
        <f>EQUIPAMENTOS!K111</f>
        <v>61.27</v>
      </c>
    </row>
    <row r="181" spans="1:4" ht="15.75" hidden="1" outlineLevel="1">
      <c r="A181" s="114" t="s">
        <v>331</v>
      </c>
      <c r="B181" s="651" t="s">
        <v>372</v>
      </c>
      <c r="C181" s="652"/>
      <c r="D181" s="133">
        <v>0</v>
      </c>
    </row>
    <row r="182" spans="1:4" ht="15.75" collapsed="1">
      <c r="A182" s="663" t="s">
        <v>176</v>
      </c>
      <c r="B182" s="700"/>
      <c r="C182" s="664"/>
      <c r="D182" s="119">
        <f>SUM(D177:D181)</f>
        <v>803.08</v>
      </c>
    </row>
    <row r="183" spans="1:4" ht="15.75">
      <c r="A183" s="665"/>
      <c r="B183" s="666"/>
      <c r="C183" s="666"/>
      <c r="D183" s="667"/>
    </row>
    <row r="184" spans="1:4" ht="15.75">
      <c r="A184" s="723" t="s">
        <v>510</v>
      </c>
      <c r="B184" s="723"/>
      <c r="C184" s="723"/>
      <c r="D184" s="155">
        <f>D39+D83+D126+D172+D182</f>
        <v>4526.59</v>
      </c>
    </row>
    <row r="185" spans="1:4" ht="15.75">
      <c r="A185" s="679"/>
      <c r="B185" s="679"/>
      <c r="C185" s="679"/>
      <c r="D185" s="679"/>
    </row>
    <row r="186" spans="1:4" ht="15.75">
      <c r="A186" s="724" t="s">
        <v>511</v>
      </c>
      <c r="B186" s="724"/>
      <c r="C186" s="724"/>
      <c r="D186" s="724"/>
    </row>
    <row r="187" spans="1:4" ht="15.75" hidden="1" outlineLevel="1">
      <c r="A187" s="725"/>
      <c r="B187" s="726"/>
      <c r="C187" s="726"/>
      <c r="D187" s="727"/>
    </row>
    <row r="188" spans="1:4" ht="15.75" hidden="1" outlineLevel="1">
      <c r="A188" s="66">
        <v>6</v>
      </c>
      <c r="B188" s="120" t="s">
        <v>512</v>
      </c>
      <c r="C188" s="113" t="s">
        <v>383</v>
      </c>
      <c r="D188" s="113" t="s">
        <v>352</v>
      </c>
    </row>
    <row r="189" spans="1:4" ht="15.75" hidden="1" outlineLevel="1">
      <c r="A189" s="114" t="s">
        <v>353</v>
      </c>
      <c r="B189" s="34" t="s">
        <v>513</v>
      </c>
      <c r="C189" s="72">
        <f>'SR - ASG'!C189</f>
        <v>2.6499999999999999E-2</v>
      </c>
      <c r="D189" s="108">
        <f>C189*D184</f>
        <v>119.95</v>
      </c>
    </row>
    <row r="190" spans="1:4" ht="15.75" hidden="1" outlineLevel="1">
      <c r="A190" s="719" t="s">
        <v>514</v>
      </c>
      <c r="B190" s="720"/>
      <c r="C190" s="722"/>
      <c r="D190" s="108">
        <f>D184+D189</f>
        <v>4646.54</v>
      </c>
    </row>
    <row r="191" spans="1:4" ht="15.75" hidden="1" outlineLevel="1">
      <c r="A191" s="114" t="s">
        <v>322</v>
      </c>
      <c r="B191" s="34" t="s">
        <v>515</v>
      </c>
      <c r="C191" s="72">
        <f>'SR - ASG'!C191</f>
        <v>0.1087</v>
      </c>
      <c r="D191" s="108">
        <f>C191*D190</f>
        <v>505.08</v>
      </c>
    </row>
    <row r="192" spans="1:4" ht="15.75" hidden="1" outlineLevel="1">
      <c r="A192" s="719" t="s">
        <v>514</v>
      </c>
      <c r="B192" s="720"/>
      <c r="C192" s="720"/>
      <c r="D192" s="108">
        <f>D191+D190</f>
        <v>5151.62</v>
      </c>
    </row>
    <row r="193" spans="1:4" ht="15.75" hidden="1" outlineLevel="1">
      <c r="A193" s="114" t="s">
        <v>325</v>
      </c>
      <c r="B193" s="649" t="s">
        <v>516</v>
      </c>
      <c r="C193" s="721"/>
      <c r="D193" s="650"/>
    </row>
    <row r="194" spans="1:4" ht="15.75" hidden="1" outlineLevel="1">
      <c r="A194" s="156"/>
      <c r="B194" s="65" t="s">
        <v>517</v>
      </c>
      <c r="C194" s="72">
        <v>6.4999999999999997E-3</v>
      </c>
      <c r="D194" s="108">
        <f>(D192/(1-C197)*C194)</f>
        <v>35.869999999999997</v>
      </c>
    </row>
    <row r="195" spans="1:4" ht="15.75" hidden="1" outlineLevel="1">
      <c r="A195" s="156"/>
      <c r="B195" s="65" t="s">
        <v>518</v>
      </c>
      <c r="C195" s="72">
        <v>0.03</v>
      </c>
      <c r="D195" s="108">
        <f>(D192/(1-C197)*C195)</f>
        <v>165.56</v>
      </c>
    </row>
    <row r="196" spans="1:4" ht="15.75" hidden="1" outlineLevel="1">
      <c r="A196" s="156"/>
      <c r="B196" s="65" t="s">
        <v>580</v>
      </c>
      <c r="C196" s="54">
        <v>0.03</v>
      </c>
      <c r="D196" s="108">
        <f>(D192/(1-C197)*C196)</f>
        <v>165.56</v>
      </c>
    </row>
    <row r="197" spans="1:4" ht="15.75" hidden="1" outlineLevel="1">
      <c r="A197" s="719" t="s">
        <v>520</v>
      </c>
      <c r="B197" s="722"/>
      <c r="C197" s="55">
        <f>SUM(C194:C196)</f>
        <v>6.6500000000000004E-2</v>
      </c>
      <c r="D197" s="108">
        <f>SUM(D194:D196)</f>
        <v>366.99</v>
      </c>
    </row>
    <row r="198" spans="1:4" ht="15.75" collapsed="1">
      <c r="A198" s="663" t="s">
        <v>176</v>
      </c>
      <c r="B198" s="664"/>
      <c r="C198" s="56">
        <f>(1+C189)*(1+C191)*(1/(1-C197))-1</f>
        <v>0.21920000000000001</v>
      </c>
      <c r="D198" s="111">
        <f>SUM(D197+D189+D191)</f>
        <v>992.02</v>
      </c>
    </row>
    <row r="199" spans="1:4" ht="15.75">
      <c r="A199" s="665"/>
      <c r="B199" s="666"/>
      <c r="C199" s="666"/>
      <c r="D199" s="667"/>
    </row>
    <row r="200" spans="1:4" ht="15.75">
      <c r="A200" s="676" t="s">
        <v>521</v>
      </c>
      <c r="B200" s="678"/>
      <c r="C200" s="677"/>
      <c r="D200" s="57" t="s">
        <v>352</v>
      </c>
    </row>
    <row r="201" spans="1:4" ht="15.75">
      <c r="A201" s="661" t="s">
        <v>522</v>
      </c>
      <c r="B201" s="728"/>
      <c r="C201" s="728"/>
      <c r="D201" s="662"/>
    </row>
    <row r="202" spans="1:4" ht="15.75">
      <c r="A202" s="67" t="s">
        <v>353</v>
      </c>
      <c r="B202" s="661" t="s">
        <v>523</v>
      </c>
      <c r="C202" s="662"/>
      <c r="D202" s="107">
        <f>D39</f>
        <v>1839.73</v>
      </c>
    </row>
    <row r="203" spans="1:4" ht="15.75">
      <c r="A203" s="67" t="s">
        <v>322</v>
      </c>
      <c r="B203" s="661" t="s">
        <v>524</v>
      </c>
      <c r="C203" s="662"/>
      <c r="D203" s="107">
        <f>D83</f>
        <v>1385.57</v>
      </c>
    </row>
    <row r="204" spans="1:4" ht="15.75">
      <c r="A204" s="67" t="s">
        <v>325</v>
      </c>
      <c r="B204" s="661" t="s">
        <v>525</v>
      </c>
      <c r="C204" s="662"/>
      <c r="D204" s="107">
        <f>D126</f>
        <v>151.1</v>
      </c>
    </row>
    <row r="205" spans="1:4" ht="15.75">
      <c r="A205" s="67" t="s">
        <v>328</v>
      </c>
      <c r="B205" s="661" t="s">
        <v>526</v>
      </c>
      <c r="C205" s="662"/>
      <c r="D205" s="107">
        <f>D172</f>
        <v>347.11</v>
      </c>
    </row>
    <row r="206" spans="1:4" ht="15.75">
      <c r="A206" s="67" t="s">
        <v>331</v>
      </c>
      <c r="B206" s="661" t="s">
        <v>527</v>
      </c>
      <c r="C206" s="662"/>
      <c r="D206" s="107">
        <f>D182</f>
        <v>803.08</v>
      </c>
    </row>
    <row r="207" spans="1:4" ht="15.75">
      <c r="A207" s="738" t="s">
        <v>528</v>
      </c>
      <c r="B207" s="739"/>
      <c r="C207" s="740"/>
      <c r="D207" s="107">
        <f>SUM(D202:D206)</f>
        <v>4526.59</v>
      </c>
    </row>
    <row r="208" spans="1:4" ht="15.75">
      <c r="A208" s="67" t="s">
        <v>529</v>
      </c>
      <c r="B208" s="661" t="s">
        <v>530</v>
      </c>
      <c r="C208" s="662"/>
      <c r="D208" s="107">
        <f>D198</f>
        <v>992.02</v>
      </c>
    </row>
    <row r="209" spans="1:4" ht="15.75">
      <c r="A209" s="676" t="s">
        <v>531</v>
      </c>
      <c r="B209" s="678"/>
      <c r="C209" s="677"/>
      <c r="D209" s="157">
        <f xml:space="preserve"> D207+D208</f>
        <v>5518.61</v>
      </c>
    </row>
    <row r="210" spans="1:4" ht="15.75">
      <c r="A210" s="27"/>
      <c r="B210" s="27"/>
      <c r="C210" s="27"/>
      <c r="D210" s="27"/>
    </row>
    <row r="211" spans="1:4" ht="15.75" thickBot="1">
      <c r="A211" s="20"/>
      <c r="B211" s="20"/>
      <c r="C211" s="20"/>
      <c r="D211" s="20"/>
    </row>
    <row r="212" spans="1:4" ht="15.75">
      <c r="A212" s="646" t="s">
        <v>532</v>
      </c>
      <c r="B212" s="647"/>
      <c r="C212" s="647"/>
      <c r="D212" s="648"/>
    </row>
    <row r="213" spans="1:4" ht="31.5">
      <c r="A213" s="175" t="s">
        <v>533</v>
      </c>
      <c r="B213" s="176" t="s">
        <v>534</v>
      </c>
      <c r="C213" s="177" t="s">
        <v>535</v>
      </c>
      <c r="D213" s="178" t="s">
        <v>536</v>
      </c>
    </row>
    <row r="214" spans="1:4" ht="16.5" thickBot="1">
      <c r="A214" s="179">
        <v>2</v>
      </c>
      <c r="B214" s="182">
        <f>1/(C11/A214)</f>
        <v>5.7130614869999995E-4</v>
      </c>
      <c r="C214" s="180">
        <f>D209</f>
        <v>5518.61</v>
      </c>
      <c r="D214" s="184">
        <f>C214*B214</f>
        <v>3.1528158249999998</v>
      </c>
    </row>
  </sheetData>
  <mergeCells count="107">
    <mergeCell ref="A207:C207"/>
    <mergeCell ref="B208:C208"/>
    <mergeCell ref="A209:C209"/>
    <mergeCell ref="A201:D201"/>
    <mergeCell ref="B202:C202"/>
    <mergeCell ref="B203:C203"/>
    <mergeCell ref="B204:C204"/>
    <mergeCell ref="B205:C205"/>
    <mergeCell ref="B206:C206"/>
    <mergeCell ref="A192:C192"/>
    <mergeCell ref="B193:D193"/>
    <mergeCell ref="A197:B197"/>
    <mergeCell ref="A198:B198"/>
    <mergeCell ref="A199:D199"/>
    <mergeCell ref="A200:C200"/>
    <mergeCell ref="A183:D183"/>
    <mergeCell ref="A184:C184"/>
    <mergeCell ref="A185:D185"/>
    <mergeCell ref="A186:D186"/>
    <mergeCell ref="A187:D187"/>
    <mergeCell ref="A190:C190"/>
    <mergeCell ref="B176:C176"/>
    <mergeCell ref="B177:C177"/>
    <mergeCell ref="B178:C178"/>
    <mergeCell ref="B179:C179"/>
    <mergeCell ref="B181:C181"/>
    <mergeCell ref="A182:C182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212:D212"/>
    <mergeCell ref="B180:C180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18175-E4D6-4D0C-9D67-EF7D71CA881A}">
  <sheetPr codeName="Planilha24">
    <pageSetUpPr fitToPage="1"/>
  </sheetPr>
  <dimension ref="A1:D214"/>
  <sheetViews>
    <sheetView view="pageBreakPreview" zoomScale="85" zoomScaleNormal="85" zoomScaleSheetLayoutView="85" workbookViewId="0">
      <selection activeCell="C11" sqref="C11:D11"/>
    </sheetView>
  </sheetViews>
  <sheetFormatPr defaultColWidth="9.140625" defaultRowHeight="15" customHeight="1" outlineLevelRow="3"/>
  <cols>
    <col min="1" max="1" width="16.7109375" customWidth="1"/>
    <col min="2" max="2" width="76.85546875" customWidth="1"/>
    <col min="3" max="3" width="22.85546875" customWidth="1"/>
    <col min="4" max="4" width="23.5703125" customWidth="1"/>
  </cols>
  <sheetData>
    <row r="1" spans="1:4" ht="15.75">
      <c r="A1" s="680" t="s">
        <v>313</v>
      </c>
      <c r="B1" s="680"/>
      <c r="C1" s="680"/>
      <c r="D1" s="680"/>
    </row>
    <row r="2" spans="1:4" ht="15.75">
      <c r="A2" s="681" t="s">
        <v>314</v>
      </c>
      <c r="B2" s="681"/>
      <c r="C2" s="682" t="s">
        <v>315</v>
      </c>
      <c r="D2" s="683"/>
    </row>
    <row r="3" spans="1:4" ht="15.75">
      <c r="A3" s="681" t="s">
        <v>316</v>
      </c>
      <c r="B3" s="681"/>
      <c r="C3" s="682" t="s">
        <v>317</v>
      </c>
      <c r="D3" s="683"/>
    </row>
    <row r="4" spans="1:4" ht="15.75">
      <c r="A4" s="653"/>
      <c r="B4" s="653"/>
      <c r="C4" s="653"/>
      <c r="D4" s="653"/>
    </row>
    <row r="5" spans="1:4" ht="15.75">
      <c r="A5" s="653" t="s">
        <v>318</v>
      </c>
      <c r="B5" s="653"/>
      <c r="C5" s="653"/>
      <c r="D5" s="653"/>
    </row>
    <row r="6" spans="1:4" ht="15.75">
      <c r="A6" s="67" t="s">
        <v>319</v>
      </c>
      <c r="B6" s="65" t="s">
        <v>320</v>
      </c>
      <c r="C6" s="654" t="s">
        <v>321</v>
      </c>
      <c r="D6" s="655"/>
    </row>
    <row r="7" spans="1:4" ht="15.75">
      <c r="A7" s="67" t="s">
        <v>322</v>
      </c>
      <c r="B7" s="65" t="s">
        <v>323</v>
      </c>
      <c r="C7" s="656" t="s">
        <v>581</v>
      </c>
      <c r="D7" s="656"/>
    </row>
    <row r="8" spans="1:4" ht="15.75">
      <c r="A8" s="28" t="s">
        <v>325</v>
      </c>
      <c r="B8" s="29" t="s">
        <v>326</v>
      </c>
      <c r="C8" s="736" t="s">
        <v>327</v>
      </c>
      <c r="D8" s="737"/>
    </row>
    <row r="9" spans="1:4" ht="15.75">
      <c r="A9" s="67" t="s">
        <v>328</v>
      </c>
      <c r="B9" s="65" t="s">
        <v>329</v>
      </c>
      <c r="C9" s="659" t="s">
        <v>330</v>
      </c>
      <c r="D9" s="660"/>
    </row>
    <row r="10" spans="1:4" ht="15.75">
      <c r="A10" s="67" t="s">
        <v>331</v>
      </c>
      <c r="B10" s="65" t="s">
        <v>332</v>
      </c>
      <c r="C10" s="659" t="s">
        <v>333</v>
      </c>
      <c r="D10" s="660"/>
    </row>
    <row r="11" spans="1:4" ht="15.75">
      <c r="A11" s="67" t="s">
        <v>334</v>
      </c>
      <c r="B11" s="65" t="s">
        <v>335</v>
      </c>
      <c r="C11" s="686">
        <f>Resumo!F21</f>
        <v>4354.76</v>
      </c>
      <c r="D11" s="687"/>
    </row>
    <row r="12" spans="1:4" ht="15.75">
      <c r="A12" s="67" t="s">
        <v>394</v>
      </c>
      <c r="B12" s="65" t="s">
        <v>337</v>
      </c>
      <c r="C12" s="688">
        <f>Resumo!I5</f>
        <v>20</v>
      </c>
      <c r="D12" s="675"/>
    </row>
    <row r="13" spans="1:4" ht="15.75">
      <c r="A13" s="689"/>
      <c r="B13" s="690"/>
      <c r="C13" s="690"/>
      <c r="D13" s="690"/>
    </row>
    <row r="14" spans="1:4" ht="15.75">
      <c r="A14" s="691" t="s">
        <v>338</v>
      </c>
      <c r="B14" s="692"/>
      <c r="C14" s="692"/>
      <c r="D14" s="693"/>
    </row>
    <row r="15" spans="1:4" ht="15.75">
      <c r="A15" s="656" t="s">
        <v>339</v>
      </c>
      <c r="B15" s="656"/>
      <c r="C15" s="656"/>
      <c r="D15" s="656"/>
    </row>
    <row r="16" spans="1:4" ht="15.75">
      <c r="A16" s="67">
        <v>1</v>
      </c>
      <c r="B16" s="65" t="s">
        <v>340</v>
      </c>
      <c r="C16" s="659" t="s">
        <v>341</v>
      </c>
      <c r="D16" s="660" t="s">
        <v>62</v>
      </c>
    </row>
    <row r="17" spans="1:4" ht="15.75">
      <c r="A17" s="67">
        <v>2</v>
      </c>
      <c r="B17" s="30" t="s">
        <v>342</v>
      </c>
      <c r="C17" s="684" t="s">
        <v>343</v>
      </c>
      <c r="D17" s="685"/>
    </row>
    <row r="18" spans="1:4" ht="15.75">
      <c r="A18" s="656" t="s">
        <v>344</v>
      </c>
      <c r="B18" s="656"/>
      <c r="C18" s="656"/>
      <c r="D18" s="656"/>
    </row>
    <row r="19" spans="1:4" ht="15.75">
      <c r="A19" s="67">
        <v>3</v>
      </c>
      <c r="B19" s="661" t="s">
        <v>345</v>
      </c>
      <c r="C19" s="662"/>
      <c r="D19" s="106">
        <v>1314.09</v>
      </c>
    </row>
    <row r="20" spans="1:4" ht="15.75">
      <c r="A20" s="67">
        <v>4</v>
      </c>
      <c r="B20" s="661" t="s">
        <v>346</v>
      </c>
      <c r="C20" s="662"/>
      <c r="D20" s="158">
        <v>220</v>
      </c>
    </row>
    <row r="21" spans="1:4" ht="15.75">
      <c r="A21" s="67">
        <v>5</v>
      </c>
      <c r="B21" s="661" t="s">
        <v>347</v>
      </c>
      <c r="C21" s="662"/>
      <c r="D21" s="75" t="s">
        <v>348</v>
      </c>
    </row>
    <row r="22" spans="1:4" ht="15.75">
      <c r="A22" s="67">
        <v>6</v>
      </c>
      <c r="B22" s="661" t="s">
        <v>349</v>
      </c>
      <c r="C22" s="662"/>
      <c r="D22" s="76">
        <v>44562</v>
      </c>
    </row>
    <row r="23" spans="1:4" ht="15.75">
      <c r="A23" s="659"/>
      <c r="B23" s="671"/>
      <c r="C23" s="671"/>
      <c r="D23" s="660"/>
    </row>
    <row r="24" spans="1:4" ht="15.75">
      <c r="A24" s="672" t="s">
        <v>350</v>
      </c>
      <c r="B24" s="672"/>
      <c r="C24" s="672"/>
      <c r="D24" s="672"/>
    </row>
    <row r="25" spans="1:4" ht="15.75">
      <c r="A25" s="673"/>
      <c r="B25" s="674"/>
      <c r="C25" s="674"/>
      <c r="D25" s="675"/>
    </row>
    <row r="26" spans="1:4" ht="15.75">
      <c r="A26" s="66">
        <v>1</v>
      </c>
      <c r="B26" s="676" t="s">
        <v>351</v>
      </c>
      <c r="C26" s="677"/>
      <c r="D26" s="66" t="s">
        <v>352</v>
      </c>
    </row>
    <row r="27" spans="1:4" ht="15.75" hidden="1" outlineLevel="1">
      <c r="A27" s="67" t="s">
        <v>353</v>
      </c>
      <c r="B27" s="65" t="s">
        <v>354</v>
      </c>
      <c r="C27" s="73">
        <f>'SR - ASG'!C27</f>
        <v>220</v>
      </c>
      <c r="D27" s="107">
        <f>D19/220*C27</f>
        <v>1314.09</v>
      </c>
    </row>
    <row r="28" spans="1:4" ht="15.75" hidden="1" outlineLevel="1">
      <c r="A28" s="67" t="s">
        <v>322</v>
      </c>
      <c r="B28" s="65" t="s">
        <v>355</v>
      </c>
      <c r="C28" s="31">
        <v>0</v>
      </c>
      <c r="D28" s="107">
        <f>C28*D27</f>
        <v>0</v>
      </c>
    </row>
    <row r="29" spans="1:4" ht="15.75" hidden="1" outlineLevel="1">
      <c r="A29" s="67" t="s">
        <v>325</v>
      </c>
      <c r="B29" s="65" t="s">
        <v>356</v>
      </c>
      <c r="C29" s="31">
        <v>0.4</v>
      </c>
      <c r="D29" s="107">
        <f>C29*D27</f>
        <v>525.64</v>
      </c>
    </row>
    <row r="30" spans="1:4" ht="15.75" hidden="1" outlineLevel="1">
      <c r="A30" s="67" t="s">
        <v>328</v>
      </c>
      <c r="B30" s="65" t="s">
        <v>357</v>
      </c>
      <c r="C30" s="159">
        <v>0</v>
      </c>
      <c r="D30" s="108">
        <f>SUM(D31:D32)</f>
        <v>0</v>
      </c>
    </row>
    <row r="31" spans="1:4" ht="15.75" hidden="1" outlineLevel="2">
      <c r="A31" s="80" t="s">
        <v>358</v>
      </c>
      <c r="B31" s="65" t="s">
        <v>359</v>
      </c>
      <c r="C31" s="81">
        <v>0.2</v>
      </c>
      <c r="D31" s="108">
        <f>(SUM(D27:D29)/C27)*C31*15*C30</f>
        <v>0</v>
      </c>
    </row>
    <row r="32" spans="1:4" ht="15.75" hidden="1" outlineLevel="2">
      <c r="A32" s="80" t="s">
        <v>360</v>
      </c>
      <c r="B32" s="65" t="s">
        <v>361</v>
      </c>
      <c r="C32" s="82">
        <f>C30*(60/52.5)/8</f>
        <v>0</v>
      </c>
      <c r="D32" s="108">
        <f>(SUM(D27:D29)/C27)*(C31)*15*C32</f>
        <v>0</v>
      </c>
    </row>
    <row r="33" spans="1:4" ht="15.75" hidden="1" outlineLevel="1">
      <c r="A33" s="67" t="s">
        <v>331</v>
      </c>
      <c r="B33" s="65" t="s">
        <v>362</v>
      </c>
      <c r="C33" s="31" t="s">
        <v>363</v>
      </c>
      <c r="D33" s="1">
        <f>SUM(D34:D37)</f>
        <v>0</v>
      </c>
    </row>
    <row r="34" spans="1:4" ht="15.75" hidden="1" outlineLevel="2">
      <c r="A34" s="83" t="s">
        <v>364</v>
      </c>
      <c r="B34" s="84" t="s">
        <v>365</v>
      </c>
      <c r="C34" s="85">
        <v>0</v>
      </c>
      <c r="D34" s="109">
        <f>(SUM($D$27:$D$29)/$C$27)*C34*1.5</f>
        <v>0</v>
      </c>
    </row>
    <row r="35" spans="1:4" ht="15.75" hidden="1" outlineLevel="2">
      <c r="A35" s="83" t="s">
        <v>366</v>
      </c>
      <c r="B35" s="86" t="s">
        <v>367</v>
      </c>
      <c r="C35" s="87">
        <v>0</v>
      </c>
      <c r="D35" s="109">
        <f>(SUM($D$27:$D$29)/$C$27)*C35*((60/52.5)*1.2*1.5)</f>
        <v>0</v>
      </c>
    </row>
    <row r="36" spans="1:4" ht="15.75" hidden="1" outlineLevel="2">
      <c r="A36" s="83" t="s">
        <v>368</v>
      </c>
      <c r="B36" s="84" t="s">
        <v>369</v>
      </c>
      <c r="C36" s="88">
        <f>C34*0.1429</f>
        <v>0</v>
      </c>
      <c r="D36" s="109">
        <f>(SUM($D$27:$D$29)/$C$27)*C36*2</f>
        <v>0</v>
      </c>
    </row>
    <row r="37" spans="1:4" ht="15.75" hidden="1" outlineLevel="2">
      <c r="A37" s="83" t="s">
        <v>370</v>
      </c>
      <c r="B37" s="84" t="s">
        <v>371</v>
      </c>
      <c r="C37" s="88">
        <f>C34*0.1429</f>
        <v>0</v>
      </c>
      <c r="D37" s="109">
        <f>(SUM($D$27:$D$29)/$C$27)*C37*((60/52.5)*1.2*2)</f>
        <v>0</v>
      </c>
    </row>
    <row r="38" spans="1:4" ht="15.75" hidden="1" outlineLevel="1">
      <c r="A38" s="67" t="s">
        <v>334</v>
      </c>
      <c r="B38" s="58" t="s">
        <v>372</v>
      </c>
      <c r="C38" s="59">
        <v>0</v>
      </c>
      <c r="D38" s="110">
        <v>0</v>
      </c>
    </row>
    <row r="39" spans="1:4" ht="15.75" collapsed="1">
      <c r="A39" s="676" t="s">
        <v>373</v>
      </c>
      <c r="B39" s="678"/>
      <c r="C39" s="677"/>
      <c r="D39" s="111">
        <f>SUM(D27:D30,D33,D38)</f>
        <v>1839.73</v>
      </c>
    </row>
    <row r="40" spans="1:4" ht="15.75">
      <c r="A40" s="679"/>
      <c r="B40" s="679"/>
      <c r="C40" s="679"/>
      <c r="D40" s="679"/>
    </row>
    <row r="41" spans="1:4" ht="15.75" hidden="1" outlineLevel="1">
      <c r="A41" s="89" t="s">
        <v>374</v>
      </c>
      <c r="B41" s="112" t="s">
        <v>375</v>
      </c>
      <c r="C41" s="113" t="s">
        <v>376</v>
      </c>
      <c r="D41" s="113" t="s">
        <v>352</v>
      </c>
    </row>
    <row r="42" spans="1:4" ht="15.75" hidden="1" outlineLevel="1">
      <c r="A42" s="114" t="s">
        <v>353</v>
      </c>
      <c r="B42" s="30" t="s">
        <v>377</v>
      </c>
      <c r="C42" s="90">
        <v>0</v>
      </c>
      <c r="D42" s="115">
        <f>(SUM(D27)/$C$27)*C42*1.5</f>
        <v>0</v>
      </c>
    </row>
    <row r="43" spans="1:4" ht="15.75" hidden="1" outlineLevel="1">
      <c r="A43" s="116" t="s">
        <v>325</v>
      </c>
      <c r="B43" s="117" t="s">
        <v>378</v>
      </c>
      <c r="C43" s="118">
        <v>0</v>
      </c>
      <c r="D43" s="107">
        <f>C43*177</f>
        <v>0</v>
      </c>
    </row>
    <row r="44" spans="1:4" ht="15.75" hidden="1" outlineLevel="1">
      <c r="A44" s="67" t="s">
        <v>328</v>
      </c>
      <c r="B44" s="58" t="s">
        <v>372</v>
      </c>
      <c r="C44" s="59">
        <v>0</v>
      </c>
      <c r="D44" s="110">
        <v>0</v>
      </c>
    </row>
    <row r="45" spans="1:4" ht="15.75" collapsed="1">
      <c r="A45" s="663" t="s">
        <v>379</v>
      </c>
      <c r="B45" s="664"/>
      <c r="C45" s="33">
        <f>D45/D39</f>
        <v>0</v>
      </c>
      <c r="D45" s="119">
        <f>SUM(D42:D43)</f>
        <v>0</v>
      </c>
    </row>
    <row r="46" spans="1:4" ht="15.75">
      <c r="A46" s="665"/>
      <c r="B46" s="666"/>
      <c r="C46" s="666"/>
      <c r="D46" s="667"/>
    </row>
    <row r="47" spans="1:4" ht="15.75">
      <c r="A47" s="668" t="s">
        <v>380</v>
      </c>
      <c r="B47" s="669"/>
      <c r="C47" s="669"/>
      <c r="D47" s="670"/>
    </row>
    <row r="48" spans="1:4" ht="15.75" hidden="1" outlineLevel="1">
      <c r="A48" s="665"/>
      <c r="B48" s="666"/>
      <c r="C48" s="666"/>
      <c r="D48" s="667"/>
    </row>
    <row r="49" spans="1:4" ht="15.75" hidden="1" outlineLevel="1">
      <c r="A49" s="113" t="s">
        <v>381</v>
      </c>
      <c r="B49" s="112" t="s">
        <v>382</v>
      </c>
      <c r="C49" s="113" t="s">
        <v>383</v>
      </c>
      <c r="D49" s="113" t="s">
        <v>352</v>
      </c>
    </row>
    <row r="50" spans="1:4" ht="15.75" hidden="1" outlineLevel="2">
      <c r="A50" s="116" t="s">
        <v>353</v>
      </c>
      <c r="B50" s="117" t="s">
        <v>384</v>
      </c>
      <c r="C50" s="32">
        <f>1/12</f>
        <v>8.3299999999999999E-2</v>
      </c>
      <c r="D50" s="107">
        <f>C50*D39</f>
        <v>153.25</v>
      </c>
    </row>
    <row r="51" spans="1:4" ht="15.75" hidden="1" outlineLevel="2">
      <c r="A51" s="116" t="s">
        <v>322</v>
      </c>
      <c r="B51" s="117" t="s">
        <v>385</v>
      </c>
      <c r="C51" s="32">
        <f>IF(C12&gt;60,(1/C12/3)*5,IF(C12&gt;48,(1/C12/3)*4,IF(C12&gt;36,(1/C12/3)*3,IF(C12&gt;24,(1/C12/3)*2,IF(C12&gt;12,(1/C12/3)*1,0)))))</f>
        <v>1.67E-2</v>
      </c>
      <c r="D51" s="107">
        <f>C51*D39</f>
        <v>30.72</v>
      </c>
    </row>
    <row r="52" spans="1:4" ht="15.75" hidden="1" outlineLevel="1">
      <c r="A52" s="663" t="s">
        <v>176</v>
      </c>
      <c r="B52" s="664"/>
      <c r="C52" s="33">
        <f>SUM(C50:C51)</f>
        <v>0.1</v>
      </c>
      <c r="D52" s="119">
        <f>SUM(D50:D51)</f>
        <v>183.97</v>
      </c>
    </row>
    <row r="53" spans="1:4" ht="15.75" hidden="1" outlineLevel="1">
      <c r="A53" s="665"/>
      <c r="B53" s="666"/>
      <c r="C53" s="666"/>
      <c r="D53" s="667"/>
    </row>
    <row r="54" spans="1:4" ht="15.75" hidden="1" outlineLevel="1">
      <c r="A54" s="113" t="s">
        <v>386</v>
      </c>
      <c r="B54" s="120" t="s">
        <v>387</v>
      </c>
      <c r="C54" s="113" t="s">
        <v>383</v>
      </c>
      <c r="D54" s="121" t="s">
        <v>352</v>
      </c>
    </row>
    <row r="55" spans="1:4" ht="15.75" hidden="1" outlineLevel="2">
      <c r="A55" s="114" t="s">
        <v>353</v>
      </c>
      <c r="B55" s="34" t="s">
        <v>388</v>
      </c>
      <c r="C55" s="35">
        <v>0.2</v>
      </c>
      <c r="D55" s="107">
        <f t="shared" ref="D55:D62" si="0">C55*($D$39+$D$52)</f>
        <v>404.74</v>
      </c>
    </row>
    <row r="56" spans="1:4" ht="15.75" hidden="1" outlineLevel="2">
      <c r="A56" s="114" t="s">
        <v>322</v>
      </c>
      <c r="B56" s="34" t="s">
        <v>389</v>
      </c>
      <c r="C56" s="35">
        <v>2.5000000000000001E-2</v>
      </c>
      <c r="D56" s="107">
        <f t="shared" si="0"/>
        <v>50.59</v>
      </c>
    </row>
    <row r="57" spans="1:4" ht="15.75" hidden="1" outlineLevel="2">
      <c r="A57" s="114" t="s">
        <v>325</v>
      </c>
      <c r="B57" s="34" t="s">
        <v>390</v>
      </c>
      <c r="C57" s="68">
        <v>0.03</v>
      </c>
      <c r="D57" s="107">
        <f t="shared" si="0"/>
        <v>60.71</v>
      </c>
    </row>
    <row r="58" spans="1:4" ht="15.75" hidden="1" outlineLevel="2">
      <c r="A58" s="114" t="s">
        <v>328</v>
      </c>
      <c r="B58" s="34" t="s">
        <v>391</v>
      </c>
      <c r="C58" s="35">
        <v>1.4999999999999999E-2</v>
      </c>
      <c r="D58" s="107">
        <f t="shared" si="0"/>
        <v>30.36</v>
      </c>
    </row>
    <row r="59" spans="1:4" ht="15.75" hidden="1" outlineLevel="2">
      <c r="A59" s="114" t="s">
        <v>331</v>
      </c>
      <c r="B59" s="34" t="s">
        <v>392</v>
      </c>
      <c r="C59" s="35">
        <v>0.01</v>
      </c>
      <c r="D59" s="107">
        <f t="shared" si="0"/>
        <v>20.239999999999998</v>
      </c>
    </row>
    <row r="60" spans="1:4" ht="15.75" hidden="1" outlineLevel="2">
      <c r="A60" s="114" t="s">
        <v>334</v>
      </c>
      <c r="B60" s="34" t="s">
        <v>393</v>
      </c>
      <c r="C60" s="35">
        <v>6.0000000000000001E-3</v>
      </c>
      <c r="D60" s="107">
        <f t="shared" si="0"/>
        <v>12.14</v>
      </c>
    </row>
    <row r="61" spans="1:4" ht="15.75" hidden="1" outlineLevel="2">
      <c r="A61" s="114" t="s">
        <v>394</v>
      </c>
      <c r="B61" s="34" t="s">
        <v>395</v>
      </c>
      <c r="C61" s="35">
        <v>2E-3</v>
      </c>
      <c r="D61" s="107">
        <f t="shared" si="0"/>
        <v>4.05</v>
      </c>
    </row>
    <row r="62" spans="1:4" ht="15.75" hidden="1" outlineLevel="2">
      <c r="A62" s="114" t="s">
        <v>336</v>
      </c>
      <c r="B62" s="34" t="s">
        <v>396</v>
      </c>
      <c r="C62" s="35">
        <v>0.08</v>
      </c>
      <c r="D62" s="107">
        <f t="shared" si="0"/>
        <v>161.9</v>
      </c>
    </row>
    <row r="63" spans="1:4" ht="15.75" hidden="1" outlineLevel="1">
      <c r="A63" s="663" t="s">
        <v>176</v>
      </c>
      <c r="B63" s="664"/>
      <c r="C63" s="36">
        <f>SUM(C55:C62)</f>
        <v>0.36799999999999999</v>
      </c>
      <c r="D63" s="122">
        <f>SUM(D55:D62)</f>
        <v>744.73</v>
      </c>
    </row>
    <row r="64" spans="1:4" ht="15.75" hidden="1" outlineLevel="1">
      <c r="A64" s="665"/>
      <c r="B64" s="666"/>
      <c r="C64" s="666"/>
      <c r="D64" s="667"/>
    </row>
    <row r="65" spans="1:4" ht="15.75" hidden="1" outlineLevel="1">
      <c r="A65" s="113" t="s">
        <v>397</v>
      </c>
      <c r="B65" s="120" t="s">
        <v>398</v>
      </c>
      <c r="C65" s="113" t="s">
        <v>399</v>
      </c>
      <c r="D65" s="113" t="s">
        <v>352</v>
      </c>
    </row>
    <row r="66" spans="1:4" ht="15.75" hidden="1" outlineLevel="2">
      <c r="A66" s="114" t="s">
        <v>353</v>
      </c>
      <c r="B66" s="34" t="s">
        <v>400</v>
      </c>
      <c r="C66" s="123">
        <v>3.95</v>
      </c>
      <c r="D66" s="124">
        <f>IF(D67+D68&gt;0,(D67+D68),0)</f>
        <v>87.05</v>
      </c>
    </row>
    <row r="67" spans="1:4" ht="15.75" hidden="1" outlineLevel="3">
      <c r="A67" s="125" t="s">
        <v>401</v>
      </c>
      <c r="B67" s="34" t="s">
        <v>402</v>
      </c>
      <c r="C67" s="126">
        <v>21</v>
      </c>
      <c r="D67" s="127">
        <f>C66*C67*2</f>
        <v>165.9</v>
      </c>
    </row>
    <row r="68" spans="1:4" ht="15.75" hidden="1" outlineLevel="3">
      <c r="A68" s="125" t="s">
        <v>403</v>
      </c>
      <c r="B68" s="34" t="s">
        <v>404</v>
      </c>
      <c r="C68" s="128">
        <v>0.06</v>
      </c>
      <c r="D68" s="127">
        <f>-D27*C68</f>
        <v>-78.849999999999994</v>
      </c>
    </row>
    <row r="69" spans="1:4" ht="15.75" hidden="1" outlineLevel="2">
      <c r="A69" s="114" t="s">
        <v>322</v>
      </c>
      <c r="B69" s="34" t="s">
        <v>405</v>
      </c>
      <c r="C69" s="129">
        <f>'SR - ASG'!C69</f>
        <v>20.18</v>
      </c>
      <c r="D69" s="124">
        <f>D70+D71</f>
        <v>343.26</v>
      </c>
    </row>
    <row r="70" spans="1:4" ht="15.75" hidden="1" outlineLevel="3">
      <c r="A70" s="125" t="s">
        <v>406</v>
      </c>
      <c r="B70" s="34" t="s">
        <v>407</v>
      </c>
      <c r="C70" s="126">
        <v>21</v>
      </c>
      <c r="D70" s="127">
        <f>C69*C70</f>
        <v>423.78</v>
      </c>
    </row>
    <row r="71" spans="1:4" ht="15.75" hidden="1" outlineLevel="3">
      <c r="A71" s="125" t="s">
        <v>408</v>
      </c>
      <c r="B71" s="34" t="s">
        <v>409</v>
      </c>
      <c r="C71" s="130">
        <v>-0.19</v>
      </c>
      <c r="D71" s="127">
        <f>D70*C71</f>
        <v>-80.52</v>
      </c>
    </row>
    <row r="72" spans="1:4" ht="15.75" hidden="1" outlineLevel="2">
      <c r="A72" s="114" t="s">
        <v>325</v>
      </c>
      <c r="B72" s="77" t="s">
        <v>410</v>
      </c>
      <c r="C72" s="129">
        <v>17.32</v>
      </c>
      <c r="D72" s="132">
        <f>C72</f>
        <v>17.32</v>
      </c>
    </row>
    <row r="73" spans="1:4" ht="15.75" hidden="1" outlineLevel="2">
      <c r="A73" s="114" t="s">
        <v>328</v>
      </c>
      <c r="B73" s="78" t="s">
        <v>411</v>
      </c>
      <c r="C73" s="129">
        <f>140*3</f>
        <v>420</v>
      </c>
      <c r="D73" s="132">
        <f>C73*C152</f>
        <v>0.84</v>
      </c>
    </row>
    <row r="74" spans="1:4" ht="15.75" hidden="1" outlineLevel="2">
      <c r="A74" s="114" t="s">
        <v>331</v>
      </c>
      <c r="B74" s="77" t="s">
        <v>412</v>
      </c>
      <c r="C74" s="129">
        <v>21</v>
      </c>
      <c r="D74" s="132">
        <f>C74</f>
        <v>21</v>
      </c>
    </row>
    <row r="75" spans="1:4" ht="15.75" hidden="1" outlineLevel="2">
      <c r="A75" s="114" t="s">
        <v>334</v>
      </c>
      <c r="B75" s="77" t="s">
        <v>372</v>
      </c>
      <c r="C75" s="131">
        <v>0</v>
      </c>
      <c r="D75" s="132">
        <f>C75*D39</f>
        <v>0</v>
      </c>
    </row>
    <row r="76" spans="1:4" ht="15.75" hidden="1" outlineLevel="2">
      <c r="A76" s="114" t="s">
        <v>394</v>
      </c>
      <c r="B76" s="77" t="s">
        <v>372</v>
      </c>
      <c r="C76" s="129">
        <v>0</v>
      </c>
      <c r="D76" s="133">
        <f>C76</f>
        <v>0</v>
      </c>
    </row>
    <row r="77" spans="1:4" ht="15.75" hidden="1" outlineLevel="1">
      <c r="A77" s="663" t="s">
        <v>413</v>
      </c>
      <c r="B77" s="700"/>
      <c r="C77" s="664"/>
      <c r="D77" s="119">
        <f>SUM(D66,D69,D72:D76)</f>
        <v>469.47</v>
      </c>
    </row>
    <row r="78" spans="1:4" ht="15.75" hidden="1" outlineLevel="1">
      <c r="A78" s="665"/>
      <c r="B78" s="666"/>
      <c r="C78" s="666"/>
      <c r="D78" s="667"/>
    </row>
    <row r="79" spans="1:4" ht="15.75" hidden="1" outlineLevel="1">
      <c r="A79" s="701" t="s">
        <v>414</v>
      </c>
      <c r="B79" s="702"/>
      <c r="C79" s="113" t="s">
        <v>383</v>
      </c>
      <c r="D79" s="113" t="s">
        <v>352</v>
      </c>
    </row>
    <row r="80" spans="1:4" ht="15.75" hidden="1" outlineLevel="1">
      <c r="A80" s="114" t="s">
        <v>415</v>
      </c>
      <c r="B80" s="34" t="s">
        <v>382</v>
      </c>
      <c r="C80" s="37">
        <f>C52</f>
        <v>0.1</v>
      </c>
      <c r="D80" s="107">
        <f>D52</f>
        <v>183.97</v>
      </c>
    </row>
    <row r="81" spans="1:4" ht="15.75" hidden="1" outlineLevel="1">
      <c r="A81" s="114" t="s">
        <v>386</v>
      </c>
      <c r="B81" s="34" t="s">
        <v>387</v>
      </c>
      <c r="C81" s="37">
        <f>C63</f>
        <v>0.36799999999999999</v>
      </c>
      <c r="D81" s="107">
        <f>D63</f>
        <v>744.73</v>
      </c>
    </row>
    <row r="82" spans="1:4" ht="15.75" hidden="1" outlineLevel="1">
      <c r="A82" s="114" t="s">
        <v>416</v>
      </c>
      <c r="B82" s="34" t="s">
        <v>398</v>
      </c>
      <c r="C82" s="37">
        <f>D77/D39</f>
        <v>0.25519999999999998</v>
      </c>
      <c r="D82" s="107">
        <f>D77</f>
        <v>469.47</v>
      </c>
    </row>
    <row r="83" spans="1:4" ht="15.75" collapsed="1">
      <c r="A83" s="663" t="s">
        <v>176</v>
      </c>
      <c r="B83" s="700"/>
      <c r="C83" s="664"/>
      <c r="D83" s="119">
        <f>SUM(D80:D82)</f>
        <v>1398.17</v>
      </c>
    </row>
    <row r="84" spans="1:4" ht="15.75">
      <c r="A84" s="665"/>
      <c r="B84" s="666"/>
      <c r="C84" s="666"/>
      <c r="D84" s="667"/>
    </row>
    <row r="85" spans="1:4" ht="15.75">
      <c r="A85" s="694" t="s">
        <v>417</v>
      </c>
      <c r="B85" s="695"/>
      <c r="C85" s="695"/>
      <c r="D85" s="696"/>
    </row>
    <row r="86" spans="1:4" ht="15.75" hidden="1" outlineLevel="1">
      <c r="A86" s="665"/>
      <c r="B86" s="666"/>
      <c r="C86" s="666"/>
      <c r="D86" s="667"/>
    </row>
    <row r="87" spans="1:4" ht="15.75" hidden="1" outlineLevel="1">
      <c r="A87" s="66" t="s">
        <v>418</v>
      </c>
      <c r="B87" s="112" t="s">
        <v>419</v>
      </c>
      <c r="C87" s="113" t="s">
        <v>383</v>
      </c>
      <c r="D87" s="113" t="s">
        <v>352</v>
      </c>
    </row>
    <row r="88" spans="1:4" ht="15.75" hidden="1" outlineLevel="2">
      <c r="A88" s="38" t="s">
        <v>353</v>
      </c>
      <c r="B88" s="39" t="s">
        <v>420</v>
      </c>
      <c r="C88" s="38" t="s">
        <v>363</v>
      </c>
      <c r="D88" s="134">
        <f>IF(C99&gt;1,SUM(D89:D92)*2,SUM(D89:D92))</f>
        <v>2592.48</v>
      </c>
    </row>
    <row r="89" spans="1:4" ht="15.75" hidden="1" outlineLevel="3">
      <c r="A89" s="40" t="s">
        <v>421</v>
      </c>
      <c r="B89" s="41" t="s">
        <v>422</v>
      </c>
      <c r="C89" s="38">
        <f>(IF(C12&gt;60,45,IF(C12&gt;48,42,IF(C12&gt;36,39,IF(C12&gt;24,36,IF(C12&gt;12,33,30)))))/30)</f>
        <v>1.1000000000000001</v>
      </c>
      <c r="D89" s="134">
        <f>D39*C89</f>
        <v>2023.7</v>
      </c>
    </row>
    <row r="90" spans="1:4" ht="15.75" hidden="1" outlineLevel="3">
      <c r="A90" s="40" t="s">
        <v>423</v>
      </c>
      <c r="B90" s="41" t="s">
        <v>424</v>
      </c>
      <c r="C90" s="32">
        <f>1/12</f>
        <v>8.3299999999999999E-2</v>
      </c>
      <c r="D90" s="134">
        <f>C90*D89</f>
        <v>168.57</v>
      </c>
    </row>
    <row r="91" spans="1:4" ht="15.75" hidden="1" outlineLevel="3">
      <c r="A91" s="40" t="s">
        <v>425</v>
      </c>
      <c r="B91" s="41" t="s">
        <v>426</v>
      </c>
      <c r="C91" s="32">
        <f>(1/12)+(1/12/3)</f>
        <v>0.1111</v>
      </c>
      <c r="D91" s="135">
        <f>C91*D89</f>
        <v>224.83</v>
      </c>
    </row>
    <row r="92" spans="1:4" ht="15.75" hidden="1" outlineLevel="3">
      <c r="A92" s="40" t="s">
        <v>427</v>
      </c>
      <c r="B92" s="41" t="s">
        <v>428</v>
      </c>
      <c r="C92" s="42">
        <v>0.08</v>
      </c>
      <c r="D92" s="134">
        <f>SUM(D89:D90)*C92</f>
        <v>175.38</v>
      </c>
    </row>
    <row r="93" spans="1:4" ht="15.75" hidden="1" outlineLevel="2">
      <c r="A93" s="38" t="s">
        <v>322</v>
      </c>
      <c r="B93" s="39" t="s">
        <v>429</v>
      </c>
      <c r="C93" s="43">
        <v>0.4</v>
      </c>
      <c r="D93" s="134">
        <f>C93*D94</f>
        <v>1297.1300000000001</v>
      </c>
    </row>
    <row r="94" spans="1:4" ht="15.75" hidden="1" outlineLevel="3">
      <c r="A94" s="38" t="s">
        <v>430</v>
      </c>
      <c r="B94" s="39" t="s">
        <v>431</v>
      </c>
      <c r="C94" s="43">
        <f>C62</f>
        <v>0.08</v>
      </c>
      <c r="D94" s="134">
        <f>C94*D95</f>
        <v>3242.83</v>
      </c>
    </row>
    <row r="95" spans="1:4" ht="15.75" hidden="1" outlineLevel="3">
      <c r="A95" s="38" t="s">
        <v>432</v>
      </c>
      <c r="B95" s="44" t="s">
        <v>433</v>
      </c>
      <c r="C95" s="45" t="s">
        <v>363</v>
      </c>
      <c r="D95" s="135">
        <f>SUM(D96:D98)</f>
        <v>40535.379999999997</v>
      </c>
    </row>
    <row r="96" spans="1:4" ht="15.75" hidden="1" outlineLevel="3">
      <c r="A96" s="40" t="s">
        <v>434</v>
      </c>
      <c r="B96" s="41" t="s">
        <v>435</v>
      </c>
      <c r="C96" s="46">
        <f>C12-C98</f>
        <v>19</v>
      </c>
      <c r="D96" s="134">
        <f>D39*C96</f>
        <v>34954.870000000003</v>
      </c>
    </row>
    <row r="97" spans="1:4" ht="15.75" hidden="1" outlineLevel="3">
      <c r="A97" s="40" t="s">
        <v>436</v>
      </c>
      <c r="B97" s="41" t="s">
        <v>437</v>
      </c>
      <c r="C97" s="47">
        <f>C12/12</f>
        <v>1.7</v>
      </c>
      <c r="D97" s="134">
        <f>D39*C97</f>
        <v>3127.54</v>
      </c>
    </row>
    <row r="98" spans="1:4" ht="15.75" hidden="1" outlineLevel="3">
      <c r="A98" s="40" t="s">
        <v>438</v>
      </c>
      <c r="B98" s="41" t="s">
        <v>439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</row>
    <row r="99" spans="1:4" ht="15.75" hidden="1" outlineLevel="1">
      <c r="A99" s="663" t="s">
        <v>176</v>
      </c>
      <c r="B99" s="664"/>
      <c r="C99" s="69">
        <f>'SR - ASG'!C99</f>
        <v>5.5500000000000001E-2</v>
      </c>
      <c r="D99" s="119">
        <f>IF(C99&gt;1,D88+D93,(D88+D93)*C99)</f>
        <v>215.87</v>
      </c>
    </row>
    <row r="100" spans="1:4" ht="15.75" hidden="1" outlineLevel="1">
      <c r="A100" s="697"/>
      <c r="B100" s="698"/>
      <c r="C100" s="698"/>
      <c r="D100" s="699"/>
    </row>
    <row r="101" spans="1:4" ht="15.75" hidden="1" outlineLevel="1">
      <c r="A101" s="66" t="s">
        <v>440</v>
      </c>
      <c r="B101" s="112" t="s">
        <v>441</v>
      </c>
      <c r="C101" s="113" t="s">
        <v>383</v>
      </c>
      <c r="D101" s="113" t="s">
        <v>352</v>
      </c>
    </row>
    <row r="102" spans="1:4" ht="15.75" hidden="1" outlineLevel="2">
      <c r="A102" s="38" t="s">
        <v>353</v>
      </c>
      <c r="B102" s="44" t="s">
        <v>442</v>
      </c>
      <c r="C102" s="48">
        <f>IF(C111&gt;1,(1/30*7)*2,(1/30*7))</f>
        <v>0.23330000000000001</v>
      </c>
      <c r="D102" s="135">
        <f>C102*SUM(D103:D107)</f>
        <v>793.28</v>
      </c>
    </row>
    <row r="103" spans="1:4" ht="15.75" hidden="1" outlineLevel="3">
      <c r="A103" s="40" t="s">
        <v>421</v>
      </c>
      <c r="B103" s="41" t="s">
        <v>443</v>
      </c>
      <c r="C103" s="38">
        <v>1</v>
      </c>
      <c r="D103" s="134">
        <f>D39</f>
        <v>1839.73</v>
      </c>
    </row>
    <row r="104" spans="1:4" ht="15.75" hidden="1" outlineLevel="3">
      <c r="A104" s="40" t="s">
        <v>423</v>
      </c>
      <c r="B104" s="41" t="s">
        <v>444</v>
      </c>
      <c r="C104" s="32">
        <f>1/12</f>
        <v>8.3299999999999999E-2</v>
      </c>
      <c r="D104" s="134">
        <f>C104*D103</f>
        <v>153.25</v>
      </c>
    </row>
    <row r="105" spans="1:4" ht="15.75" hidden="1" outlineLevel="3">
      <c r="A105" s="40" t="s">
        <v>425</v>
      </c>
      <c r="B105" s="41" t="s">
        <v>445</v>
      </c>
      <c r="C105" s="32">
        <f>(1/12)+(1/12/3)</f>
        <v>0.1111</v>
      </c>
      <c r="D105" s="134">
        <f>C105*D103</f>
        <v>204.39</v>
      </c>
    </row>
    <row r="106" spans="1:4" ht="15.75" hidden="1" outlineLevel="3">
      <c r="A106" s="40" t="s">
        <v>427</v>
      </c>
      <c r="B106" s="49" t="s">
        <v>446</v>
      </c>
      <c r="C106" s="50">
        <f>C63</f>
        <v>0.36799999999999999</v>
      </c>
      <c r="D106" s="135">
        <f>C106*(D103+D104)</f>
        <v>733.42</v>
      </c>
    </row>
    <row r="107" spans="1:4" ht="15.75" hidden="1" outlineLevel="3">
      <c r="A107" s="40" t="s">
        <v>447</v>
      </c>
      <c r="B107" s="49" t="s">
        <v>448</v>
      </c>
      <c r="C107" s="45">
        <v>1</v>
      </c>
      <c r="D107" s="135">
        <f>D77</f>
        <v>469.47</v>
      </c>
    </row>
    <row r="108" spans="1:4" ht="15.75" hidden="1" outlineLevel="2">
      <c r="A108" s="38" t="s">
        <v>322</v>
      </c>
      <c r="B108" s="39" t="s">
        <v>449</v>
      </c>
      <c r="C108" s="43">
        <v>0.4</v>
      </c>
      <c r="D108" s="134">
        <f>C108*D109</f>
        <v>1297.1300000000001</v>
      </c>
    </row>
    <row r="109" spans="1:4" ht="15.75" hidden="1" outlineLevel="2">
      <c r="A109" s="38" t="s">
        <v>430</v>
      </c>
      <c r="B109" s="39" t="s">
        <v>431</v>
      </c>
      <c r="C109" s="43">
        <f>C62</f>
        <v>0.08</v>
      </c>
      <c r="D109" s="134">
        <f>C109*D110</f>
        <v>3242.83</v>
      </c>
    </row>
    <row r="110" spans="1:4" ht="15.75" hidden="1" outlineLevel="2">
      <c r="A110" s="38" t="s">
        <v>432</v>
      </c>
      <c r="B110" s="44" t="s">
        <v>433</v>
      </c>
      <c r="C110" s="45" t="s">
        <v>363</v>
      </c>
      <c r="D110" s="135">
        <f>D95</f>
        <v>40535.379999999997</v>
      </c>
    </row>
    <row r="111" spans="1:4" ht="15.75" hidden="1" outlineLevel="1">
      <c r="A111" s="663" t="s">
        <v>176</v>
      </c>
      <c r="B111" s="664"/>
      <c r="C111" s="69">
        <f>'SR - ASG'!C111</f>
        <v>0.94450000000000001</v>
      </c>
      <c r="D111" s="119">
        <f>IF(C111&gt;1,D102+D108,(D102+D108)*C111)</f>
        <v>1974.39</v>
      </c>
    </row>
    <row r="112" spans="1:4" ht="15.75" hidden="1" outlineLevel="1">
      <c r="A112" s="697"/>
      <c r="B112" s="698"/>
      <c r="C112" s="698"/>
      <c r="D112" s="699"/>
    </row>
    <row r="113" spans="1:4" ht="15.75" hidden="1" outlineLevel="1">
      <c r="A113" s="66" t="s">
        <v>450</v>
      </c>
      <c r="B113" s="112" t="s">
        <v>451</v>
      </c>
      <c r="C113" s="113" t="s">
        <v>383</v>
      </c>
      <c r="D113" s="113" t="s">
        <v>352</v>
      </c>
    </row>
    <row r="114" spans="1:4" ht="15.75" hidden="1" outlineLevel="2">
      <c r="A114" s="114" t="s">
        <v>353</v>
      </c>
      <c r="B114" s="34" t="s">
        <v>452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</row>
    <row r="115" spans="1:4" ht="15.75" hidden="1" outlineLevel="2">
      <c r="A115" s="114" t="s">
        <v>322</v>
      </c>
      <c r="B115" s="51" t="s">
        <v>453</v>
      </c>
      <c r="C115" s="37">
        <f>C114/3</f>
        <v>1.11E-2</v>
      </c>
      <c r="D115" s="137">
        <f>C115*D39</f>
        <v>20.420000000000002</v>
      </c>
    </row>
    <row r="116" spans="1:4" ht="15.75" hidden="1" outlineLevel="1">
      <c r="A116" s="663" t="s">
        <v>176</v>
      </c>
      <c r="B116" s="664"/>
      <c r="C116" s="33">
        <f>C114+C115</f>
        <v>4.4400000000000002E-2</v>
      </c>
      <c r="D116" s="119">
        <f>SUM(D114:D115)</f>
        <v>81.680000000000007</v>
      </c>
    </row>
    <row r="117" spans="1:4" ht="15.75" hidden="1" outlineLevel="1">
      <c r="A117" s="697"/>
      <c r="B117" s="698"/>
      <c r="C117" s="698"/>
      <c r="D117" s="699"/>
    </row>
    <row r="118" spans="1:4" ht="15.75" hidden="1" outlineLevel="1">
      <c r="A118" s="701" t="s">
        <v>454</v>
      </c>
      <c r="B118" s="702"/>
      <c r="C118" s="113" t="s">
        <v>383</v>
      </c>
      <c r="D118" s="113" t="s">
        <v>352</v>
      </c>
    </row>
    <row r="119" spans="1:4" ht="15.75" hidden="1" outlineLevel="1">
      <c r="A119" s="114" t="s">
        <v>418</v>
      </c>
      <c r="B119" s="34" t="s">
        <v>419</v>
      </c>
      <c r="C119" s="37">
        <f>C99</f>
        <v>5.5500000000000001E-2</v>
      </c>
      <c r="D119" s="107">
        <f>D99</f>
        <v>215.87</v>
      </c>
    </row>
    <row r="120" spans="1:4" ht="15.75" hidden="1" outlineLevel="1">
      <c r="A120" s="116" t="s">
        <v>440</v>
      </c>
      <c r="B120" s="34" t="s">
        <v>441</v>
      </c>
      <c r="C120" s="52">
        <f>C111</f>
        <v>0.94450000000000001</v>
      </c>
      <c r="D120" s="107">
        <f>D111</f>
        <v>1974.39</v>
      </c>
    </row>
    <row r="121" spans="1:4" ht="15.75" hidden="1" outlineLevel="1">
      <c r="A121" s="707" t="s">
        <v>455</v>
      </c>
      <c r="B121" s="707"/>
      <c r="C121" s="707"/>
      <c r="D121" s="138">
        <f>D119+D120</f>
        <v>2190.2600000000002</v>
      </c>
    </row>
    <row r="122" spans="1:4" ht="15.75" hidden="1" outlineLevel="1">
      <c r="A122" s="703" t="s">
        <v>456</v>
      </c>
      <c r="B122" s="704"/>
      <c r="C122" s="70">
        <f>'SR - ASG'!C122</f>
        <v>0.63570000000000004</v>
      </c>
      <c r="D122" s="61">
        <f>C122*D121</f>
        <v>1392.35</v>
      </c>
    </row>
    <row r="123" spans="1:4" ht="15.75" hidden="1" outlineLevel="1">
      <c r="A123" s="703" t="s">
        <v>457</v>
      </c>
      <c r="B123" s="704"/>
      <c r="C123" s="70">
        <f>'SR - ASG'!C123</f>
        <v>1.0999999999999999E-2</v>
      </c>
      <c r="D123" s="61">
        <f>(D50+(D116/2))*-C123</f>
        <v>-2.13</v>
      </c>
    </row>
    <row r="124" spans="1:4" ht="15.75" hidden="1" outlineLevel="1">
      <c r="A124" s="705" t="s">
        <v>458</v>
      </c>
      <c r="B124" s="706"/>
      <c r="C124" s="74">
        <f>1/C12</f>
        <v>0.05</v>
      </c>
      <c r="D124" s="62">
        <f>(D122+D123)*C124</f>
        <v>69.510000000000005</v>
      </c>
    </row>
    <row r="125" spans="1:4" ht="15.75" hidden="1" outlineLevel="1">
      <c r="A125" s="116" t="s">
        <v>450</v>
      </c>
      <c r="B125" s="34" t="s">
        <v>459</v>
      </c>
      <c r="C125" s="52"/>
      <c r="D125" s="127">
        <f>D116</f>
        <v>81.680000000000007</v>
      </c>
    </row>
    <row r="126" spans="1:4" ht="15.75" collapsed="1">
      <c r="A126" s="663" t="s">
        <v>176</v>
      </c>
      <c r="B126" s="664"/>
      <c r="C126" s="33"/>
      <c r="D126" s="139">
        <f>D124+D125</f>
        <v>151.19</v>
      </c>
    </row>
    <row r="127" spans="1:4" ht="15.75">
      <c r="A127" s="665"/>
      <c r="B127" s="666"/>
      <c r="C127" s="666"/>
      <c r="D127" s="667"/>
    </row>
    <row r="128" spans="1:4" ht="15.75">
      <c r="A128" s="668" t="s">
        <v>460</v>
      </c>
      <c r="B128" s="669"/>
      <c r="C128" s="669"/>
      <c r="D128" s="670"/>
    </row>
    <row r="129" spans="1:4" ht="15.75" hidden="1" outlineLevel="1">
      <c r="A129" s="697"/>
      <c r="B129" s="698"/>
      <c r="C129" s="698"/>
      <c r="D129" s="699"/>
    </row>
    <row r="130" spans="1:4" ht="15.75" hidden="1" outlineLevel="1">
      <c r="A130" s="113" t="s">
        <v>461</v>
      </c>
      <c r="B130" s="120" t="s">
        <v>462</v>
      </c>
      <c r="C130" s="33" t="s">
        <v>383</v>
      </c>
      <c r="D130" s="113" t="s">
        <v>352</v>
      </c>
    </row>
    <row r="131" spans="1:4" ht="15.75" hidden="1" outlineLevel="2">
      <c r="A131" s="140" t="s">
        <v>353</v>
      </c>
      <c r="B131" s="91" t="s">
        <v>463</v>
      </c>
      <c r="C131" s="53">
        <f>IF(C12&gt;60,5/C12,IF(C12&gt;48,4/C12,IF(C12&gt;36,3/C12,IF(C12&gt;24,2/C12,IF(C12&gt;12,1/C12,0)))))</f>
        <v>0.05</v>
      </c>
      <c r="D131" s="136">
        <f>SUM(D132:D136)</f>
        <v>118.85</v>
      </c>
    </row>
    <row r="132" spans="1:4" ht="15.75" hidden="1" outlineLevel="3">
      <c r="A132" s="141" t="s">
        <v>464</v>
      </c>
      <c r="B132" s="92" t="s">
        <v>465</v>
      </c>
      <c r="C132" s="142">
        <f>D39</f>
        <v>1839.73</v>
      </c>
      <c r="D132" s="143">
        <f>$C$131*(D39)-($C$131*(D39)*C137/3)</f>
        <v>91.99</v>
      </c>
    </row>
    <row r="133" spans="1:4" ht="15.75" hidden="1" outlineLevel="3">
      <c r="A133" s="141" t="s">
        <v>466</v>
      </c>
      <c r="B133" s="92" t="s">
        <v>467</v>
      </c>
      <c r="C133" s="142">
        <f>(D50)</f>
        <v>153.25</v>
      </c>
      <c r="D133" s="143">
        <f>$C$131*C133-($C$131*C133*C137/3)</f>
        <v>7.66</v>
      </c>
    </row>
    <row r="134" spans="1:4" ht="15.75" hidden="1" outlineLevel="3">
      <c r="A134" s="141" t="s">
        <v>468</v>
      </c>
      <c r="B134" s="92" t="s">
        <v>469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</row>
    <row r="135" spans="1:4" ht="15.75" hidden="1" outlineLevel="3">
      <c r="A135" s="141" t="s">
        <v>470</v>
      </c>
      <c r="B135" s="92" t="s">
        <v>471</v>
      </c>
      <c r="C135" s="93">
        <f>C63</f>
        <v>0.36799999999999999</v>
      </c>
      <c r="D135" s="143">
        <f>SUM(D132:D134)*C131</f>
        <v>5.49</v>
      </c>
    </row>
    <row r="136" spans="1:4" ht="15.75" hidden="1" outlineLevel="3">
      <c r="A136" s="141" t="s">
        <v>472</v>
      </c>
      <c r="B136" s="92" t="s">
        <v>473</v>
      </c>
      <c r="C136" s="144">
        <f>D124</f>
        <v>69.510000000000005</v>
      </c>
      <c r="D136" s="143">
        <f>C136*C131</f>
        <v>3.48</v>
      </c>
    </row>
    <row r="137" spans="1:4" ht="15.75" hidden="1" outlineLevel="2">
      <c r="A137" s="114" t="s">
        <v>322</v>
      </c>
      <c r="B137" s="34" t="s">
        <v>474</v>
      </c>
      <c r="C137" s="94">
        <v>0</v>
      </c>
      <c r="D137" s="127">
        <f>$C$131*(D39)*(C137/3)</f>
        <v>0</v>
      </c>
    </row>
    <row r="138" spans="1:4" ht="15.75" hidden="1" outlineLevel="1">
      <c r="A138" s="663" t="s">
        <v>475</v>
      </c>
      <c r="B138" s="664"/>
      <c r="C138" s="33">
        <f>C131+(D137/D39)</f>
        <v>0.05</v>
      </c>
      <c r="D138" s="119">
        <f>SUM(D131:D137)</f>
        <v>237.7</v>
      </c>
    </row>
    <row r="139" spans="1:4" ht="15.75" hidden="1" outlineLevel="1">
      <c r="A139" s="697"/>
      <c r="B139" s="698"/>
      <c r="C139" s="698"/>
      <c r="D139" s="699"/>
    </row>
    <row r="140" spans="1:4" ht="15.75" hidden="1" outlineLevel="2">
      <c r="A140" s="710" t="s">
        <v>476</v>
      </c>
      <c r="B140" s="145" t="s">
        <v>435</v>
      </c>
      <c r="C140" s="95">
        <v>220</v>
      </c>
      <c r="D140" s="146">
        <f>D39</f>
        <v>1839.73</v>
      </c>
    </row>
    <row r="141" spans="1:4" ht="15.75" hidden="1" outlineLevel="2">
      <c r="A141" s="711"/>
      <c r="B141" s="145" t="s">
        <v>477</v>
      </c>
      <c r="C141" s="53">
        <f>(1+(1/3)+1)/12</f>
        <v>0.19439999999999999</v>
      </c>
      <c r="D141" s="147">
        <f>D140*C141</f>
        <v>357.64</v>
      </c>
    </row>
    <row r="142" spans="1:4" ht="15.75" hidden="1" outlineLevel="2">
      <c r="A142" s="711"/>
      <c r="B142" s="145" t="s">
        <v>478</v>
      </c>
      <c r="C142" s="53">
        <f>C63</f>
        <v>0.36799999999999999</v>
      </c>
      <c r="D142" s="147">
        <f>(D140+D141)*C142</f>
        <v>808.63</v>
      </c>
    </row>
    <row r="143" spans="1:4" ht="15.75" hidden="1" outlineLevel="2">
      <c r="A143" s="711"/>
      <c r="B143" s="145" t="s">
        <v>479</v>
      </c>
      <c r="C143" s="53">
        <f>D143/D140</f>
        <v>0.25519999999999998</v>
      </c>
      <c r="D143" s="147">
        <f>D77</f>
        <v>469.47</v>
      </c>
    </row>
    <row r="144" spans="1:4" ht="15.75" hidden="1" outlineLevel="2">
      <c r="A144" s="712"/>
      <c r="B144" s="148" t="s">
        <v>480</v>
      </c>
      <c r="C144" s="53">
        <f>D144/D140</f>
        <v>3.78E-2</v>
      </c>
      <c r="D144" s="147">
        <f>D124</f>
        <v>69.510000000000005</v>
      </c>
    </row>
    <row r="145" spans="1:4" ht="15.75" hidden="1" outlineLevel="2">
      <c r="A145" s="713" t="s">
        <v>481</v>
      </c>
      <c r="B145" s="714"/>
      <c r="C145" s="96">
        <f>D145/D140</f>
        <v>1.9269000000000001</v>
      </c>
      <c r="D145" s="149">
        <f>SUM(D140:D144)</f>
        <v>3544.98</v>
      </c>
    </row>
    <row r="146" spans="1:4" ht="15.75" hidden="1" outlineLevel="2">
      <c r="A146" s="715"/>
      <c r="B146" s="715"/>
      <c r="C146" s="715"/>
      <c r="D146" s="716"/>
    </row>
    <row r="147" spans="1:4" ht="15.75" hidden="1" outlineLevel="1">
      <c r="A147" s="113" t="s">
        <v>482</v>
      </c>
      <c r="B147" s="120" t="s">
        <v>483</v>
      </c>
      <c r="C147" s="33" t="s">
        <v>383</v>
      </c>
      <c r="D147" s="113" t="s">
        <v>352</v>
      </c>
    </row>
    <row r="148" spans="1:4" ht="15.75" hidden="1" outlineLevel="2">
      <c r="A148" s="114" t="s">
        <v>322</v>
      </c>
      <c r="B148" s="34" t="s">
        <v>484</v>
      </c>
      <c r="C148" s="79">
        <f>5/252</f>
        <v>1.9800000000000002E-2</v>
      </c>
      <c r="D148" s="136">
        <f>C148*$D$145</f>
        <v>70.19</v>
      </c>
    </row>
    <row r="149" spans="1:4" ht="15.75" hidden="1" outlineLevel="2">
      <c r="A149" s="114" t="s">
        <v>325</v>
      </c>
      <c r="B149" s="34" t="s">
        <v>485</v>
      </c>
      <c r="C149" s="79">
        <f>1.383/252</f>
        <v>5.4999999999999997E-3</v>
      </c>
      <c r="D149" s="136">
        <f>C149*$D$145</f>
        <v>19.5</v>
      </c>
    </row>
    <row r="150" spans="1:4" ht="15.75" hidden="1" outlineLevel="2">
      <c r="A150" s="114" t="s">
        <v>328</v>
      </c>
      <c r="B150" s="34" t="s">
        <v>486</v>
      </c>
      <c r="C150" s="79">
        <f>1.3892/252</f>
        <v>5.4999999999999997E-3</v>
      </c>
      <c r="D150" s="136">
        <f t="shared" ref="D150:D153" si="1">C150*$D$145</f>
        <v>19.5</v>
      </c>
    </row>
    <row r="151" spans="1:4" ht="15.75" hidden="1" outlineLevel="2">
      <c r="A151" s="114" t="s">
        <v>331</v>
      </c>
      <c r="B151" s="34" t="s">
        <v>487</v>
      </c>
      <c r="C151" s="79">
        <f>0.65/252</f>
        <v>2.5999999999999999E-3</v>
      </c>
      <c r="D151" s="136">
        <f t="shared" si="1"/>
        <v>9.2200000000000006</v>
      </c>
    </row>
    <row r="152" spans="1:4" ht="15.75" hidden="1" outlineLevel="2">
      <c r="A152" s="114" t="s">
        <v>334</v>
      </c>
      <c r="B152" s="34" t="s">
        <v>488</v>
      </c>
      <c r="C152" s="79">
        <f>0.5052/252</f>
        <v>2E-3</v>
      </c>
      <c r="D152" s="136">
        <f t="shared" si="1"/>
        <v>7.09</v>
      </c>
    </row>
    <row r="153" spans="1:4" ht="15.75" hidden="1" outlineLevel="2">
      <c r="A153" s="114" t="s">
        <v>353</v>
      </c>
      <c r="B153" s="63" t="s">
        <v>489</v>
      </c>
      <c r="C153" s="71">
        <f>0.2/252</f>
        <v>8.0000000000000004E-4</v>
      </c>
      <c r="D153" s="136">
        <f t="shared" si="1"/>
        <v>2.84</v>
      </c>
    </row>
    <row r="154" spans="1:4" ht="15.75" hidden="1" outlineLevel="1">
      <c r="A154" s="663" t="s">
        <v>475</v>
      </c>
      <c r="B154" s="664"/>
      <c r="C154" s="33">
        <f>SUM(C148:C153)</f>
        <v>3.6200000000000003E-2</v>
      </c>
      <c r="D154" s="119">
        <f>SUM(D148:D153)</f>
        <v>128.34</v>
      </c>
    </row>
    <row r="155" spans="1:4" ht="15.75" hidden="1" outlineLevel="1">
      <c r="A155" s="697"/>
      <c r="B155" s="698"/>
      <c r="C155" s="698"/>
      <c r="D155" s="699"/>
    </row>
    <row r="156" spans="1:4" ht="15.75" hidden="1" outlineLevel="1">
      <c r="A156" s="701" t="s">
        <v>490</v>
      </c>
      <c r="B156" s="708"/>
      <c r="C156" s="33" t="s">
        <v>491</v>
      </c>
      <c r="D156" s="113" t="s">
        <v>352</v>
      </c>
    </row>
    <row r="157" spans="1:4" ht="15.75" hidden="1" outlineLevel="2">
      <c r="A157" s="709" t="s">
        <v>492</v>
      </c>
      <c r="B157" s="145" t="s">
        <v>493</v>
      </c>
      <c r="C157" s="97">
        <f>C153</f>
        <v>8.0000000000000004E-4</v>
      </c>
      <c r="D157" s="150">
        <f>C157*-D140</f>
        <v>-1.47</v>
      </c>
    </row>
    <row r="158" spans="1:4" ht="15.75" hidden="1" outlineLevel="2">
      <c r="A158" s="709"/>
      <c r="B158" s="151" t="s">
        <v>494</v>
      </c>
      <c r="C158" s="98">
        <v>0</v>
      </c>
      <c r="D158" s="152">
        <f>C158*-(D140/220/24*5)</f>
        <v>0</v>
      </c>
    </row>
    <row r="159" spans="1:4" ht="15.75" hidden="1" outlineLevel="2">
      <c r="A159" s="709"/>
      <c r="B159" s="151" t="s">
        <v>495</v>
      </c>
      <c r="C159" s="98">
        <v>0</v>
      </c>
      <c r="D159" s="152">
        <f>C159*-D141</f>
        <v>0</v>
      </c>
    </row>
    <row r="160" spans="1:4" ht="15.75" hidden="1" outlineLevel="2">
      <c r="A160" s="709"/>
      <c r="B160" s="145" t="s">
        <v>496</v>
      </c>
      <c r="C160" s="97">
        <f>C154</f>
        <v>3.6200000000000003E-2</v>
      </c>
      <c r="D160" s="150">
        <f>C160*-D66</f>
        <v>-3.15</v>
      </c>
    </row>
    <row r="161" spans="1:4" ht="15.75" hidden="1" outlineLevel="2">
      <c r="A161" s="709"/>
      <c r="B161" s="145" t="s">
        <v>497</v>
      </c>
      <c r="C161" s="97">
        <f>C154</f>
        <v>3.6200000000000003E-2</v>
      </c>
      <c r="D161" s="150">
        <f>C161*-D69</f>
        <v>-12.43</v>
      </c>
    </row>
    <row r="162" spans="1:4" ht="15.75" hidden="1" outlineLevel="2">
      <c r="A162" s="709"/>
      <c r="B162" s="148" t="s">
        <v>498</v>
      </c>
      <c r="C162" s="97">
        <f>C153</f>
        <v>8.0000000000000004E-4</v>
      </c>
      <c r="D162" s="150">
        <f>C162*-D74</f>
        <v>-0.02</v>
      </c>
    </row>
    <row r="163" spans="1:4" ht="15.75" hidden="1" outlineLevel="2">
      <c r="A163" s="709"/>
      <c r="B163" s="148" t="s">
        <v>499</v>
      </c>
      <c r="C163" s="99">
        <f>C152</f>
        <v>2E-3</v>
      </c>
      <c r="D163" s="136">
        <f>C163*-SUM(D55:D61)</f>
        <v>-1.17</v>
      </c>
    </row>
    <row r="164" spans="1:4" ht="15.75" hidden="1" outlineLevel="2">
      <c r="A164" s="709"/>
      <c r="B164" s="145" t="s">
        <v>500</v>
      </c>
      <c r="C164" s="97">
        <f>C153</f>
        <v>8.0000000000000004E-4</v>
      </c>
      <c r="D164" s="150">
        <f>C164*-D142</f>
        <v>-0.65</v>
      </c>
    </row>
    <row r="165" spans="1:4" ht="15.75" hidden="1" outlineLevel="1">
      <c r="A165" s="663" t="s">
        <v>501</v>
      </c>
      <c r="B165" s="664"/>
      <c r="C165" s="33">
        <f>D165/D140</f>
        <v>-1.03E-2</v>
      </c>
      <c r="D165" s="119">
        <f>SUM(D157:D164)</f>
        <v>-18.89</v>
      </c>
    </row>
    <row r="166" spans="1:4" ht="15.75" hidden="1" outlineLevel="1">
      <c r="A166" s="697"/>
      <c r="B166" s="698"/>
      <c r="C166" s="698"/>
      <c r="D166" s="699"/>
    </row>
    <row r="167" spans="1:4" ht="15.75" hidden="1" outlineLevel="1">
      <c r="A167" s="663" t="s">
        <v>502</v>
      </c>
      <c r="B167" s="664"/>
      <c r="C167" s="33">
        <f>D167/D140</f>
        <v>5.9499999999999997E-2</v>
      </c>
      <c r="D167" s="119">
        <f>D154+D165</f>
        <v>109.45</v>
      </c>
    </row>
    <row r="168" spans="1:4" ht="15.75" hidden="1" outlineLevel="1">
      <c r="A168" s="697"/>
      <c r="B168" s="698"/>
      <c r="C168" s="698"/>
      <c r="D168" s="699"/>
    </row>
    <row r="169" spans="1:4" ht="15.75" hidden="1" outlineLevel="1">
      <c r="A169" s="701" t="s">
        <v>503</v>
      </c>
      <c r="B169" s="702"/>
      <c r="C169" s="113" t="s">
        <v>383</v>
      </c>
      <c r="D169" s="113" t="s">
        <v>352</v>
      </c>
    </row>
    <row r="170" spans="1:4" ht="15.75" hidden="1" outlineLevel="1">
      <c r="A170" s="114" t="s">
        <v>461</v>
      </c>
      <c r="B170" s="34" t="s">
        <v>462</v>
      </c>
      <c r="C170" s="37"/>
      <c r="D170" s="153">
        <f>D138</f>
        <v>237.7</v>
      </c>
    </row>
    <row r="171" spans="1:4" ht="15.75" hidden="1" outlineLevel="1">
      <c r="A171" s="114" t="s">
        <v>482</v>
      </c>
      <c r="B171" s="34" t="s">
        <v>483</v>
      </c>
      <c r="C171" s="37"/>
      <c r="D171" s="153">
        <f>D167</f>
        <v>109.45</v>
      </c>
    </row>
    <row r="172" spans="1:4" ht="15.75" collapsed="1">
      <c r="A172" s="663" t="s">
        <v>176</v>
      </c>
      <c r="B172" s="700"/>
      <c r="C172" s="664"/>
      <c r="D172" s="122">
        <f>SUM(D170:D171)</f>
        <v>347.15</v>
      </c>
    </row>
    <row r="173" spans="1:4" ht="15.75">
      <c r="A173" s="697"/>
      <c r="B173" s="698"/>
      <c r="C173" s="698"/>
      <c r="D173" s="699"/>
    </row>
    <row r="174" spans="1:4" ht="15.75">
      <c r="A174" s="668" t="s">
        <v>504</v>
      </c>
      <c r="B174" s="669"/>
      <c r="C174" s="669"/>
      <c r="D174" s="670"/>
    </row>
    <row r="175" spans="1:4" ht="15.75" hidden="1" outlineLevel="1">
      <c r="A175" s="697"/>
      <c r="B175" s="698"/>
      <c r="C175" s="698"/>
      <c r="D175" s="699"/>
    </row>
    <row r="176" spans="1:4" ht="15.75" hidden="1" outlineLevel="1">
      <c r="A176" s="66">
        <v>5</v>
      </c>
      <c r="B176" s="663" t="s">
        <v>505</v>
      </c>
      <c r="C176" s="664"/>
      <c r="D176" s="113" t="s">
        <v>352</v>
      </c>
    </row>
    <row r="177" spans="1:4" ht="15.75" hidden="1" outlineLevel="1">
      <c r="A177" s="114" t="s">
        <v>353</v>
      </c>
      <c r="B177" s="717" t="s">
        <v>506</v>
      </c>
      <c r="C177" s="718"/>
      <c r="D177" s="136">
        <f>INSUMOS!H14</f>
        <v>25.55</v>
      </c>
    </row>
    <row r="178" spans="1:4" ht="15.75" hidden="1" outlineLevel="1">
      <c r="A178" s="114" t="s">
        <v>322</v>
      </c>
      <c r="B178" s="717" t="s">
        <v>541</v>
      </c>
      <c r="C178" s="718"/>
      <c r="D178" s="154">
        <f>INSUMOS!H45</f>
        <v>26.74</v>
      </c>
    </row>
    <row r="179" spans="1:4" ht="15.75" hidden="1" outlineLevel="1">
      <c r="A179" s="114" t="s">
        <v>325</v>
      </c>
      <c r="B179" s="649" t="s">
        <v>508</v>
      </c>
      <c r="C179" s="650"/>
      <c r="D179" s="154">
        <f>MATERIAIS!I109</f>
        <v>624.01</v>
      </c>
    </row>
    <row r="180" spans="1:4" ht="15.75" hidden="1" outlineLevel="1">
      <c r="A180" s="114" t="s">
        <v>328</v>
      </c>
      <c r="B180" s="649" t="s">
        <v>509</v>
      </c>
      <c r="C180" s="650"/>
      <c r="D180" s="154">
        <f>EQUIPAMENTOS!J111</f>
        <v>19.28</v>
      </c>
    </row>
    <row r="181" spans="1:4" ht="15.75" hidden="1" outlineLevel="1">
      <c r="A181" s="114" t="s">
        <v>331</v>
      </c>
      <c r="B181" s="651" t="s">
        <v>372</v>
      </c>
      <c r="C181" s="652"/>
      <c r="D181" s="133">
        <v>0</v>
      </c>
    </row>
    <row r="182" spans="1:4" ht="15.75" collapsed="1">
      <c r="A182" s="663" t="s">
        <v>176</v>
      </c>
      <c r="B182" s="700"/>
      <c r="C182" s="664"/>
      <c r="D182" s="119">
        <f>SUM(D177:D181)</f>
        <v>695.58</v>
      </c>
    </row>
    <row r="183" spans="1:4" ht="15.75">
      <c r="A183" s="665"/>
      <c r="B183" s="666"/>
      <c r="C183" s="666"/>
      <c r="D183" s="667"/>
    </row>
    <row r="184" spans="1:4" ht="15.75">
      <c r="A184" s="723" t="s">
        <v>510</v>
      </c>
      <c r="B184" s="723"/>
      <c r="C184" s="723"/>
      <c r="D184" s="155">
        <f>D39+D83+D126+D172+D182</f>
        <v>4431.82</v>
      </c>
    </row>
    <row r="185" spans="1:4" ht="15.75">
      <c r="A185" s="679"/>
      <c r="B185" s="679"/>
      <c r="C185" s="679"/>
      <c r="D185" s="679"/>
    </row>
    <row r="186" spans="1:4" ht="15.75">
      <c r="A186" s="724" t="s">
        <v>511</v>
      </c>
      <c r="B186" s="724"/>
      <c r="C186" s="724"/>
      <c r="D186" s="724"/>
    </row>
    <row r="187" spans="1:4" ht="15.75" hidden="1" outlineLevel="1">
      <c r="A187" s="725"/>
      <c r="B187" s="726"/>
      <c r="C187" s="726"/>
      <c r="D187" s="727"/>
    </row>
    <row r="188" spans="1:4" ht="15.75" hidden="1" outlineLevel="1">
      <c r="A188" s="66">
        <v>6</v>
      </c>
      <c r="B188" s="120" t="s">
        <v>512</v>
      </c>
      <c r="C188" s="113" t="s">
        <v>383</v>
      </c>
      <c r="D188" s="113" t="s">
        <v>352</v>
      </c>
    </row>
    <row r="189" spans="1:4" ht="15.75" hidden="1" outlineLevel="1">
      <c r="A189" s="114" t="s">
        <v>353</v>
      </c>
      <c r="B189" s="34" t="s">
        <v>513</v>
      </c>
      <c r="C189" s="72">
        <f>'SR - ASG'!C189</f>
        <v>2.6499999999999999E-2</v>
      </c>
      <c r="D189" s="108">
        <f>C189*D184</f>
        <v>117.44</v>
      </c>
    </row>
    <row r="190" spans="1:4" ht="15.75" hidden="1" outlineLevel="1">
      <c r="A190" s="719" t="s">
        <v>514</v>
      </c>
      <c r="B190" s="720"/>
      <c r="C190" s="722"/>
      <c r="D190" s="108">
        <f>D184+D189</f>
        <v>4549.26</v>
      </c>
    </row>
    <row r="191" spans="1:4" ht="15.75" hidden="1" outlineLevel="1">
      <c r="A191" s="114" t="s">
        <v>322</v>
      </c>
      <c r="B191" s="34" t="s">
        <v>515</v>
      </c>
      <c r="C191" s="72">
        <f>'SR - ASG'!C191</f>
        <v>0.1087</v>
      </c>
      <c r="D191" s="108">
        <f>C191*D190</f>
        <v>494.5</v>
      </c>
    </row>
    <row r="192" spans="1:4" ht="15.75" hidden="1" outlineLevel="1">
      <c r="A192" s="719" t="s">
        <v>514</v>
      </c>
      <c r="B192" s="720"/>
      <c r="C192" s="720"/>
      <c r="D192" s="108">
        <f>D191+D190</f>
        <v>5043.76</v>
      </c>
    </row>
    <row r="193" spans="1:4" ht="15.75" hidden="1" outlineLevel="1">
      <c r="A193" s="114" t="s">
        <v>325</v>
      </c>
      <c r="B193" s="649" t="s">
        <v>516</v>
      </c>
      <c r="C193" s="721"/>
      <c r="D193" s="650"/>
    </row>
    <row r="194" spans="1:4" ht="15.75" hidden="1" outlineLevel="1">
      <c r="A194" s="156"/>
      <c r="B194" s="65" t="s">
        <v>517</v>
      </c>
      <c r="C194" s="72">
        <v>6.4999999999999997E-3</v>
      </c>
      <c r="D194" s="108">
        <f>(D192/(1-C197)*C194)</f>
        <v>35.119999999999997</v>
      </c>
    </row>
    <row r="195" spans="1:4" ht="15.75" hidden="1" outlineLevel="1">
      <c r="A195" s="156"/>
      <c r="B195" s="65" t="s">
        <v>518</v>
      </c>
      <c r="C195" s="72">
        <v>0.03</v>
      </c>
      <c r="D195" s="108">
        <f>(D192/(1-C197)*C195)</f>
        <v>162.09</v>
      </c>
    </row>
    <row r="196" spans="1:4" ht="15.75" hidden="1" outlineLevel="1">
      <c r="A196" s="156"/>
      <c r="B196" s="65" t="s">
        <v>582</v>
      </c>
      <c r="C196" s="54">
        <v>0.03</v>
      </c>
      <c r="D196" s="108">
        <f>(D192/(1-C197)*C196)</f>
        <v>162.09</v>
      </c>
    </row>
    <row r="197" spans="1:4" ht="15.75" hidden="1" outlineLevel="1">
      <c r="A197" s="719" t="s">
        <v>520</v>
      </c>
      <c r="B197" s="722"/>
      <c r="C197" s="55">
        <f>SUM(C194:C196)</f>
        <v>6.6500000000000004E-2</v>
      </c>
      <c r="D197" s="108">
        <f>SUM(D194:D196)</f>
        <v>359.3</v>
      </c>
    </row>
    <row r="198" spans="1:4" ht="15.75" collapsed="1">
      <c r="A198" s="663" t="s">
        <v>176</v>
      </c>
      <c r="B198" s="664"/>
      <c r="C198" s="56">
        <f>(1+C189)*(1+C191)*(1/(1-C197))-1</f>
        <v>0.21920000000000001</v>
      </c>
      <c r="D198" s="111">
        <f>SUM(D197+D189+D191)</f>
        <v>971.24</v>
      </c>
    </row>
    <row r="199" spans="1:4" ht="15.75">
      <c r="A199" s="665"/>
      <c r="B199" s="666"/>
      <c r="C199" s="666"/>
      <c r="D199" s="667"/>
    </row>
    <row r="200" spans="1:4" ht="15.75">
      <c r="A200" s="676" t="s">
        <v>521</v>
      </c>
      <c r="B200" s="678"/>
      <c r="C200" s="677"/>
      <c r="D200" s="57" t="s">
        <v>352</v>
      </c>
    </row>
    <row r="201" spans="1:4" ht="15.75">
      <c r="A201" s="661" t="s">
        <v>522</v>
      </c>
      <c r="B201" s="728"/>
      <c r="C201" s="728"/>
      <c r="D201" s="662"/>
    </row>
    <row r="202" spans="1:4" ht="15.75">
      <c r="A202" s="67" t="s">
        <v>353</v>
      </c>
      <c r="B202" s="661" t="s">
        <v>523</v>
      </c>
      <c r="C202" s="662"/>
      <c r="D202" s="107">
        <f>D39</f>
        <v>1839.73</v>
      </c>
    </row>
    <row r="203" spans="1:4" ht="15.75">
      <c r="A203" s="67" t="s">
        <v>322</v>
      </c>
      <c r="B203" s="661" t="s">
        <v>524</v>
      </c>
      <c r="C203" s="662"/>
      <c r="D203" s="107">
        <f>D83</f>
        <v>1398.17</v>
      </c>
    </row>
    <row r="204" spans="1:4" ht="15.75">
      <c r="A204" s="67" t="s">
        <v>325</v>
      </c>
      <c r="B204" s="661" t="s">
        <v>525</v>
      </c>
      <c r="C204" s="662"/>
      <c r="D204" s="107">
        <f>D126</f>
        <v>151.19</v>
      </c>
    </row>
    <row r="205" spans="1:4" ht="15.75">
      <c r="A205" s="67" t="s">
        <v>328</v>
      </c>
      <c r="B205" s="661" t="s">
        <v>526</v>
      </c>
      <c r="C205" s="662"/>
      <c r="D205" s="107">
        <f>D172</f>
        <v>347.15</v>
      </c>
    </row>
    <row r="206" spans="1:4" ht="15.75">
      <c r="A206" s="67" t="s">
        <v>331</v>
      </c>
      <c r="B206" s="661" t="s">
        <v>527</v>
      </c>
      <c r="C206" s="662"/>
      <c r="D206" s="107">
        <f>D182</f>
        <v>695.58</v>
      </c>
    </row>
    <row r="207" spans="1:4" ht="15.75">
      <c r="A207" s="738" t="s">
        <v>528</v>
      </c>
      <c r="B207" s="739"/>
      <c r="C207" s="740"/>
      <c r="D207" s="107">
        <f>SUM(D202:D206)</f>
        <v>4431.82</v>
      </c>
    </row>
    <row r="208" spans="1:4" ht="15.75">
      <c r="A208" s="67" t="s">
        <v>529</v>
      </c>
      <c r="B208" s="661" t="s">
        <v>530</v>
      </c>
      <c r="C208" s="662"/>
      <c r="D208" s="107">
        <f>D198</f>
        <v>971.24</v>
      </c>
    </row>
    <row r="209" spans="1:4" ht="15.75">
      <c r="A209" s="676" t="s">
        <v>531</v>
      </c>
      <c r="B209" s="678"/>
      <c r="C209" s="677"/>
      <c r="D209" s="157">
        <f xml:space="preserve"> D207+D208</f>
        <v>5403.06</v>
      </c>
    </row>
    <row r="210" spans="1:4" ht="15.75">
      <c r="A210" s="27"/>
      <c r="B210" s="27"/>
      <c r="C210" s="27"/>
      <c r="D210" s="27"/>
    </row>
    <row r="211" spans="1:4" ht="15.75" thickBot="1">
      <c r="A211" s="20"/>
      <c r="B211" s="20"/>
      <c r="C211" s="20"/>
      <c r="D211" s="20"/>
    </row>
    <row r="212" spans="1:4" ht="15.75">
      <c r="A212" s="646" t="s">
        <v>532</v>
      </c>
      <c r="B212" s="647"/>
      <c r="C212" s="647"/>
      <c r="D212" s="648"/>
    </row>
    <row r="213" spans="1:4" ht="31.5">
      <c r="A213" s="175" t="s">
        <v>533</v>
      </c>
      <c r="B213" s="176" t="s">
        <v>534</v>
      </c>
      <c r="C213" s="177" t="s">
        <v>535</v>
      </c>
      <c r="D213" s="178" t="s">
        <v>536</v>
      </c>
    </row>
    <row r="214" spans="1:4" ht="16.5" thickBot="1">
      <c r="A214" s="179">
        <v>3</v>
      </c>
      <c r="B214" s="182">
        <f>1/(C11/A214)</f>
        <v>6.8890134010000004E-4</v>
      </c>
      <c r="C214" s="180">
        <f>D209</f>
        <v>5403.06</v>
      </c>
      <c r="D214" s="184">
        <f>C214*B214</f>
        <v>3.7221752750000001</v>
      </c>
    </row>
  </sheetData>
  <mergeCells count="107">
    <mergeCell ref="A207:C207"/>
    <mergeCell ref="B208:C208"/>
    <mergeCell ref="A209:C209"/>
    <mergeCell ref="A201:D201"/>
    <mergeCell ref="B202:C202"/>
    <mergeCell ref="B203:C203"/>
    <mergeCell ref="B204:C204"/>
    <mergeCell ref="B205:C205"/>
    <mergeCell ref="B206:C206"/>
    <mergeCell ref="A192:C192"/>
    <mergeCell ref="B193:D193"/>
    <mergeCell ref="A197:B197"/>
    <mergeCell ref="A198:B198"/>
    <mergeCell ref="A199:D199"/>
    <mergeCell ref="A200:C200"/>
    <mergeCell ref="A183:D183"/>
    <mergeCell ref="A184:C184"/>
    <mergeCell ref="A185:D185"/>
    <mergeCell ref="A186:D186"/>
    <mergeCell ref="A187:D187"/>
    <mergeCell ref="A190:C190"/>
    <mergeCell ref="B176:C176"/>
    <mergeCell ref="B177:C177"/>
    <mergeCell ref="B178:C178"/>
    <mergeCell ref="B179:C179"/>
    <mergeCell ref="B181:C181"/>
    <mergeCell ref="A182:C182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5:D15"/>
    <mergeCell ref="C16:D16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  <mergeCell ref="A212:D212"/>
    <mergeCell ref="B180:C180"/>
    <mergeCell ref="A5:D5"/>
    <mergeCell ref="C6:D6"/>
    <mergeCell ref="C7:D7"/>
    <mergeCell ref="C8:D8"/>
    <mergeCell ref="C9:D9"/>
    <mergeCell ref="C10:D10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B20:C20"/>
    <mergeCell ref="B21:C21"/>
    <mergeCell ref="B22:C22"/>
    <mergeCell ref="C11:D11"/>
    <mergeCell ref="C12:D12"/>
    <mergeCell ref="A13:D13"/>
    <mergeCell ref="A14:D14"/>
  </mergeCells>
  <pageMargins left="0.51181102362204722" right="0.51181102362204722" top="0.78740157480314965" bottom="0.78740157480314965" header="0.31496062992125984" footer="0.31496062992125984"/>
  <pageSetup scale="68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5A434-E97B-44B4-BA5B-9938228509D7}">
  <sheetPr codeName="Planilha3">
    <tabColor rgb="FF00B0F0"/>
    <pageSetUpPr fitToPage="1"/>
  </sheetPr>
  <dimension ref="A1:N30"/>
  <sheetViews>
    <sheetView tabSelected="1" view="pageBreakPreview" zoomScale="90" zoomScaleNormal="100" zoomScaleSheetLayoutView="90" workbookViewId="0">
      <selection activeCell="F9" sqref="F9"/>
    </sheetView>
  </sheetViews>
  <sheetFormatPr defaultColWidth="9.140625" defaultRowHeight="15"/>
  <cols>
    <col min="1" max="1" width="3.140625" customWidth="1"/>
    <col min="2" max="2" width="6" customWidth="1"/>
    <col min="3" max="3" width="44.42578125" customWidth="1"/>
    <col min="4" max="4" width="36.85546875" bestFit="1" customWidth="1"/>
    <col min="5" max="5" width="19.85546875" customWidth="1"/>
    <col min="6" max="7" width="13.5703125" customWidth="1"/>
    <col min="8" max="8" width="16.5703125" customWidth="1"/>
    <col min="9" max="9" width="12.85546875" customWidth="1"/>
    <col min="10" max="10" width="18.28515625" customWidth="1"/>
    <col min="11" max="11" width="4.140625" customWidth="1"/>
    <col min="13" max="13" width="12.140625" customWidth="1"/>
    <col min="14" max="14" width="12.140625" bestFit="1" customWidth="1"/>
    <col min="16384" max="16384" width="3.140625" customWidth="1"/>
  </cols>
  <sheetData>
    <row r="1" spans="1:14" ht="14.25" customHeight="1" thickBot="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4" ht="20.25">
      <c r="A2" s="21"/>
      <c r="B2" s="409" t="s">
        <v>23</v>
      </c>
      <c r="C2" s="410"/>
      <c r="D2" s="410"/>
      <c r="E2" s="410"/>
      <c r="F2" s="410"/>
      <c r="G2" s="410"/>
      <c r="H2" s="410"/>
      <c r="I2" s="410"/>
      <c r="J2" s="411"/>
      <c r="K2" s="21"/>
    </row>
    <row r="3" spans="1:14" ht="19.5" thickBot="1">
      <c r="A3" s="21"/>
      <c r="B3" s="412" t="s">
        <v>24</v>
      </c>
      <c r="C3" s="413"/>
      <c r="D3" s="413"/>
      <c r="E3" s="413"/>
      <c r="F3" s="413"/>
      <c r="G3" s="413"/>
      <c r="H3" s="413"/>
      <c r="I3" s="413"/>
      <c r="J3" s="414"/>
      <c r="K3" s="21"/>
    </row>
    <row r="4" spans="1:14" ht="32.25" thickBot="1">
      <c r="A4" s="21"/>
      <c r="B4" s="22" t="s">
        <v>25</v>
      </c>
      <c r="C4" s="64" t="s">
        <v>26</v>
      </c>
      <c r="D4" s="64" t="s">
        <v>27</v>
      </c>
      <c r="E4" s="22" t="s">
        <v>28</v>
      </c>
      <c r="F4" s="22" t="s">
        <v>29</v>
      </c>
      <c r="G4" s="22" t="s">
        <v>30</v>
      </c>
      <c r="H4" s="22" t="s">
        <v>31</v>
      </c>
      <c r="I4" s="22" t="s">
        <v>32</v>
      </c>
      <c r="J4" s="22" t="s">
        <v>33</v>
      </c>
      <c r="K4" s="21"/>
      <c r="N4" s="189"/>
    </row>
    <row r="5" spans="1:14" ht="16.5" thickBot="1">
      <c r="A5" s="21"/>
      <c r="B5" s="23">
        <v>1</v>
      </c>
      <c r="C5" s="188" t="s">
        <v>34</v>
      </c>
      <c r="D5" s="415" t="s">
        <v>35</v>
      </c>
      <c r="E5" s="183">
        <f>'SR - ASG'!D214+'SR - Encarregado'!D214</f>
        <v>6.3696229999999998</v>
      </c>
      <c r="F5" s="381">
        <f>10481.96+3443.13</f>
        <v>13925.09</v>
      </c>
      <c r="G5" s="185" t="s">
        <v>36</v>
      </c>
      <c r="H5" s="24">
        <f t="shared" ref="H5:H19" si="0">F5*E5</f>
        <v>88697.57</v>
      </c>
      <c r="I5" s="420">
        <v>20</v>
      </c>
      <c r="J5" s="24">
        <f>I5*H5</f>
        <v>1773951.4</v>
      </c>
      <c r="K5" s="363"/>
      <c r="M5" s="191"/>
      <c r="N5" s="10"/>
    </row>
    <row r="6" spans="1:14" ht="16.5" thickBot="1">
      <c r="A6" s="21"/>
      <c r="B6" s="23">
        <v>2</v>
      </c>
      <c r="C6" s="188" t="s">
        <v>37</v>
      </c>
      <c r="D6" s="416"/>
      <c r="E6" s="60">
        <f>'SR - Copeira'!D210</f>
        <v>4265.42</v>
      </c>
      <c r="F6" s="382">
        <v>2</v>
      </c>
      <c r="G6" s="185" t="s">
        <v>38</v>
      </c>
      <c r="H6" s="24">
        <f>F6*E6</f>
        <v>8530.84</v>
      </c>
      <c r="I6" s="421"/>
      <c r="J6" s="24">
        <f>I5*H6</f>
        <v>170616.8</v>
      </c>
      <c r="K6" s="363"/>
      <c r="M6" s="189"/>
    </row>
    <row r="7" spans="1:14" ht="16.5" thickBot="1">
      <c r="A7" s="21"/>
      <c r="B7" s="23">
        <v>3</v>
      </c>
      <c r="C7" s="188" t="s">
        <v>39</v>
      </c>
      <c r="D7" s="416"/>
      <c r="E7" s="60">
        <f>'SR - Tratador'!D210</f>
        <v>4520.4799999999996</v>
      </c>
      <c r="F7" s="382">
        <v>1</v>
      </c>
      <c r="G7" s="185" t="s">
        <v>38</v>
      </c>
      <c r="H7" s="24">
        <f t="shared" si="0"/>
        <v>4520.4799999999996</v>
      </c>
      <c r="I7" s="421"/>
      <c r="J7" s="24">
        <f>I5*H7</f>
        <v>90409.600000000006</v>
      </c>
      <c r="K7" s="26"/>
      <c r="M7" s="189"/>
    </row>
    <row r="8" spans="1:14" ht="16.5" thickBot="1">
      <c r="A8" s="21"/>
      <c r="B8" s="23">
        <v>4</v>
      </c>
      <c r="C8" s="188" t="s">
        <v>40</v>
      </c>
      <c r="D8" s="416"/>
      <c r="E8" s="60">
        <f>'SR - Lavador'!D210</f>
        <v>4364.66</v>
      </c>
      <c r="F8" s="382">
        <v>1</v>
      </c>
      <c r="G8" s="185" t="s">
        <v>38</v>
      </c>
      <c r="H8" s="24">
        <f t="shared" si="0"/>
        <v>4364.66</v>
      </c>
      <c r="I8" s="421"/>
      <c r="J8" s="24">
        <f>I5*H8</f>
        <v>87293.2</v>
      </c>
      <c r="K8" s="26"/>
      <c r="M8" s="189"/>
    </row>
    <row r="9" spans="1:14" ht="16.5" thickBot="1">
      <c r="A9" s="21"/>
      <c r="B9" s="23">
        <v>5</v>
      </c>
      <c r="C9" s="423" t="s">
        <v>41</v>
      </c>
      <c r="D9" s="187" t="s">
        <v>42</v>
      </c>
      <c r="E9" s="183">
        <f>' CXS'!D215</f>
        <v>10.129205000000001</v>
      </c>
      <c r="F9" s="381">
        <v>1245.6199999999999</v>
      </c>
      <c r="G9" s="185" t="s">
        <v>36</v>
      </c>
      <c r="H9" s="24">
        <f t="shared" si="0"/>
        <v>12617.14</v>
      </c>
      <c r="I9" s="421"/>
      <c r="J9" s="24">
        <f>I5*H9</f>
        <v>252342.8</v>
      </c>
      <c r="K9" s="26"/>
      <c r="M9" s="189"/>
    </row>
    <row r="10" spans="1:14" ht="16.5" thickBot="1">
      <c r="A10" s="21"/>
      <c r="B10" s="23">
        <v>6</v>
      </c>
      <c r="C10" s="424"/>
      <c r="D10" s="186" t="s">
        <v>43</v>
      </c>
      <c r="E10" s="183">
        <f>PFO!D215</f>
        <v>5.8337729999999999</v>
      </c>
      <c r="F10" s="381">
        <v>3529.38</v>
      </c>
      <c r="G10" s="185" t="s">
        <v>36</v>
      </c>
      <c r="H10" s="24">
        <f t="shared" si="0"/>
        <v>20589.599999999999</v>
      </c>
      <c r="I10" s="421"/>
      <c r="J10" s="24">
        <f>I5*H10</f>
        <v>411792</v>
      </c>
      <c r="K10" s="26"/>
      <c r="M10" s="189"/>
    </row>
    <row r="11" spans="1:14" ht="16.5" thickBot="1">
      <c r="A11" s="21"/>
      <c r="B11" s="23">
        <v>7</v>
      </c>
      <c r="C11" s="424"/>
      <c r="D11" s="186" t="s">
        <v>44</v>
      </c>
      <c r="E11" s="183">
        <f>SAG!D215</f>
        <v>3.8197399999999999</v>
      </c>
      <c r="F11" s="381">
        <v>4257.58</v>
      </c>
      <c r="G11" s="185" t="s">
        <v>36</v>
      </c>
      <c r="H11" s="24">
        <f t="shared" si="0"/>
        <v>16262.85</v>
      </c>
      <c r="I11" s="421"/>
      <c r="J11" s="24">
        <f>I5*H11</f>
        <v>325257</v>
      </c>
      <c r="K11" s="26"/>
      <c r="M11" s="189"/>
    </row>
    <row r="12" spans="1:14" ht="16.5" thickBot="1">
      <c r="A12" s="21"/>
      <c r="B12" s="23">
        <v>8</v>
      </c>
      <c r="C12" s="424"/>
      <c r="D12" s="187" t="s">
        <v>45</v>
      </c>
      <c r="E12" s="183">
        <f>SBA!D215</f>
        <v>3.408998</v>
      </c>
      <c r="F12" s="381">
        <v>3307.94</v>
      </c>
      <c r="G12" s="185" t="s">
        <v>36</v>
      </c>
      <c r="H12" s="24">
        <f t="shared" si="0"/>
        <v>11276.76</v>
      </c>
      <c r="I12" s="421"/>
      <c r="J12" s="24">
        <f>I5*H12</f>
        <v>225535.2</v>
      </c>
      <c r="K12" s="26"/>
      <c r="M12" s="189"/>
    </row>
    <row r="13" spans="1:14" ht="16.5" thickBot="1">
      <c r="A13" s="21"/>
      <c r="B13" s="23">
        <v>9</v>
      </c>
      <c r="C13" s="424"/>
      <c r="D13" s="187" t="s">
        <v>46</v>
      </c>
      <c r="E13" s="183">
        <f>UGA!D215</f>
        <v>11.561304</v>
      </c>
      <c r="F13" s="381">
        <v>1182.6400000000001</v>
      </c>
      <c r="G13" s="185" t="s">
        <v>36</v>
      </c>
      <c r="H13" s="24">
        <f t="shared" si="0"/>
        <v>13672.86</v>
      </c>
      <c r="I13" s="421"/>
      <c r="J13" s="24">
        <f>I5*H13</f>
        <v>273457.2</v>
      </c>
      <c r="K13" s="26"/>
      <c r="M13" s="189"/>
    </row>
    <row r="14" spans="1:14" ht="16.5" thickBot="1">
      <c r="A14" s="21"/>
      <c r="B14" s="23">
        <v>10</v>
      </c>
      <c r="C14" s="424"/>
      <c r="D14" s="187" t="s">
        <v>47</v>
      </c>
      <c r="E14" s="183">
        <f>SMA!D215</f>
        <v>3.8938250000000001</v>
      </c>
      <c r="F14" s="381">
        <f>1957.3+3963.49</f>
        <v>5920.79</v>
      </c>
      <c r="G14" s="185" t="s">
        <v>36</v>
      </c>
      <c r="H14" s="24">
        <f t="shared" si="0"/>
        <v>23054.52</v>
      </c>
      <c r="I14" s="421"/>
      <c r="J14" s="24">
        <f>I5*H14</f>
        <v>461090.4</v>
      </c>
      <c r="K14" s="26"/>
      <c r="M14" s="189"/>
    </row>
    <row r="15" spans="1:14" ht="16.5" thickBot="1">
      <c r="A15" s="21"/>
      <c r="B15" s="23">
        <v>11</v>
      </c>
      <c r="C15" s="424"/>
      <c r="D15" s="187" t="s">
        <v>48</v>
      </c>
      <c r="E15" s="183">
        <f>SCS!D214</f>
        <v>4.9139200000000001</v>
      </c>
      <c r="F15" s="381">
        <v>2594.4499999999998</v>
      </c>
      <c r="G15" s="185" t="s">
        <v>36</v>
      </c>
      <c r="H15" s="24">
        <f t="shared" si="0"/>
        <v>12748.92</v>
      </c>
      <c r="I15" s="421"/>
      <c r="J15" s="24">
        <f>I5*H15</f>
        <v>254978.4</v>
      </c>
      <c r="K15" s="26"/>
      <c r="M15" s="189"/>
    </row>
    <row r="16" spans="1:14" ht="16.5" thickBot="1">
      <c r="A16" s="21"/>
      <c r="B16" s="23">
        <v>12</v>
      </c>
      <c r="C16" s="424"/>
      <c r="D16" s="187" t="s">
        <v>49</v>
      </c>
      <c r="E16" s="183">
        <f>SLI!D214</f>
        <v>12.182569000000001</v>
      </c>
      <c r="F16" s="381">
        <v>1170.08</v>
      </c>
      <c r="G16" s="185" t="s">
        <v>36</v>
      </c>
      <c r="H16" s="24">
        <f t="shared" si="0"/>
        <v>14254.58</v>
      </c>
      <c r="I16" s="421"/>
      <c r="J16" s="24">
        <f>I5*H16</f>
        <v>285091.59999999998</v>
      </c>
      <c r="K16" s="26"/>
      <c r="M16" s="189"/>
    </row>
    <row r="17" spans="1:13" ht="16.5" thickBot="1">
      <c r="A17" s="21"/>
      <c r="B17" s="23">
        <v>13</v>
      </c>
      <c r="C17" s="424"/>
      <c r="D17" s="187" t="s">
        <v>50</v>
      </c>
      <c r="E17" s="183">
        <f>BGE!D214</f>
        <v>5.681889</v>
      </c>
      <c r="F17" s="382">
        <v>2340</v>
      </c>
      <c r="G17" s="185" t="s">
        <v>36</v>
      </c>
      <c r="H17" s="24">
        <f t="shared" si="0"/>
        <v>13295.62</v>
      </c>
      <c r="I17" s="421"/>
      <c r="J17" s="24">
        <f>I5*H17</f>
        <v>265912.40000000002</v>
      </c>
      <c r="K17" s="26"/>
      <c r="M17" s="189"/>
    </row>
    <row r="18" spans="1:13" ht="16.5" thickBot="1">
      <c r="A18" s="21"/>
      <c r="B18" s="23">
        <v>14</v>
      </c>
      <c r="C18" s="424"/>
      <c r="D18" s="187" t="s">
        <v>51</v>
      </c>
      <c r="E18" s="183">
        <f>PTS!D214</f>
        <v>6.1106699999999998</v>
      </c>
      <c r="F18" s="381">
        <v>2840.89</v>
      </c>
      <c r="G18" s="185" t="s">
        <v>36</v>
      </c>
      <c r="H18" s="24">
        <f t="shared" si="0"/>
        <v>17359.740000000002</v>
      </c>
      <c r="I18" s="421"/>
      <c r="J18" s="24">
        <f>I5*H18</f>
        <v>347194.8</v>
      </c>
      <c r="K18" s="26"/>
      <c r="M18" s="189"/>
    </row>
    <row r="19" spans="1:13" ht="16.5" thickBot="1">
      <c r="A19" s="21"/>
      <c r="B19" s="23">
        <v>15</v>
      </c>
      <c r="C19" s="424"/>
      <c r="D19" s="186" t="s">
        <v>52</v>
      </c>
      <c r="E19" s="183">
        <f>RGE!D214</f>
        <v>8.6213259999999998</v>
      </c>
      <c r="F19" s="381">
        <v>2030.27</v>
      </c>
      <c r="G19" s="185" t="s">
        <v>36</v>
      </c>
      <c r="H19" s="24">
        <f t="shared" si="0"/>
        <v>17503.62</v>
      </c>
      <c r="I19" s="421"/>
      <c r="J19" s="24">
        <f>I5*H19</f>
        <v>350072.4</v>
      </c>
      <c r="K19" s="26"/>
      <c r="M19" s="189"/>
    </row>
    <row r="20" spans="1:13" ht="16.5" thickBot="1">
      <c r="A20" s="21"/>
      <c r="B20" s="23">
        <v>16</v>
      </c>
      <c r="C20" s="424"/>
      <c r="D20" s="186" t="s">
        <v>53</v>
      </c>
      <c r="E20" s="190">
        <f>JGO!D214</f>
        <v>3.1528160000000001</v>
      </c>
      <c r="F20" s="383">
        <v>3500.75</v>
      </c>
      <c r="G20" s="185" t="s">
        <v>36</v>
      </c>
      <c r="H20" s="24">
        <f t="shared" ref="H20:H22" si="1">F20*E20</f>
        <v>11037.22</v>
      </c>
      <c r="I20" s="421"/>
      <c r="J20" s="24">
        <f>I5*H20</f>
        <v>220744.4</v>
      </c>
      <c r="K20" s="26"/>
      <c r="M20" s="189"/>
    </row>
    <row r="21" spans="1:13" ht="16.5" thickBot="1">
      <c r="A21" s="21"/>
      <c r="B21" s="23">
        <v>17</v>
      </c>
      <c r="C21" s="425"/>
      <c r="D21" s="186" t="s">
        <v>54</v>
      </c>
      <c r="E21" s="190">
        <f>CHI!D214</f>
        <v>3.722175</v>
      </c>
      <c r="F21" s="383">
        <v>4354.76</v>
      </c>
      <c r="G21" s="185" t="s">
        <v>36</v>
      </c>
      <c r="H21" s="24">
        <f t="shared" si="1"/>
        <v>16209.18</v>
      </c>
      <c r="I21" s="422"/>
      <c r="J21" s="24">
        <f>I5*H21</f>
        <v>324183.59999999998</v>
      </c>
      <c r="K21" s="26"/>
      <c r="M21" s="189"/>
    </row>
    <row r="22" spans="1:13" ht="16.5" thickBot="1">
      <c r="A22" s="21"/>
      <c r="B22" s="23">
        <v>17</v>
      </c>
      <c r="C22" s="379" t="s">
        <v>55</v>
      </c>
      <c r="D22" s="186" t="s">
        <v>35</v>
      </c>
      <c r="E22" s="380">
        <v>3.68</v>
      </c>
      <c r="F22" s="383">
        <v>495.56</v>
      </c>
      <c r="G22" s="185" t="s">
        <v>36</v>
      </c>
      <c r="H22" s="24">
        <f t="shared" si="1"/>
        <v>1823.66</v>
      </c>
      <c r="I22" s="378">
        <v>2</v>
      </c>
      <c r="J22" s="24">
        <f>I22*H22</f>
        <v>3647.32</v>
      </c>
      <c r="K22" s="26"/>
      <c r="M22" s="189"/>
    </row>
    <row r="23" spans="1:13" ht="16.5" customHeight="1" thickBot="1">
      <c r="A23" s="21"/>
      <c r="B23" s="417" t="s">
        <v>56</v>
      </c>
      <c r="C23" s="418"/>
      <c r="D23" s="418"/>
      <c r="E23" s="418"/>
      <c r="F23" s="418"/>
      <c r="G23" s="419"/>
      <c r="H23" s="25">
        <f>SUM(H5:H22)</f>
        <v>307819.82</v>
      </c>
      <c r="I23" s="25"/>
      <c r="J23" s="25">
        <f>SUM(J5:J22)</f>
        <v>6123570.5199999996</v>
      </c>
      <c r="K23" s="26"/>
      <c r="M23" s="189"/>
    </row>
    <row r="24" spans="1:13">
      <c r="A24" s="21"/>
      <c r="B24" s="21"/>
      <c r="C24" s="21"/>
      <c r="D24" s="21"/>
      <c r="E24" s="21"/>
      <c r="F24" s="21"/>
      <c r="G24" s="21"/>
      <c r="H24" s="21"/>
      <c r="I24" s="21"/>
      <c r="J24" s="26"/>
      <c r="K24" s="21"/>
      <c r="M24" s="189"/>
    </row>
    <row r="26" spans="1:13">
      <c r="H26" s="189"/>
    </row>
    <row r="30" spans="1:13">
      <c r="G30" s="217"/>
    </row>
  </sheetData>
  <mergeCells count="6">
    <mergeCell ref="B2:J2"/>
    <mergeCell ref="B3:J3"/>
    <mergeCell ref="D5:D8"/>
    <mergeCell ref="B23:G23"/>
    <mergeCell ref="I5:I21"/>
    <mergeCell ref="C9:C21"/>
  </mergeCells>
  <pageMargins left="0.51181102362204722" right="0.51181102362204722" top="0.78740157480314965" bottom="0.78740157480314965" header="0.31496062992125984" footer="0.31496062992125984"/>
  <pageSetup paperSize="9" scale="48" orientation="portrait" r:id="rId1"/>
  <rowBreaks count="1" manualBreakCount="1">
    <brk id="28" max="16383" man="1"/>
  </rowBreaks>
  <colBreaks count="1" manualBreakCount="1">
    <brk id="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61611-3B0E-4FF6-BEDB-A29F57CD5FFB}">
  <sheetPr codeName="Planilha4">
    <tabColor rgb="FF92D050"/>
    <pageSetUpPr fitToPage="1"/>
  </sheetPr>
  <dimension ref="A1:K45"/>
  <sheetViews>
    <sheetView view="pageBreakPreview" zoomScaleNormal="100" zoomScaleSheetLayoutView="100" workbookViewId="0">
      <selection activeCell="D22" sqref="D22"/>
    </sheetView>
  </sheetViews>
  <sheetFormatPr defaultColWidth="9.140625" defaultRowHeight="15"/>
  <cols>
    <col min="1" max="1" width="0.85546875" customWidth="1"/>
    <col min="2" max="2" width="38.42578125" customWidth="1"/>
    <col min="3" max="3" width="14.42578125" bestFit="1" customWidth="1"/>
    <col min="4" max="4" width="10.85546875" bestFit="1" customWidth="1"/>
    <col min="5" max="5" width="11.42578125" bestFit="1" customWidth="1"/>
    <col min="6" max="6" width="12.42578125" customWidth="1"/>
    <col min="7" max="7" width="12.42578125" bestFit="1" customWidth="1"/>
    <col min="8" max="8" width="16.140625" customWidth="1"/>
  </cols>
  <sheetData>
    <row r="1" spans="1:8" ht="15.75" thickBot="1">
      <c r="A1" s="20"/>
      <c r="B1" s="20"/>
      <c r="C1" s="163"/>
      <c r="D1" s="20"/>
      <c r="E1" s="20"/>
      <c r="F1" s="20"/>
      <c r="G1" s="20"/>
      <c r="H1" s="20"/>
    </row>
    <row r="2" spans="1:8" ht="21" thickBot="1">
      <c r="A2" s="20"/>
      <c r="B2" s="426" t="s">
        <v>57</v>
      </c>
      <c r="C2" s="427"/>
      <c r="D2" s="427"/>
      <c r="E2" s="427"/>
      <c r="F2" s="427"/>
      <c r="G2" s="427"/>
      <c r="H2" s="428"/>
    </row>
    <row r="3" spans="1:8" ht="19.5" thickBot="1">
      <c r="A3" s="20"/>
      <c r="B3" s="429" t="s">
        <v>58</v>
      </c>
      <c r="C3" s="430"/>
      <c r="D3" s="430"/>
      <c r="E3" s="430"/>
      <c r="F3" s="430"/>
      <c r="G3" s="430"/>
      <c r="H3" s="431"/>
    </row>
    <row r="4" spans="1:8" ht="30">
      <c r="A4" s="20"/>
      <c r="B4" s="18" t="s">
        <v>59</v>
      </c>
      <c r="C4" s="160" t="s">
        <v>60</v>
      </c>
      <c r="D4" s="17" t="s">
        <v>61</v>
      </c>
      <c r="E4" s="17" t="s">
        <v>62</v>
      </c>
      <c r="F4" s="17" t="s">
        <v>63</v>
      </c>
      <c r="G4" s="17" t="s">
        <v>64</v>
      </c>
      <c r="H4" s="19" t="s">
        <v>65</v>
      </c>
    </row>
    <row r="5" spans="1:8" ht="18" customHeight="1">
      <c r="A5" s="20"/>
      <c r="B5" s="2" t="s">
        <v>66</v>
      </c>
      <c r="C5" s="161">
        <v>265926</v>
      </c>
      <c r="D5" s="164">
        <v>122.3</v>
      </c>
      <c r="E5" s="101">
        <v>1</v>
      </c>
      <c r="F5" s="102">
        <f>D5*E5</f>
        <v>122.3</v>
      </c>
      <c r="G5" s="101">
        <v>36</v>
      </c>
      <c r="H5" s="103">
        <f>F5/G5</f>
        <v>3.4</v>
      </c>
    </row>
    <row r="6" spans="1:8">
      <c r="A6" s="20"/>
      <c r="B6" s="2" t="s">
        <v>67</v>
      </c>
      <c r="C6" s="161">
        <v>151064</v>
      </c>
      <c r="D6" s="164">
        <v>62.37</v>
      </c>
      <c r="E6" s="101">
        <v>2</v>
      </c>
      <c r="F6" s="102">
        <f t="shared" ref="F6:F13" si="0">D6*E6</f>
        <v>124.74</v>
      </c>
      <c r="G6" s="101">
        <v>24</v>
      </c>
      <c r="H6" s="103">
        <f t="shared" ref="H6:H13" si="1">F6/G6</f>
        <v>5.2</v>
      </c>
    </row>
    <row r="7" spans="1:8">
      <c r="A7" s="20"/>
      <c r="B7" s="2" t="s">
        <v>68</v>
      </c>
      <c r="C7" s="161">
        <v>150284</v>
      </c>
      <c r="D7" s="164">
        <v>42.44</v>
      </c>
      <c r="E7" s="101">
        <v>3</v>
      </c>
      <c r="F7" s="102">
        <f t="shared" si="0"/>
        <v>127.32</v>
      </c>
      <c r="G7" s="101">
        <v>24</v>
      </c>
      <c r="H7" s="103">
        <f t="shared" si="1"/>
        <v>5.31</v>
      </c>
    </row>
    <row r="8" spans="1:8">
      <c r="A8" s="20"/>
      <c r="B8" s="2" t="s">
        <v>69</v>
      </c>
      <c r="C8" s="161">
        <v>444178</v>
      </c>
      <c r="D8" s="164">
        <v>15.3</v>
      </c>
      <c r="E8" s="101">
        <v>3</v>
      </c>
      <c r="F8" s="102">
        <f t="shared" si="0"/>
        <v>45.9</v>
      </c>
      <c r="G8" s="101">
        <v>24</v>
      </c>
      <c r="H8" s="103">
        <f t="shared" si="1"/>
        <v>1.91</v>
      </c>
    </row>
    <row r="9" spans="1:8" ht="17.25" customHeight="1">
      <c r="A9" s="20"/>
      <c r="B9" s="2" t="s">
        <v>70</v>
      </c>
      <c r="C9" s="161" t="s">
        <v>71</v>
      </c>
      <c r="D9" s="164">
        <v>108.75</v>
      </c>
      <c r="E9" s="101">
        <v>1</v>
      </c>
      <c r="F9" s="102">
        <f t="shared" si="0"/>
        <v>108.75</v>
      </c>
      <c r="G9" s="101">
        <v>24</v>
      </c>
      <c r="H9" s="103">
        <f>F9/G9</f>
        <v>4.53</v>
      </c>
    </row>
    <row r="10" spans="1:8">
      <c r="A10" s="20"/>
      <c r="B10" s="2" t="s">
        <v>72</v>
      </c>
      <c r="C10" s="161">
        <v>446321</v>
      </c>
      <c r="D10" s="164">
        <v>9.67</v>
      </c>
      <c r="E10" s="101">
        <v>5</v>
      </c>
      <c r="F10" s="102">
        <f t="shared" si="0"/>
        <v>48.35</v>
      </c>
      <c r="G10" s="101">
        <v>12</v>
      </c>
      <c r="H10" s="103">
        <f>F10/G10</f>
        <v>4.03</v>
      </c>
    </row>
    <row r="11" spans="1:8">
      <c r="A11" s="20"/>
      <c r="B11" s="2" t="s">
        <v>73</v>
      </c>
      <c r="C11" s="161">
        <v>386106</v>
      </c>
      <c r="D11" s="164">
        <v>19.399999999999999</v>
      </c>
      <c r="E11" s="385">
        <f>8/SUM(G31:G45)</f>
        <v>0.1</v>
      </c>
      <c r="F11" s="102">
        <f t="shared" si="0"/>
        <v>1.94</v>
      </c>
      <c r="G11" s="101">
        <v>12</v>
      </c>
      <c r="H11" s="103">
        <f t="shared" ref="H11" si="2">F11/G11</f>
        <v>0.16</v>
      </c>
    </row>
    <row r="12" spans="1:8">
      <c r="A12" s="20"/>
      <c r="B12" s="3" t="s">
        <v>74</v>
      </c>
      <c r="C12" s="162">
        <v>477889</v>
      </c>
      <c r="D12" s="384">
        <v>38.39</v>
      </c>
      <c r="E12" s="385">
        <f>8/SUM(G31:G45)</f>
        <v>0.1</v>
      </c>
      <c r="F12" s="102">
        <f t="shared" ref="F12" si="3">D12*E12</f>
        <v>3.84</v>
      </c>
      <c r="G12" s="101">
        <v>12</v>
      </c>
      <c r="H12" s="103">
        <f t="shared" ref="H12" si="4">F12/G12</f>
        <v>0.32</v>
      </c>
    </row>
    <row r="13" spans="1:8" ht="15.75" thickBot="1">
      <c r="A13" s="20"/>
      <c r="B13" s="3" t="s">
        <v>75</v>
      </c>
      <c r="C13" s="162">
        <v>10111</v>
      </c>
      <c r="D13" s="165">
        <v>8.33</v>
      </c>
      <c r="E13" s="104">
        <v>1</v>
      </c>
      <c r="F13" s="102">
        <f t="shared" si="0"/>
        <v>8.33</v>
      </c>
      <c r="G13" s="104">
        <v>12</v>
      </c>
      <c r="H13" s="105">
        <f t="shared" si="1"/>
        <v>0.69</v>
      </c>
    </row>
    <row r="14" spans="1:8" ht="15.75" thickBot="1">
      <c r="A14" s="20"/>
      <c r="B14" s="432" t="s">
        <v>76</v>
      </c>
      <c r="C14" s="433"/>
      <c r="D14" s="433"/>
      <c r="E14" s="433"/>
      <c r="F14" s="433"/>
      <c r="G14" s="433"/>
      <c r="H14" s="166">
        <f>SUM(H5:H13)</f>
        <v>25.55</v>
      </c>
    </row>
    <row r="15" spans="1:8">
      <c r="A15" s="20"/>
      <c r="B15" s="2" t="s">
        <v>77</v>
      </c>
      <c r="C15" s="161">
        <v>402824</v>
      </c>
      <c r="D15" s="164">
        <v>110.33</v>
      </c>
      <c r="E15" s="101">
        <v>3</v>
      </c>
      <c r="F15" s="102">
        <f>D15*E15</f>
        <v>330.99</v>
      </c>
      <c r="G15" s="101">
        <v>24</v>
      </c>
      <c r="H15" s="103">
        <f>F15/G15</f>
        <v>13.79</v>
      </c>
    </row>
    <row r="16" spans="1:8">
      <c r="A16" s="20"/>
      <c r="B16" s="2" t="s">
        <v>73</v>
      </c>
      <c r="C16" s="161">
        <v>386106</v>
      </c>
      <c r="D16" s="164">
        <v>19.399999999999999</v>
      </c>
      <c r="E16" s="101">
        <v>3</v>
      </c>
      <c r="F16" s="102">
        <f t="shared" ref="F16:F20" si="5">D16*E16</f>
        <v>58.2</v>
      </c>
      <c r="G16" s="101">
        <v>12</v>
      </c>
      <c r="H16" s="103">
        <f t="shared" ref="H16:H17" si="6">F16/G16</f>
        <v>4.8499999999999996</v>
      </c>
    </row>
    <row r="17" spans="1:11">
      <c r="A17" s="20"/>
      <c r="B17" s="2" t="s">
        <v>78</v>
      </c>
      <c r="C17" s="161">
        <v>399423</v>
      </c>
      <c r="D17" s="164">
        <v>20.51</v>
      </c>
      <c r="E17" s="101">
        <v>2</v>
      </c>
      <c r="F17" s="102">
        <f t="shared" si="5"/>
        <v>41.02</v>
      </c>
      <c r="G17" s="101">
        <v>12</v>
      </c>
      <c r="H17" s="103">
        <f t="shared" si="6"/>
        <v>3.42</v>
      </c>
    </row>
    <row r="18" spans="1:11">
      <c r="A18" s="20"/>
      <c r="B18" s="2" t="s">
        <v>70</v>
      </c>
      <c r="C18" s="161">
        <v>294789</v>
      </c>
      <c r="D18" s="164">
        <v>108.75</v>
      </c>
      <c r="E18" s="101">
        <v>1</v>
      </c>
      <c r="F18" s="102">
        <f t="shared" si="5"/>
        <v>108.75</v>
      </c>
      <c r="G18" s="101">
        <v>24</v>
      </c>
      <c r="H18" s="103">
        <f>F18/G18</f>
        <v>4.53</v>
      </c>
    </row>
    <row r="19" spans="1:11">
      <c r="A19" s="20"/>
      <c r="B19" s="2" t="s">
        <v>79</v>
      </c>
      <c r="C19" s="161">
        <v>446321</v>
      </c>
      <c r="D19" s="164">
        <v>9.67</v>
      </c>
      <c r="E19" s="101">
        <v>5</v>
      </c>
      <c r="F19" s="102">
        <f t="shared" si="5"/>
        <v>48.35</v>
      </c>
      <c r="G19" s="101">
        <v>12</v>
      </c>
      <c r="H19" s="103">
        <f>F19/G19</f>
        <v>4.03</v>
      </c>
    </row>
    <row r="20" spans="1:11" ht="15.75" thickBot="1">
      <c r="A20" s="20"/>
      <c r="B20" s="3" t="s">
        <v>75</v>
      </c>
      <c r="C20" s="162">
        <v>10111</v>
      </c>
      <c r="D20" s="165">
        <v>8.33</v>
      </c>
      <c r="E20" s="104">
        <v>1</v>
      </c>
      <c r="F20" s="102">
        <f t="shared" si="5"/>
        <v>8.33</v>
      </c>
      <c r="G20" s="104">
        <v>12</v>
      </c>
      <c r="H20" s="105">
        <f t="shared" ref="H20" si="7">F20/G20</f>
        <v>0.69</v>
      </c>
    </row>
    <row r="21" spans="1:11" ht="15.75" thickBot="1">
      <c r="A21" s="20"/>
      <c r="B21" s="432" t="s">
        <v>80</v>
      </c>
      <c r="C21" s="433"/>
      <c r="D21" s="433"/>
      <c r="E21" s="433"/>
      <c r="F21" s="433"/>
      <c r="G21" s="433"/>
      <c r="H21" s="166">
        <f>SUM(H15:H20)</f>
        <v>31.31</v>
      </c>
    </row>
    <row r="22" spans="1:11" ht="15.75" customHeight="1">
      <c r="A22" s="20"/>
      <c r="B22" s="20"/>
      <c r="C22" s="163"/>
      <c r="D22" s="20"/>
      <c r="E22" s="20"/>
      <c r="F22" s="20"/>
      <c r="G22" s="20"/>
      <c r="H22" s="20"/>
    </row>
    <row r="23" spans="1:11" ht="15.75" thickBot="1">
      <c r="A23" s="20"/>
      <c r="B23" s="20"/>
      <c r="C23" s="163"/>
      <c r="D23" s="20"/>
      <c r="E23" s="20"/>
      <c r="F23" s="20"/>
      <c r="G23" s="20"/>
      <c r="H23" s="20"/>
    </row>
    <row r="24" spans="1:11" ht="19.5" thickBot="1">
      <c r="A24" s="20"/>
      <c r="B24" s="429" t="s">
        <v>81</v>
      </c>
      <c r="C24" s="430"/>
      <c r="D24" s="430"/>
      <c r="E24" s="430"/>
      <c r="F24" s="430"/>
      <c r="G24" s="430"/>
      <c r="H24" s="431"/>
    </row>
    <row r="25" spans="1:11" ht="30.75" thickBot="1">
      <c r="A25" s="20"/>
      <c r="B25" s="440" t="s">
        <v>59</v>
      </c>
      <c r="C25" s="441"/>
      <c r="D25" s="441"/>
      <c r="E25" s="194" t="s">
        <v>82</v>
      </c>
      <c r="F25" s="194" t="s">
        <v>61</v>
      </c>
      <c r="G25" s="194" t="s">
        <v>64</v>
      </c>
      <c r="H25" s="195" t="s">
        <v>83</v>
      </c>
    </row>
    <row r="26" spans="1:11">
      <c r="A26" s="20"/>
      <c r="B26" s="444" t="s">
        <v>84</v>
      </c>
      <c r="C26" s="445"/>
      <c r="D26" s="445"/>
      <c r="E26" s="196">
        <v>40436</v>
      </c>
      <c r="F26" s="197">
        <v>1443.89</v>
      </c>
      <c r="G26" s="196">
        <v>120</v>
      </c>
      <c r="H26" s="198">
        <f>F26/G26</f>
        <v>12.03</v>
      </c>
    </row>
    <row r="27" spans="1:11">
      <c r="A27" s="20"/>
      <c r="B27" s="442" t="s">
        <v>85</v>
      </c>
      <c r="C27" s="443"/>
      <c r="D27" s="443"/>
      <c r="E27" s="192">
        <v>435780</v>
      </c>
      <c r="F27" s="193">
        <v>1413.25</v>
      </c>
      <c r="G27" s="192">
        <v>120</v>
      </c>
      <c r="H27" s="211">
        <f>F27/G27</f>
        <v>11.78</v>
      </c>
    </row>
    <row r="28" spans="1:11">
      <c r="A28" s="20"/>
      <c r="B28" s="442" t="s">
        <v>86</v>
      </c>
      <c r="C28" s="443"/>
      <c r="D28" s="443"/>
      <c r="E28" s="192" t="s">
        <v>87</v>
      </c>
      <c r="F28" s="193">
        <v>2520</v>
      </c>
      <c r="G28" s="210">
        <f>Resumo!I5</f>
        <v>20</v>
      </c>
      <c r="H28" s="211">
        <f>F28/G28</f>
        <v>126</v>
      </c>
    </row>
    <row r="29" spans="1:11" ht="15.75" thickBot="1">
      <c r="A29" s="20"/>
      <c r="B29" s="446" t="s">
        <v>88</v>
      </c>
      <c r="C29" s="447"/>
      <c r="D29" s="447"/>
      <c r="E29" s="215">
        <v>8800</v>
      </c>
      <c r="F29" s="228">
        <v>1231.54</v>
      </c>
      <c r="G29" s="215">
        <v>20</v>
      </c>
      <c r="H29" s="216">
        <f>F29/G29</f>
        <v>61.58</v>
      </c>
    </row>
    <row r="30" spans="1:11" ht="15.75" thickBot="1">
      <c r="A30" s="20"/>
      <c r="B30" s="434" t="s">
        <v>89</v>
      </c>
      <c r="C30" s="435"/>
      <c r="D30" s="435"/>
      <c r="E30" s="436"/>
      <c r="F30" s="231" t="s">
        <v>27</v>
      </c>
      <c r="G30" s="229" t="s">
        <v>90</v>
      </c>
      <c r="H30" s="230" t="s">
        <v>91</v>
      </c>
    </row>
    <row r="31" spans="1:11">
      <c r="A31" s="20"/>
      <c r="B31" s="434"/>
      <c r="C31" s="435"/>
      <c r="D31" s="435"/>
      <c r="E31" s="436"/>
      <c r="F31" s="4" t="s">
        <v>92</v>
      </c>
      <c r="G31" s="5">
        <f>'SR - ASG'!A214-2+'SR - Encarregado'!A214+'SR - Copeira'!C11+'SR - Lavador'!C11</f>
        <v>17</v>
      </c>
      <c r="H31" s="167">
        <f>(($H$27+$H$29)/G31)+($H$28/SUM($G$31:$G$45))</f>
        <v>6.61</v>
      </c>
      <c r="J31" s="189"/>
      <c r="K31" s="232"/>
    </row>
    <row r="32" spans="1:11">
      <c r="A32" s="20"/>
      <c r="B32" s="434"/>
      <c r="C32" s="435"/>
      <c r="D32" s="435"/>
      <c r="E32" s="436"/>
      <c r="F32" s="4" t="s">
        <v>93</v>
      </c>
      <c r="G32" s="5">
        <f>'SR - Tratador'!C11+2</f>
        <v>3</v>
      </c>
      <c r="H32" s="167">
        <f>(($H$27+$H$29)/G32)+($H$28/SUM($G$31:$G$45))</f>
        <v>26.74</v>
      </c>
      <c r="J32" s="189"/>
      <c r="K32" s="232"/>
    </row>
    <row r="33" spans="1:10">
      <c r="A33" s="20"/>
      <c r="B33" s="434"/>
      <c r="C33" s="435"/>
      <c r="D33" s="435"/>
      <c r="E33" s="436"/>
      <c r="F33" s="4" t="s">
        <v>94</v>
      </c>
      <c r="G33" s="5">
        <f>' CXS'!A215</f>
        <v>2</v>
      </c>
      <c r="H33" s="167">
        <f>(($H$27+$H$29)/G33)+($H$28/SUM($G$31:$G$45))</f>
        <v>38.97</v>
      </c>
    </row>
    <row r="34" spans="1:10">
      <c r="A34" s="20"/>
      <c r="B34" s="434"/>
      <c r="C34" s="435"/>
      <c r="D34" s="435"/>
      <c r="E34" s="436"/>
      <c r="F34" s="4" t="s">
        <v>95</v>
      </c>
      <c r="G34" s="5">
        <f>PFO!A215</f>
        <v>4</v>
      </c>
      <c r="H34" s="167">
        <f t="shared" ref="H34:H45" si="8">(($H$27+$H$29)/G34)+($H$28/SUM($G$31:$G$45))</f>
        <v>20.63</v>
      </c>
    </row>
    <row r="35" spans="1:10">
      <c r="A35" s="20"/>
      <c r="B35" s="434"/>
      <c r="C35" s="435"/>
      <c r="D35" s="435"/>
      <c r="E35" s="436"/>
      <c r="F35" s="4" t="s">
        <v>96</v>
      </c>
      <c r="G35" s="5">
        <f>SAG!A215</f>
        <v>3</v>
      </c>
      <c r="H35" s="167">
        <f t="shared" si="8"/>
        <v>26.74</v>
      </c>
      <c r="J35" s="189"/>
    </row>
    <row r="36" spans="1:10">
      <c r="A36" s="20"/>
      <c r="B36" s="434"/>
      <c r="C36" s="435"/>
      <c r="D36" s="435"/>
      <c r="E36" s="436"/>
      <c r="F36" s="4" t="s">
        <v>97</v>
      </c>
      <c r="G36" s="5">
        <f>SBA!A215</f>
        <v>2</v>
      </c>
      <c r="H36" s="167">
        <f t="shared" si="8"/>
        <v>38.97</v>
      </c>
      <c r="J36" s="189"/>
    </row>
    <row r="37" spans="1:10">
      <c r="A37" s="20"/>
      <c r="B37" s="434"/>
      <c r="C37" s="435"/>
      <c r="D37" s="435"/>
      <c r="E37" s="436"/>
      <c r="F37" s="4" t="s">
        <v>98</v>
      </c>
      <c r="G37" s="5">
        <f>UGA!A215</f>
        <v>3</v>
      </c>
      <c r="H37" s="167">
        <f t="shared" si="8"/>
        <v>26.74</v>
      </c>
    </row>
    <row r="38" spans="1:10">
      <c r="A38" s="20"/>
      <c r="B38" s="434"/>
      <c r="C38" s="435"/>
      <c r="D38" s="435"/>
      <c r="E38" s="436"/>
      <c r="F38" s="6" t="s">
        <v>99</v>
      </c>
      <c r="G38" s="7">
        <f>SMA!A215</f>
        <v>4</v>
      </c>
      <c r="H38" s="167">
        <f t="shared" si="8"/>
        <v>20.63</v>
      </c>
    </row>
    <row r="39" spans="1:10">
      <c r="A39" s="20"/>
      <c r="B39" s="434"/>
      <c r="C39" s="435"/>
      <c r="D39" s="435"/>
      <c r="E39" s="436"/>
      <c r="F39" s="6" t="s">
        <v>100</v>
      </c>
      <c r="G39" s="7">
        <f>SCS!A214</f>
        <v>2</v>
      </c>
      <c r="H39" s="167">
        <f t="shared" si="8"/>
        <v>38.97</v>
      </c>
      <c r="J39" s="189"/>
    </row>
    <row r="40" spans="1:10">
      <c r="A40" s="20"/>
      <c r="B40" s="434"/>
      <c r="C40" s="435"/>
      <c r="D40" s="435"/>
      <c r="E40" s="436"/>
      <c r="F40" s="6" t="s">
        <v>101</v>
      </c>
      <c r="G40" s="7">
        <f>SLI!A214</f>
        <v>2</v>
      </c>
      <c r="H40" s="167">
        <f t="shared" si="8"/>
        <v>38.97</v>
      </c>
    </row>
    <row r="41" spans="1:10">
      <c r="A41" s="20"/>
      <c r="B41" s="434"/>
      <c r="C41" s="435"/>
      <c r="D41" s="435"/>
      <c r="E41" s="436"/>
      <c r="F41" s="6" t="s">
        <v>102</v>
      </c>
      <c r="G41" s="7">
        <f>BGE!A214</f>
        <v>2</v>
      </c>
      <c r="H41" s="167">
        <f t="shared" si="8"/>
        <v>38.97</v>
      </c>
    </row>
    <row r="42" spans="1:10">
      <c r="A42" s="20"/>
      <c r="B42" s="434"/>
      <c r="C42" s="435"/>
      <c r="D42" s="435"/>
      <c r="E42" s="436"/>
      <c r="F42" s="6" t="s">
        <v>103</v>
      </c>
      <c r="G42" s="7">
        <f>PTS!A214</f>
        <v>3</v>
      </c>
      <c r="H42" s="167">
        <f t="shared" si="8"/>
        <v>26.74</v>
      </c>
    </row>
    <row r="43" spans="1:10">
      <c r="A43" s="20"/>
      <c r="B43" s="434"/>
      <c r="C43" s="435"/>
      <c r="D43" s="435"/>
      <c r="E43" s="436"/>
      <c r="F43" s="169" t="s">
        <v>104</v>
      </c>
      <c r="G43" s="170">
        <f>RGE!A214</f>
        <v>3</v>
      </c>
      <c r="H43" s="167">
        <f t="shared" si="8"/>
        <v>26.74</v>
      </c>
      <c r="J43" s="189"/>
    </row>
    <row r="44" spans="1:10">
      <c r="A44" s="20"/>
      <c r="B44" s="434"/>
      <c r="C44" s="435"/>
      <c r="D44" s="435"/>
      <c r="E44" s="436"/>
      <c r="F44" s="169" t="s">
        <v>105</v>
      </c>
      <c r="G44" s="170">
        <f>JGO!A214</f>
        <v>2</v>
      </c>
      <c r="H44" s="167">
        <f t="shared" si="8"/>
        <v>38.97</v>
      </c>
    </row>
    <row r="45" spans="1:10" ht="15.75" thickBot="1">
      <c r="A45" s="20"/>
      <c r="B45" s="437"/>
      <c r="C45" s="438"/>
      <c r="D45" s="438"/>
      <c r="E45" s="439"/>
      <c r="F45" s="100" t="s">
        <v>106</v>
      </c>
      <c r="G45" s="8">
        <f>CHI!A214</f>
        <v>3</v>
      </c>
      <c r="H45" s="167">
        <f t="shared" si="8"/>
        <v>26.74</v>
      </c>
    </row>
  </sheetData>
  <mergeCells count="11">
    <mergeCell ref="B2:H2"/>
    <mergeCell ref="B3:H3"/>
    <mergeCell ref="B14:G14"/>
    <mergeCell ref="B24:H24"/>
    <mergeCell ref="B30:E45"/>
    <mergeCell ref="B25:D25"/>
    <mergeCell ref="B27:D27"/>
    <mergeCell ref="B28:D28"/>
    <mergeCell ref="B26:D26"/>
    <mergeCell ref="B29:D29"/>
    <mergeCell ref="B21:G21"/>
  </mergeCells>
  <pageMargins left="0" right="0.51181102362204722" top="0.19685039370078741" bottom="0.39370078740157483" header="0.31496062992125984" footer="0.31496062992125984"/>
  <pageSetup paperSize="9" scale="8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95A28-FC36-42E9-BAA8-BFD5FCF8C63C}">
  <sheetPr codeName="Planilha5">
    <tabColor rgb="FFFFFF00"/>
  </sheetPr>
  <dimension ref="A1:S128"/>
  <sheetViews>
    <sheetView topLeftCell="A3" zoomScale="90" zoomScaleNormal="90" workbookViewId="0">
      <pane ySplit="810" topLeftCell="A70" activePane="bottomLeft"/>
      <selection pane="bottomLeft" activeCell="E110" sqref="E110"/>
      <selection activeCell="A16" sqref="A16"/>
    </sheetView>
  </sheetViews>
  <sheetFormatPr defaultColWidth="9.140625" defaultRowHeight="15"/>
  <cols>
    <col min="2" max="2" width="57.7109375" bestFit="1" customWidth="1"/>
    <col min="3" max="3" width="12.7109375" customWidth="1"/>
    <col min="4" max="4" width="9.28515625" customWidth="1"/>
    <col min="5" max="5" width="12.7109375" bestFit="1" customWidth="1"/>
    <col min="6" max="6" width="12.5703125" bestFit="1" customWidth="1"/>
    <col min="7" max="9" width="12.42578125" bestFit="1" customWidth="1"/>
    <col min="10" max="10" width="11.42578125" bestFit="1" customWidth="1"/>
    <col min="11" max="19" width="12.42578125" bestFit="1" customWidth="1"/>
  </cols>
  <sheetData>
    <row r="1" spans="1:19" ht="16.5" customHeight="1">
      <c r="A1" s="200"/>
      <c r="B1" s="487" t="s">
        <v>107</v>
      </c>
      <c r="C1" s="487"/>
      <c r="D1" s="487"/>
      <c r="E1" s="487"/>
      <c r="F1" s="487"/>
      <c r="G1" s="487"/>
      <c r="H1" s="487"/>
      <c r="I1" s="487"/>
      <c r="J1" s="487"/>
    </row>
    <row r="2" spans="1:19" ht="15.75" thickBot="1">
      <c r="A2" s="200"/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9" ht="15" customHeight="1" thickBot="1">
      <c r="A3" s="489" t="s">
        <v>108</v>
      </c>
      <c r="B3" s="491" t="s">
        <v>109</v>
      </c>
      <c r="C3" s="491" t="s">
        <v>60</v>
      </c>
      <c r="D3" s="491" t="s">
        <v>110</v>
      </c>
      <c r="E3" s="493" t="s">
        <v>111</v>
      </c>
      <c r="F3" s="495" t="s">
        <v>112</v>
      </c>
      <c r="G3" s="496"/>
      <c r="H3" s="496"/>
      <c r="I3" s="496"/>
      <c r="J3" s="496"/>
      <c r="K3" s="496"/>
      <c r="L3" s="496"/>
      <c r="M3" s="496"/>
      <c r="N3" s="496"/>
      <c r="O3" s="496"/>
      <c r="P3" s="496"/>
      <c r="Q3" s="496"/>
      <c r="R3" s="496"/>
      <c r="S3" s="497"/>
    </row>
    <row r="4" spans="1:19" ht="15.75" thickBot="1">
      <c r="A4" s="490"/>
      <c r="B4" s="492"/>
      <c r="C4" s="492"/>
      <c r="D4" s="492"/>
      <c r="E4" s="494"/>
      <c r="F4" s="233" t="s">
        <v>113</v>
      </c>
      <c r="G4" s="201" t="s">
        <v>102</v>
      </c>
      <c r="H4" s="201" t="s">
        <v>94</v>
      </c>
      <c r="I4" s="202" t="s">
        <v>106</v>
      </c>
      <c r="J4" s="202" t="s">
        <v>105</v>
      </c>
      <c r="K4" s="202" t="s">
        <v>95</v>
      </c>
      <c r="L4" s="202" t="s">
        <v>103</v>
      </c>
      <c r="M4" s="202" t="s">
        <v>104</v>
      </c>
      <c r="N4" s="202" t="s">
        <v>96</v>
      </c>
      <c r="O4" s="202" t="s">
        <v>100</v>
      </c>
      <c r="P4" s="202" t="s">
        <v>99</v>
      </c>
      <c r="Q4" s="202" t="s">
        <v>101</v>
      </c>
      <c r="R4" s="202" t="s">
        <v>97</v>
      </c>
      <c r="S4" s="234" t="s">
        <v>98</v>
      </c>
    </row>
    <row r="5" spans="1:19">
      <c r="A5" s="498">
        <v>1</v>
      </c>
      <c r="B5" s="499" t="s">
        <v>114</v>
      </c>
      <c r="C5" s="500">
        <v>388864</v>
      </c>
      <c r="D5" s="502" t="s">
        <v>115</v>
      </c>
      <c r="E5" s="503">
        <v>7.18</v>
      </c>
      <c r="F5" s="258">
        <v>2</v>
      </c>
      <c r="G5" s="247">
        <v>0</v>
      </c>
      <c r="H5" s="247">
        <v>0</v>
      </c>
      <c r="I5" s="247">
        <v>0</v>
      </c>
      <c r="J5" s="247">
        <v>0</v>
      </c>
      <c r="K5" s="247">
        <v>1</v>
      </c>
      <c r="L5" s="247">
        <v>1</v>
      </c>
      <c r="M5" s="247">
        <v>1</v>
      </c>
      <c r="N5" s="247">
        <v>2</v>
      </c>
      <c r="O5" s="247">
        <v>1</v>
      </c>
      <c r="P5" s="247">
        <v>3</v>
      </c>
      <c r="Q5" s="247">
        <v>0</v>
      </c>
      <c r="R5" s="247">
        <v>0</v>
      </c>
      <c r="S5" s="248">
        <v>1</v>
      </c>
    </row>
    <row r="6" spans="1:19" ht="31.5" customHeight="1">
      <c r="A6" s="448"/>
      <c r="B6" s="453"/>
      <c r="C6" s="501"/>
      <c r="D6" s="456"/>
      <c r="E6" s="452"/>
      <c r="F6" s="366">
        <f>F5*$E$5</f>
        <v>14.36</v>
      </c>
      <c r="G6" s="243">
        <f>G5*$E$5</f>
        <v>0</v>
      </c>
      <c r="H6" s="243">
        <f>H5*$E$5</f>
        <v>0</v>
      </c>
      <c r="I6" s="243">
        <f>I5*$E$5</f>
        <v>0</v>
      </c>
      <c r="J6" s="243">
        <f t="shared" ref="J6:K6" si="0">J5*$E$5</f>
        <v>0</v>
      </c>
      <c r="K6" s="243">
        <f t="shared" si="0"/>
        <v>7.18</v>
      </c>
      <c r="L6" s="243">
        <f t="shared" ref="L6:M6" si="1">L5*$E$5</f>
        <v>7.18</v>
      </c>
      <c r="M6" s="243">
        <f t="shared" si="1"/>
        <v>7.18</v>
      </c>
      <c r="N6" s="243">
        <f t="shared" ref="N6" si="2">N5*$E$5</f>
        <v>14.36</v>
      </c>
      <c r="O6" s="243">
        <f>O5*$E$5</f>
        <v>7.18</v>
      </c>
      <c r="P6" s="243">
        <f t="shared" ref="P6:S6" si="3">P5*$E$5</f>
        <v>21.54</v>
      </c>
      <c r="Q6" s="243">
        <f t="shared" si="3"/>
        <v>0</v>
      </c>
      <c r="R6" s="243">
        <f t="shared" si="3"/>
        <v>0</v>
      </c>
      <c r="S6" s="255">
        <f t="shared" si="3"/>
        <v>7.18</v>
      </c>
    </row>
    <row r="7" spans="1:19">
      <c r="A7" s="458">
        <v>2</v>
      </c>
      <c r="B7" s="460" t="s">
        <v>116</v>
      </c>
      <c r="C7" s="462">
        <v>299605</v>
      </c>
      <c r="D7" s="463" t="s">
        <v>117</v>
      </c>
      <c r="E7" s="452">
        <v>7.7</v>
      </c>
      <c r="F7" s="259">
        <f>200/5</f>
        <v>40</v>
      </c>
      <c r="G7" s="237">
        <f>15/5</f>
        <v>3</v>
      </c>
      <c r="H7" s="237">
        <v>5</v>
      </c>
      <c r="I7" s="237">
        <v>2</v>
      </c>
      <c r="J7" s="237">
        <v>1</v>
      </c>
      <c r="K7" s="237">
        <v>2</v>
      </c>
      <c r="L7" s="237">
        <f>14/5</f>
        <v>2.8</v>
      </c>
      <c r="M7" s="237">
        <v>4</v>
      </c>
      <c r="N7" s="237">
        <f>3/5</f>
        <v>0.6</v>
      </c>
      <c r="O7" s="237">
        <f>14/5</f>
        <v>2.8</v>
      </c>
      <c r="P7" s="237">
        <v>5</v>
      </c>
      <c r="Q7" s="237">
        <f>8/5</f>
        <v>1.6</v>
      </c>
      <c r="R7" s="237">
        <v>2</v>
      </c>
      <c r="S7" s="249">
        <v>3</v>
      </c>
    </row>
    <row r="8" spans="1:19">
      <c r="A8" s="458"/>
      <c r="B8" s="460"/>
      <c r="C8" s="462"/>
      <c r="D8" s="463"/>
      <c r="E8" s="452"/>
      <c r="F8" s="367">
        <f>F7*$E$7</f>
        <v>308</v>
      </c>
      <c r="G8" s="368">
        <f t="shared" ref="G8:R8" si="4">G7*$E$7</f>
        <v>23.1</v>
      </c>
      <c r="H8" s="368">
        <f t="shared" si="4"/>
        <v>38.5</v>
      </c>
      <c r="I8" s="368">
        <f t="shared" si="4"/>
        <v>15.4</v>
      </c>
      <c r="J8" s="368">
        <f t="shared" si="4"/>
        <v>7.7</v>
      </c>
      <c r="K8" s="368">
        <f t="shared" si="4"/>
        <v>15.4</v>
      </c>
      <c r="L8" s="368">
        <f t="shared" si="4"/>
        <v>21.56</v>
      </c>
      <c r="M8" s="368">
        <f t="shared" si="4"/>
        <v>30.8</v>
      </c>
      <c r="N8" s="368">
        <f t="shared" si="4"/>
        <v>4.62</v>
      </c>
      <c r="O8" s="368">
        <f>O7*$E$7</f>
        <v>21.56</v>
      </c>
      <c r="P8" s="368">
        <f t="shared" si="4"/>
        <v>38.5</v>
      </c>
      <c r="Q8" s="368">
        <f t="shared" si="4"/>
        <v>12.32</v>
      </c>
      <c r="R8" s="368">
        <f t="shared" si="4"/>
        <v>15.4</v>
      </c>
      <c r="S8" s="369">
        <f>S7*$E$7</f>
        <v>23.1</v>
      </c>
    </row>
    <row r="9" spans="1:19">
      <c r="A9" s="448">
        <v>3</v>
      </c>
      <c r="B9" s="453" t="s">
        <v>118</v>
      </c>
      <c r="C9" s="455">
        <v>390766</v>
      </c>
      <c r="D9" s="456" t="s">
        <v>115</v>
      </c>
      <c r="E9" s="452">
        <v>8.1999999999999993</v>
      </c>
      <c r="F9" s="260">
        <v>50</v>
      </c>
      <c r="G9" s="236">
        <v>10</v>
      </c>
      <c r="H9" s="236">
        <v>5</v>
      </c>
      <c r="I9" s="236">
        <v>10</v>
      </c>
      <c r="J9" s="236">
        <v>2</v>
      </c>
      <c r="K9" s="236">
        <v>5</v>
      </c>
      <c r="L9" s="236">
        <v>10</v>
      </c>
      <c r="M9" s="236">
        <v>10</v>
      </c>
      <c r="N9" s="236">
        <v>5</v>
      </c>
      <c r="O9" s="236">
        <v>10</v>
      </c>
      <c r="P9" s="236">
        <v>15</v>
      </c>
      <c r="Q9" s="236">
        <v>10</v>
      </c>
      <c r="R9" s="236">
        <v>5</v>
      </c>
      <c r="S9" s="250">
        <v>10</v>
      </c>
    </row>
    <row r="10" spans="1:19">
      <c r="A10" s="448"/>
      <c r="B10" s="453"/>
      <c r="C10" s="455"/>
      <c r="D10" s="456"/>
      <c r="E10" s="452"/>
      <c r="F10" s="366">
        <f>F9*$E$9</f>
        <v>410</v>
      </c>
      <c r="G10" s="243">
        <f>G9*$E$9</f>
        <v>82</v>
      </c>
      <c r="H10" s="243">
        <f>H9*$E$9</f>
        <v>41</v>
      </c>
      <c r="I10" s="243">
        <f>I9*$E$9</f>
        <v>82</v>
      </c>
      <c r="J10" s="243">
        <f t="shared" ref="J10:K10" si="5">J9*$E$9</f>
        <v>16.399999999999999</v>
      </c>
      <c r="K10" s="243">
        <f t="shared" si="5"/>
        <v>41</v>
      </c>
      <c r="L10" s="243">
        <f t="shared" ref="L10:M10" si="6">L9*$E$9</f>
        <v>82</v>
      </c>
      <c r="M10" s="243">
        <f t="shared" si="6"/>
        <v>82</v>
      </c>
      <c r="N10" s="243">
        <f t="shared" ref="N10:O10" si="7">N9*$E$9</f>
        <v>41</v>
      </c>
      <c r="O10" s="243">
        <f t="shared" si="7"/>
        <v>82</v>
      </c>
      <c r="P10" s="243">
        <f t="shared" ref="P10:S10" si="8">P9*$E$9</f>
        <v>123</v>
      </c>
      <c r="Q10" s="243">
        <f t="shared" si="8"/>
        <v>82</v>
      </c>
      <c r="R10" s="243">
        <f t="shared" si="8"/>
        <v>41</v>
      </c>
      <c r="S10" s="255">
        <f t="shared" si="8"/>
        <v>82</v>
      </c>
    </row>
    <row r="11" spans="1:19" s="213" customFormat="1">
      <c r="A11" s="484">
        <v>4</v>
      </c>
      <c r="B11" s="459" t="s">
        <v>119</v>
      </c>
      <c r="C11" s="467">
        <v>292586</v>
      </c>
      <c r="D11" s="463" t="s">
        <v>117</v>
      </c>
      <c r="E11" s="452">
        <v>21.81</v>
      </c>
      <c r="F11" s="261">
        <f>50/5</f>
        <v>10</v>
      </c>
      <c r="G11" s="238"/>
      <c r="H11" s="238"/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51"/>
    </row>
    <row r="12" spans="1:19" s="213" customFormat="1">
      <c r="A12" s="484"/>
      <c r="B12" s="459"/>
      <c r="C12" s="467"/>
      <c r="D12" s="463"/>
      <c r="E12" s="452"/>
      <c r="F12" s="267">
        <f>F11*$E$11</f>
        <v>218.1</v>
      </c>
      <c r="G12" s="245">
        <f>G11*$E$11</f>
        <v>0</v>
      </c>
      <c r="H12" s="245">
        <f>H11*$E$11</f>
        <v>0</v>
      </c>
      <c r="I12" s="245">
        <f>I11*$E$11</f>
        <v>0</v>
      </c>
      <c r="J12" s="245">
        <f t="shared" ref="J12:K12" si="9">J11*$E$11</f>
        <v>0</v>
      </c>
      <c r="K12" s="245">
        <f t="shared" si="9"/>
        <v>0</v>
      </c>
      <c r="L12" s="245">
        <f t="shared" ref="L12:M12" si="10">L11*$E$11</f>
        <v>0</v>
      </c>
      <c r="M12" s="245">
        <f t="shared" si="10"/>
        <v>0</v>
      </c>
      <c r="N12" s="245">
        <f t="shared" ref="N12:O12" si="11">N11*$E$11</f>
        <v>0</v>
      </c>
      <c r="O12" s="245">
        <f t="shared" si="11"/>
        <v>0</v>
      </c>
      <c r="P12" s="245">
        <f t="shared" ref="P12:S12" si="12">P11*$E$11</f>
        <v>0</v>
      </c>
      <c r="Q12" s="245">
        <f t="shared" si="12"/>
        <v>0</v>
      </c>
      <c r="R12" s="245">
        <f t="shared" si="12"/>
        <v>0</v>
      </c>
      <c r="S12" s="256">
        <f t="shared" si="12"/>
        <v>0</v>
      </c>
    </row>
    <row r="13" spans="1:19">
      <c r="A13" s="488">
        <v>5</v>
      </c>
      <c r="B13" s="449" t="s">
        <v>120</v>
      </c>
      <c r="C13" s="450">
        <v>381409</v>
      </c>
      <c r="D13" s="451" t="s">
        <v>115</v>
      </c>
      <c r="E13" s="452">
        <v>14.47</v>
      </c>
      <c r="F13" s="262">
        <v>70</v>
      </c>
      <c r="G13" s="239">
        <v>15</v>
      </c>
      <c r="H13" s="239">
        <v>12</v>
      </c>
      <c r="I13" s="239">
        <v>15</v>
      </c>
      <c r="J13" s="239">
        <v>5</v>
      </c>
      <c r="K13" s="239">
        <v>7</v>
      </c>
      <c r="L13" s="239">
        <v>10</v>
      </c>
      <c r="M13" s="239">
        <v>20</v>
      </c>
      <c r="N13" s="239">
        <v>5</v>
      </c>
      <c r="O13" s="239">
        <v>10</v>
      </c>
      <c r="P13" s="239">
        <v>20</v>
      </c>
      <c r="Q13" s="239">
        <v>10</v>
      </c>
      <c r="R13" s="239">
        <v>10</v>
      </c>
      <c r="S13" s="252">
        <v>10</v>
      </c>
    </row>
    <row r="14" spans="1:19">
      <c r="A14" s="488"/>
      <c r="B14" s="449"/>
      <c r="C14" s="450"/>
      <c r="D14" s="451"/>
      <c r="E14" s="452"/>
      <c r="F14" s="265">
        <f>F13*$E$25</f>
        <v>1484</v>
      </c>
      <c r="G14" s="242">
        <f>G13*$E$25</f>
        <v>318</v>
      </c>
      <c r="H14" s="242">
        <f>H13*$E$25</f>
        <v>254.4</v>
      </c>
      <c r="I14" s="242">
        <f>I13*$E$25</f>
        <v>318</v>
      </c>
      <c r="J14" s="242">
        <f t="shared" ref="J14:S14" si="13">J13*$E$25</f>
        <v>106</v>
      </c>
      <c r="K14" s="242">
        <f t="shared" si="13"/>
        <v>148.4</v>
      </c>
      <c r="L14" s="242">
        <f t="shared" si="13"/>
        <v>212</v>
      </c>
      <c r="M14" s="242">
        <f t="shared" si="13"/>
        <v>424</v>
      </c>
      <c r="N14" s="242">
        <f t="shared" si="13"/>
        <v>106</v>
      </c>
      <c r="O14" s="242">
        <f t="shared" si="13"/>
        <v>212</v>
      </c>
      <c r="P14" s="242">
        <f t="shared" si="13"/>
        <v>424</v>
      </c>
      <c r="Q14" s="242">
        <f t="shared" si="13"/>
        <v>212</v>
      </c>
      <c r="R14" s="242">
        <f t="shared" si="13"/>
        <v>212</v>
      </c>
      <c r="S14" s="257">
        <f t="shared" si="13"/>
        <v>212</v>
      </c>
    </row>
    <row r="15" spans="1:19">
      <c r="A15" s="458">
        <v>6</v>
      </c>
      <c r="B15" s="459" t="s">
        <v>121</v>
      </c>
      <c r="C15" s="462">
        <v>234737</v>
      </c>
      <c r="D15" s="463" t="s">
        <v>122</v>
      </c>
      <c r="E15" s="452">
        <v>1.22</v>
      </c>
      <c r="F15" s="259">
        <v>144</v>
      </c>
      <c r="G15" s="237">
        <v>20</v>
      </c>
      <c r="H15" s="237">
        <v>20</v>
      </c>
      <c r="I15" s="237">
        <v>15</v>
      </c>
      <c r="J15" s="237">
        <v>15</v>
      </c>
      <c r="K15" s="237">
        <v>15</v>
      </c>
      <c r="L15" s="237">
        <v>20</v>
      </c>
      <c r="M15" s="237">
        <v>20</v>
      </c>
      <c r="N15" s="237">
        <v>15</v>
      </c>
      <c r="O15" s="237">
        <v>26</v>
      </c>
      <c r="P15" s="237">
        <v>10</v>
      </c>
      <c r="Q15" s="237">
        <v>16</v>
      </c>
      <c r="R15" s="237">
        <v>10</v>
      </c>
      <c r="S15" s="249">
        <v>10</v>
      </c>
    </row>
    <row r="16" spans="1:19">
      <c r="A16" s="458"/>
      <c r="B16" s="459"/>
      <c r="C16" s="462"/>
      <c r="D16" s="463"/>
      <c r="E16" s="452"/>
      <c r="F16" s="367">
        <f>F15*$E$27</f>
        <v>3052.8</v>
      </c>
      <c r="G16" s="368">
        <f>G15*$E$27</f>
        <v>424</v>
      </c>
      <c r="H16" s="368">
        <f>H15*$E$27</f>
        <v>424</v>
      </c>
      <c r="I16" s="368">
        <f>I15*$E$27</f>
        <v>318</v>
      </c>
      <c r="J16" s="368">
        <f t="shared" ref="J16:S16" si="14">J15*$E$27</f>
        <v>318</v>
      </c>
      <c r="K16" s="368">
        <f t="shared" si="14"/>
        <v>318</v>
      </c>
      <c r="L16" s="368">
        <f t="shared" si="14"/>
        <v>424</v>
      </c>
      <c r="M16" s="368">
        <f t="shared" si="14"/>
        <v>424</v>
      </c>
      <c r="N16" s="368">
        <f t="shared" si="14"/>
        <v>318</v>
      </c>
      <c r="O16" s="368">
        <f t="shared" si="14"/>
        <v>551.20000000000005</v>
      </c>
      <c r="P16" s="368">
        <f t="shared" si="14"/>
        <v>212</v>
      </c>
      <c r="Q16" s="368">
        <f t="shared" si="14"/>
        <v>339.2</v>
      </c>
      <c r="R16" s="368">
        <f t="shared" si="14"/>
        <v>212</v>
      </c>
      <c r="S16" s="369">
        <f t="shared" si="14"/>
        <v>212</v>
      </c>
    </row>
    <row r="17" spans="1:19">
      <c r="A17" s="448">
        <v>7</v>
      </c>
      <c r="B17" s="478" t="s">
        <v>123</v>
      </c>
      <c r="C17" s="450">
        <v>326030</v>
      </c>
      <c r="D17" s="456" t="s">
        <v>122</v>
      </c>
      <c r="E17" s="452">
        <v>2.83</v>
      </c>
      <c r="F17" s="263">
        <v>45</v>
      </c>
      <c r="G17" s="240">
        <v>0</v>
      </c>
      <c r="H17" s="240">
        <v>0</v>
      </c>
      <c r="I17" s="240">
        <v>15</v>
      </c>
      <c r="J17" s="240">
        <v>15</v>
      </c>
      <c r="K17" s="240">
        <v>0</v>
      </c>
      <c r="L17" s="240">
        <v>10</v>
      </c>
      <c r="M17" s="240">
        <v>0</v>
      </c>
      <c r="N17" s="240">
        <v>15</v>
      </c>
      <c r="O17" s="240">
        <v>10</v>
      </c>
      <c r="P17" s="240">
        <v>10</v>
      </c>
      <c r="Q17" s="240">
        <v>0</v>
      </c>
      <c r="R17" s="240">
        <v>0</v>
      </c>
      <c r="S17" s="253">
        <v>0</v>
      </c>
    </row>
    <row r="18" spans="1:19">
      <c r="A18" s="448"/>
      <c r="B18" s="478"/>
      <c r="C18" s="450"/>
      <c r="D18" s="456"/>
      <c r="E18" s="452"/>
      <c r="F18" s="366">
        <f>F17*$E$29</f>
        <v>954</v>
      </c>
      <c r="G18" s="243">
        <f t="shared" ref="G18:S18" si="15">G17*$E$29</f>
        <v>0</v>
      </c>
      <c r="H18" s="243">
        <f t="shared" si="15"/>
        <v>0</v>
      </c>
      <c r="I18" s="243">
        <f t="shared" si="15"/>
        <v>318</v>
      </c>
      <c r="J18" s="243">
        <f t="shared" si="15"/>
        <v>318</v>
      </c>
      <c r="K18" s="243">
        <f t="shared" si="15"/>
        <v>0</v>
      </c>
      <c r="L18" s="243">
        <f t="shared" si="15"/>
        <v>212</v>
      </c>
      <c r="M18" s="243">
        <f t="shared" si="15"/>
        <v>0</v>
      </c>
      <c r="N18" s="243">
        <f t="shared" si="15"/>
        <v>318</v>
      </c>
      <c r="O18" s="243">
        <f t="shared" si="15"/>
        <v>212</v>
      </c>
      <c r="P18" s="243">
        <f t="shared" si="15"/>
        <v>212</v>
      </c>
      <c r="Q18" s="243">
        <f t="shared" si="15"/>
        <v>0</v>
      </c>
      <c r="R18" s="243">
        <f t="shared" si="15"/>
        <v>0</v>
      </c>
      <c r="S18" s="255">
        <f t="shared" si="15"/>
        <v>0</v>
      </c>
    </row>
    <row r="19" spans="1:19">
      <c r="A19" s="458">
        <v>8</v>
      </c>
      <c r="B19" s="459" t="s">
        <v>124</v>
      </c>
      <c r="C19" s="462">
        <v>327150</v>
      </c>
      <c r="D19" s="463" t="s">
        <v>125</v>
      </c>
      <c r="E19" s="452">
        <v>8.94</v>
      </c>
      <c r="F19" s="259">
        <v>8</v>
      </c>
      <c r="G19" s="237">
        <v>2</v>
      </c>
      <c r="H19" s="237">
        <v>10</v>
      </c>
      <c r="I19" s="237">
        <v>2</v>
      </c>
      <c r="J19" s="237">
        <v>1</v>
      </c>
      <c r="K19" s="237">
        <v>9</v>
      </c>
      <c r="L19" s="237">
        <v>6</v>
      </c>
      <c r="M19" s="237">
        <v>3</v>
      </c>
      <c r="N19" s="237">
        <v>6</v>
      </c>
      <c r="O19" s="237">
        <v>14</v>
      </c>
      <c r="P19" s="237">
        <v>10</v>
      </c>
      <c r="Q19" s="237">
        <v>5</v>
      </c>
      <c r="R19" s="237">
        <v>10</v>
      </c>
      <c r="S19" s="249">
        <v>6</v>
      </c>
    </row>
    <row r="20" spans="1:19">
      <c r="A20" s="458"/>
      <c r="B20" s="459"/>
      <c r="C20" s="462"/>
      <c r="D20" s="463"/>
      <c r="E20" s="452"/>
      <c r="F20" s="367">
        <f>F19*$E$31</f>
        <v>169.6</v>
      </c>
      <c r="G20" s="368">
        <f>G19*$E$31</f>
        <v>42.4</v>
      </c>
      <c r="H20" s="368">
        <f>H19*$E$31</f>
        <v>212</v>
      </c>
      <c r="I20" s="368">
        <f>I19*$E$31</f>
        <v>42.4</v>
      </c>
      <c r="J20" s="368">
        <f t="shared" ref="J20:S20" si="16">J19*$E$31</f>
        <v>21.2</v>
      </c>
      <c r="K20" s="368">
        <f t="shared" si="16"/>
        <v>190.8</v>
      </c>
      <c r="L20" s="368">
        <f t="shared" si="16"/>
        <v>127.2</v>
      </c>
      <c r="M20" s="368">
        <f t="shared" si="16"/>
        <v>63.6</v>
      </c>
      <c r="N20" s="368">
        <f t="shared" si="16"/>
        <v>127.2</v>
      </c>
      <c r="O20" s="368">
        <f t="shared" si="16"/>
        <v>296.8</v>
      </c>
      <c r="P20" s="368">
        <f t="shared" si="16"/>
        <v>212</v>
      </c>
      <c r="Q20" s="368">
        <f t="shared" si="16"/>
        <v>106</v>
      </c>
      <c r="R20" s="368">
        <f t="shared" si="16"/>
        <v>212</v>
      </c>
      <c r="S20" s="369">
        <f t="shared" si="16"/>
        <v>127.2</v>
      </c>
    </row>
    <row r="21" spans="1:19">
      <c r="A21" s="448">
        <v>9</v>
      </c>
      <c r="B21" s="449" t="s">
        <v>126</v>
      </c>
      <c r="C21" s="455">
        <v>226698</v>
      </c>
      <c r="D21" s="456" t="s">
        <v>117</v>
      </c>
      <c r="E21" s="452">
        <v>13.72</v>
      </c>
      <c r="F21" s="260">
        <f>50/5</f>
        <v>10</v>
      </c>
      <c r="G21" s="236">
        <v>15</v>
      </c>
      <c r="H21" s="236">
        <v>4</v>
      </c>
      <c r="I21" s="236">
        <v>1</v>
      </c>
      <c r="J21" s="236">
        <v>1</v>
      </c>
      <c r="K21" s="236">
        <v>5</v>
      </c>
      <c r="L21" s="236">
        <v>4</v>
      </c>
      <c r="M21" s="236">
        <v>6</v>
      </c>
      <c r="N21" s="236">
        <v>4</v>
      </c>
      <c r="O21" s="236">
        <v>4</v>
      </c>
      <c r="P21" s="236">
        <v>15</v>
      </c>
      <c r="Q21" s="236">
        <v>3</v>
      </c>
      <c r="R21" s="236">
        <v>2</v>
      </c>
      <c r="S21" s="250">
        <v>1</v>
      </c>
    </row>
    <row r="22" spans="1:19">
      <c r="A22" s="448"/>
      <c r="B22" s="449"/>
      <c r="C22" s="455"/>
      <c r="D22" s="456"/>
      <c r="E22" s="452"/>
      <c r="F22" s="366">
        <f>F21*$E$33</f>
        <v>212</v>
      </c>
      <c r="G22" s="243">
        <f>G21*$E$33</f>
        <v>318</v>
      </c>
      <c r="H22" s="243">
        <f>H21*$E$33</f>
        <v>84.8</v>
      </c>
      <c r="I22" s="243">
        <f>I21*$E$33</f>
        <v>21.2</v>
      </c>
      <c r="J22" s="243">
        <f t="shared" ref="J22:S22" si="17">J21*$E$33</f>
        <v>21.2</v>
      </c>
      <c r="K22" s="243">
        <f t="shared" si="17"/>
        <v>106</v>
      </c>
      <c r="L22" s="243">
        <f t="shared" si="17"/>
        <v>84.8</v>
      </c>
      <c r="M22" s="243">
        <f t="shared" si="17"/>
        <v>127.2</v>
      </c>
      <c r="N22" s="243">
        <f t="shared" si="17"/>
        <v>84.8</v>
      </c>
      <c r="O22" s="243">
        <f t="shared" si="17"/>
        <v>84.8</v>
      </c>
      <c r="P22" s="243">
        <f t="shared" si="17"/>
        <v>318</v>
      </c>
      <c r="Q22" s="243">
        <f t="shared" si="17"/>
        <v>63.6</v>
      </c>
      <c r="R22" s="243">
        <f t="shared" si="17"/>
        <v>42.4</v>
      </c>
      <c r="S22" s="255">
        <f t="shared" si="17"/>
        <v>21.2</v>
      </c>
    </row>
    <row r="23" spans="1:19">
      <c r="A23" s="458">
        <v>10</v>
      </c>
      <c r="B23" s="460" t="s">
        <v>127</v>
      </c>
      <c r="C23" s="462">
        <v>419326</v>
      </c>
      <c r="D23" s="463" t="s">
        <v>122</v>
      </c>
      <c r="E23" s="452">
        <v>0.69</v>
      </c>
      <c r="F23" s="259">
        <v>20</v>
      </c>
      <c r="G23" s="237">
        <v>20</v>
      </c>
      <c r="H23" s="237">
        <v>10</v>
      </c>
      <c r="I23" s="237">
        <v>15</v>
      </c>
      <c r="J23" s="237">
        <v>3</v>
      </c>
      <c r="K23" s="237">
        <v>8</v>
      </c>
      <c r="L23" s="237">
        <v>10</v>
      </c>
      <c r="M23" s="237">
        <v>5</v>
      </c>
      <c r="N23" s="237">
        <v>5</v>
      </c>
      <c r="O23" s="237">
        <v>10</v>
      </c>
      <c r="P23" s="237">
        <v>20</v>
      </c>
      <c r="Q23" s="237">
        <v>10</v>
      </c>
      <c r="R23" s="237">
        <v>6</v>
      </c>
      <c r="S23" s="249">
        <v>10</v>
      </c>
    </row>
    <row r="24" spans="1:19">
      <c r="A24" s="458"/>
      <c r="B24" s="460"/>
      <c r="C24" s="462"/>
      <c r="D24" s="463"/>
      <c r="E24" s="452"/>
      <c r="F24" s="367">
        <f>F23*$E$23</f>
        <v>13.8</v>
      </c>
      <c r="G24" s="367">
        <f t="shared" ref="G24:S24" si="18">G23*$E$23</f>
        <v>13.8</v>
      </c>
      <c r="H24" s="367">
        <f t="shared" si="18"/>
        <v>6.9</v>
      </c>
      <c r="I24" s="367">
        <f t="shared" si="18"/>
        <v>10.35</v>
      </c>
      <c r="J24" s="367">
        <f t="shared" si="18"/>
        <v>2.0699999999999998</v>
      </c>
      <c r="K24" s="367">
        <f t="shared" si="18"/>
        <v>5.52</v>
      </c>
      <c r="L24" s="367">
        <f t="shared" si="18"/>
        <v>6.9</v>
      </c>
      <c r="M24" s="367">
        <f t="shared" si="18"/>
        <v>3.45</v>
      </c>
      <c r="N24" s="367">
        <f t="shared" si="18"/>
        <v>3.45</v>
      </c>
      <c r="O24" s="367">
        <f t="shared" si="18"/>
        <v>6.9</v>
      </c>
      <c r="P24" s="367">
        <f t="shared" si="18"/>
        <v>13.8</v>
      </c>
      <c r="Q24" s="367">
        <f t="shared" si="18"/>
        <v>6.9</v>
      </c>
      <c r="R24" s="367">
        <f t="shared" si="18"/>
        <v>4.1399999999999997</v>
      </c>
      <c r="S24" s="367">
        <f t="shared" si="18"/>
        <v>6.9</v>
      </c>
    </row>
    <row r="25" spans="1:19">
      <c r="A25" s="488">
        <v>11</v>
      </c>
      <c r="B25" s="449" t="s">
        <v>128</v>
      </c>
      <c r="C25" s="450">
        <v>397489</v>
      </c>
      <c r="D25" s="456" t="s">
        <v>122</v>
      </c>
      <c r="E25" s="452">
        <v>21.2</v>
      </c>
      <c r="F25" s="262">
        <v>2</v>
      </c>
      <c r="G25" s="239">
        <v>0</v>
      </c>
      <c r="H25" s="239">
        <v>0</v>
      </c>
      <c r="I25" s="239">
        <v>0</v>
      </c>
      <c r="J25" s="239">
        <v>1</v>
      </c>
      <c r="K25" s="239">
        <v>0</v>
      </c>
      <c r="L25" s="239">
        <v>0</v>
      </c>
      <c r="M25" s="239">
        <v>1</v>
      </c>
      <c r="N25" s="239">
        <v>0</v>
      </c>
      <c r="O25" s="239">
        <v>0</v>
      </c>
      <c r="P25" s="239">
        <v>0</v>
      </c>
      <c r="Q25" s="239">
        <v>0</v>
      </c>
      <c r="R25" s="239">
        <v>0</v>
      </c>
      <c r="S25" s="252">
        <v>0</v>
      </c>
    </row>
    <row r="26" spans="1:19">
      <c r="A26" s="488"/>
      <c r="B26" s="449"/>
      <c r="C26" s="450"/>
      <c r="D26" s="456"/>
      <c r="E26" s="452"/>
      <c r="F26" s="265">
        <f>F25*$E$25</f>
        <v>42.4</v>
      </c>
      <c r="G26" s="242">
        <f>G25*$E$25</f>
        <v>0</v>
      </c>
      <c r="H26" s="242">
        <f>H25*$E$25</f>
        <v>0</v>
      </c>
      <c r="I26" s="242">
        <f>I25*$E$25</f>
        <v>0</v>
      </c>
      <c r="J26" s="242">
        <f t="shared" ref="J26:K26" si="19">J25*$E$25</f>
        <v>21.2</v>
      </c>
      <c r="K26" s="242">
        <f t="shared" si="19"/>
        <v>0</v>
      </c>
      <c r="L26" s="242">
        <f t="shared" ref="L26:N26" si="20">L25*$E$25</f>
        <v>0</v>
      </c>
      <c r="M26" s="242">
        <f t="shared" si="20"/>
        <v>21.2</v>
      </c>
      <c r="N26" s="242">
        <f t="shared" si="20"/>
        <v>0</v>
      </c>
      <c r="O26" s="242">
        <f t="shared" ref="O26" si="21">O25*$E$25</f>
        <v>0</v>
      </c>
      <c r="P26" s="242">
        <f t="shared" ref="P26:S26" si="22">P25*$E$25</f>
        <v>0</v>
      </c>
      <c r="Q26" s="242">
        <f t="shared" si="22"/>
        <v>0</v>
      </c>
      <c r="R26" s="242">
        <f t="shared" si="22"/>
        <v>0</v>
      </c>
      <c r="S26" s="257">
        <f t="shared" si="22"/>
        <v>0</v>
      </c>
    </row>
    <row r="27" spans="1:19" ht="15" customHeight="1">
      <c r="A27" s="458">
        <v>12</v>
      </c>
      <c r="B27" s="485" t="s">
        <v>129</v>
      </c>
      <c r="C27" s="462">
        <v>397489</v>
      </c>
      <c r="D27" s="463" t="s">
        <v>122</v>
      </c>
      <c r="E27" s="452">
        <f>E25</f>
        <v>21.2</v>
      </c>
      <c r="F27" s="259">
        <v>2</v>
      </c>
      <c r="G27" s="237">
        <v>0</v>
      </c>
      <c r="H27" s="237">
        <v>0</v>
      </c>
      <c r="I27" s="237">
        <v>0</v>
      </c>
      <c r="J27" s="237">
        <v>0</v>
      </c>
      <c r="K27" s="237">
        <v>0</v>
      </c>
      <c r="L27" s="237">
        <v>0</v>
      </c>
      <c r="M27" s="237">
        <v>1</v>
      </c>
      <c r="N27" s="237">
        <v>0</v>
      </c>
      <c r="O27" s="237">
        <v>0</v>
      </c>
      <c r="P27" s="237">
        <v>2</v>
      </c>
      <c r="Q27" s="237">
        <v>0</v>
      </c>
      <c r="R27" s="237">
        <v>0</v>
      </c>
      <c r="S27" s="249">
        <v>0</v>
      </c>
    </row>
    <row r="28" spans="1:19">
      <c r="A28" s="458"/>
      <c r="B28" s="486"/>
      <c r="C28" s="462"/>
      <c r="D28" s="463"/>
      <c r="E28" s="452"/>
      <c r="F28" s="367">
        <f>F27*$E$27</f>
        <v>42.4</v>
      </c>
      <c r="G28" s="368">
        <f>G27*$E$27</f>
        <v>0</v>
      </c>
      <c r="H28" s="368">
        <f>H27*$E$27</f>
        <v>0</v>
      </c>
      <c r="I28" s="368">
        <f>I27*$E$27</f>
        <v>0</v>
      </c>
      <c r="J28" s="368">
        <f t="shared" ref="J28:K28" si="23">J27*$E$27</f>
        <v>0</v>
      </c>
      <c r="K28" s="368">
        <f t="shared" si="23"/>
        <v>0</v>
      </c>
      <c r="L28" s="368">
        <f t="shared" ref="L28:N28" si="24">L27*$E$27</f>
        <v>0</v>
      </c>
      <c r="M28" s="368">
        <f t="shared" si="24"/>
        <v>21.2</v>
      </c>
      <c r="N28" s="368">
        <f t="shared" si="24"/>
        <v>0</v>
      </c>
      <c r="O28" s="368">
        <f t="shared" ref="O28" si="25">O27*$E$27</f>
        <v>0</v>
      </c>
      <c r="P28" s="368">
        <f t="shared" ref="P28:S28" si="26">P27*$E$27</f>
        <v>42.4</v>
      </c>
      <c r="Q28" s="368">
        <f t="shared" si="26"/>
        <v>0</v>
      </c>
      <c r="R28" s="368">
        <f t="shared" si="26"/>
        <v>0</v>
      </c>
      <c r="S28" s="369">
        <f t="shared" si="26"/>
        <v>0</v>
      </c>
    </row>
    <row r="29" spans="1:19">
      <c r="A29" s="448">
        <v>13</v>
      </c>
      <c r="B29" s="478" t="s">
        <v>130</v>
      </c>
      <c r="C29" s="450">
        <v>397489</v>
      </c>
      <c r="D29" s="456" t="s">
        <v>122</v>
      </c>
      <c r="E29" s="452">
        <f>E27</f>
        <v>21.2</v>
      </c>
      <c r="F29" s="263">
        <v>2</v>
      </c>
      <c r="G29" s="240">
        <v>0</v>
      </c>
      <c r="H29" s="240">
        <v>0</v>
      </c>
      <c r="I29" s="240">
        <v>0</v>
      </c>
      <c r="J29" s="240">
        <v>0</v>
      </c>
      <c r="K29" s="240">
        <v>0</v>
      </c>
      <c r="L29" s="240">
        <v>0</v>
      </c>
      <c r="M29" s="240">
        <v>1</v>
      </c>
      <c r="N29" s="240">
        <v>0</v>
      </c>
      <c r="O29" s="240">
        <v>0</v>
      </c>
      <c r="P29" s="240">
        <v>2</v>
      </c>
      <c r="Q29" s="240">
        <v>0</v>
      </c>
      <c r="R29" s="240">
        <v>0</v>
      </c>
      <c r="S29" s="253">
        <v>0</v>
      </c>
    </row>
    <row r="30" spans="1:19">
      <c r="A30" s="448"/>
      <c r="B30" s="478"/>
      <c r="C30" s="450"/>
      <c r="D30" s="456"/>
      <c r="E30" s="452"/>
      <c r="F30" s="366">
        <f>F29*$E$29</f>
        <v>42.4</v>
      </c>
      <c r="G30" s="243">
        <f t="shared" ref="G30:S30" si="27">G29*$E$29</f>
        <v>0</v>
      </c>
      <c r="H30" s="243">
        <f t="shared" si="27"/>
        <v>0</v>
      </c>
      <c r="I30" s="243">
        <f t="shared" si="27"/>
        <v>0</v>
      </c>
      <c r="J30" s="243">
        <f t="shared" si="27"/>
        <v>0</v>
      </c>
      <c r="K30" s="243">
        <f t="shared" si="27"/>
        <v>0</v>
      </c>
      <c r="L30" s="243">
        <f t="shared" si="27"/>
        <v>0</v>
      </c>
      <c r="M30" s="243">
        <f t="shared" si="27"/>
        <v>21.2</v>
      </c>
      <c r="N30" s="243">
        <f t="shared" ref="N30:O30" si="28">N29*$E$29</f>
        <v>0</v>
      </c>
      <c r="O30" s="243">
        <f t="shared" si="28"/>
        <v>0</v>
      </c>
      <c r="P30" s="243">
        <f t="shared" si="27"/>
        <v>42.4</v>
      </c>
      <c r="Q30" s="243">
        <f t="shared" si="27"/>
        <v>0</v>
      </c>
      <c r="R30" s="243">
        <f t="shared" si="27"/>
        <v>0</v>
      </c>
      <c r="S30" s="255">
        <f t="shared" si="27"/>
        <v>0</v>
      </c>
    </row>
    <row r="31" spans="1:19">
      <c r="A31" s="458">
        <v>14</v>
      </c>
      <c r="B31" s="459" t="s">
        <v>131</v>
      </c>
      <c r="C31" s="467">
        <v>397489</v>
      </c>
      <c r="D31" s="463" t="s">
        <v>122</v>
      </c>
      <c r="E31" s="452">
        <f>E29</f>
        <v>21.2</v>
      </c>
      <c r="F31" s="259">
        <v>2</v>
      </c>
      <c r="G31" s="237">
        <v>0</v>
      </c>
      <c r="H31" s="237">
        <v>0</v>
      </c>
      <c r="I31" s="237">
        <v>0</v>
      </c>
      <c r="J31" s="237">
        <v>0</v>
      </c>
      <c r="K31" s="237">
        <v>0</v>
      </c>
      <c r="L31" s="237">
        <v>0</v>
      </c>
      <c r="M31" s="237">
        <v>1</v>
      </c>
      <c r="N31" s="237">
        <v>0</v>
      </c>
      <c r="O31" s="237">
        <v>0</v>
      </c>
      <c r="P31" s="237">
        <v>2</v>
      </c>
      <c r="Q31" s="237">
        <v>0</v>
      </c>
      <c r="R31" s="237">
        <v>0</v>
      </c>
      <c r="S31" s="249">
        <v>0</v>
      </c>
    </row>
    <row r="32" spans="1:19">
      <c r="A32" s="458"/>
      <c r="B32" s="459"/>
      <c r="C32" s="467"/>
      <c r="D32" s="463"/>
      <c r="E32" s="452"/>
      <c r="F32" s="367">
        <f>F31*$E$31</f>
        <v>42.4</v>
      </c>
      <c r="G32" s="368">
        <f>G31*$E$31</f>
        <v>0</v>
      </c>
      <c r="H32" s="368">
        <f>H31*$E$31</f>
        <v>0</v>
      </c>
      <c r="I32" s="368">
        <f>I31*$E$31</f>
        <v>0</v>
      </c>
      <c r="J32" s="368">
        <f t="shared" ref="J32:K32" si="29">J31*$E$31</f>
        <v>0</v>
      </c>
      <c r="K32" s="368">
        <f t="shared" si="29"/>
        <v>0</v>
      </c>
      <c r="L32" s="368">
        <f t="shared" ref="L32:N32" si="30">L31*$E$31</f>
        <v>0</v>
      </c>
      <c r="M32" s="368">
        <f t="shared" si="30"/>
        <v>21.2</v>
      </c>
      <c r="N32" s="368">
        <f t="shared" si="30"/>
        <v>0</v>
      </c>
      <c r="O32" s="368">
        <f t="shared" ref="O32" si="31">O31*$E$31</f>
        <v>0</v>
      </c>
      <c r="P32" s="368">
        <f t="shared" ref="P32:S32" si="32">P31*$E$31</f>
        <v>42.4</v>
      </c>
      <c r="Q32" s="368">
        <f t="shared" si="32"/>
        <v>0</v>
      </c>
      <c r="R32" s="368">
        <f t="shared" si="32"/>
        <v>0</v>
      </c>
      <c r="S32" s="369">
        <f t="shared" si="32"/>
        <v>0</v>
      </c>
    </row>
    <row r="33" spans="1:19">
      <c r="A33" s="448">
        <v>15</v>
      </c>
      <c r="B33" s="449" t="s">
        <v>132</v>
      </c>
      <c r="C33" s="455">
        <v>397489</v>
      </c>
      <c r="D33" s="456" t="s">
        <v>122</v>
      </c>
      <c r="E33" s="452">
        <f>E31</f>
        <v>21.2</v>
      </c>
      <c r="F33" s="260">
        <v>2</v>
      </c>
      <c r="G33" s="236">
        <v>0</v>
      </c>
      <c r="H33" s="236">
        <v>0</v>
      </c>
      <c r="I33" s="236">
        <v>0</v>
      </c>
      <c r="J33" s="236">
        <v>0</v>
      </c>
      <c r="K33" s="236">
        <v>0</v>
      </c>
      <c r="L33" s="236">
        <v>0</v>
      </c>
      <c r="M33" s="236">
        <v>1</v>
      </c>
      <c r="N33" s="236">
        <v>0</v>
      </c>
      <c r="O33" s="236">
        <v>0</v>
      </c>
      <c r="P33" s="236">
        <v>2</v>
      </c>
      <c r="Q33" s="236">
        <v>0</v>
      </c>
      <c r="R33" s="236">
        <v>0</v>
      </c>
      <c r="S33" s="250">
        <v>0</v>
      </c>
    </row>
    <row r="34" spans="1:19">
      <c r="A34" s="448"/>
      <c r="B34" s="449"/>
      <c r="C34" s="455"/>
      <c r="D34" s="456"/>
      <c r="E34" s="452"/>
      <c r="F34" s="366">
        <f>F33*$E$33</f>
        <v>42.4</v>
      </c>
      <c r="G34" s="243">
        <f>G33*$E$33</f>
        <v>0</v>
      </c>
      <c r="H34" s="243">
        <f>H33*$E$33</f>
        <v>0</v>
      </c>
      <c r="I34" s="243">
        <f>I33*$E$33</f>
        <v>0</v>
      </c>
      <c r="J34" s="243">
        <f t="shared" ref="J34:K34" si="33">J33*$E$33</f>
        <v>0</v>
      </c>
      <c r="K34" s="243">
        <f t="shared" si="33"/>
        <v>0</v>
      </c>
      <c r="L34" s="243">
        <f t="shared" ref="L34:N34" si="34">L33*$E$33</f>
        <v>0</v>
      </c>
      <c r="M34" s="243">
        <f t="shared" si="34"/>
        <v>21.2</v>
      </c>
      <c r="N34" s="243">
        <f t="shared" si="34"/>
        <v>0</v>
      </c>
      <c r="O34" s="243">
        <f t="shared" ref="O34" si="35">O33*$E$33</f>
        <v>0</v>
      </c>
      <c r="P34" s="243">
        <f t="shared" ref="P34:S34" si="36">P33*$E$33</f>
        <v>42.4</v>
      </c>
      <c r="Q34" s="243">
        <f t="shared" si="36"/>
        <v>0</v>
      </c>
      <c r="R34" s="243">
        <f t="shared" si="36"/>
        <v>0</v>
      </c>
      <c r="S34" s="255">
        <f t="shared" si="36"/>
        <v>0</v>
      </c>
    </row>
    <row r="35" spans="1:19">
      <c r="A35" s="458">
        <v>16</v>
      </c>
      <c r="B35" s="460" t="s">
        <v>133</v>
      </c>
      <c r="C35" s="462">
        <v>397489</v>
      </c>
      <c r="D35" s="463" t="s">
        <v>122</v>
      </c>
      <c r="E35" s="452">
        <f>E33</f>
        <v>21.2</v>
      </c>
      <c r="F35" s="259">
        <v>2</v>
      </c>
      <c r="G35" s="237">
        <v>0</v>
      </c>
      <c r="H35" s="237">
        <v>0</v>
      </c>
      <c r="I35" s="237">
        <v>0</v>
      </c>
      <c r="J35" s="237">
        <v>0</v>
      </c>
      <c r="K35" s="237">
        <v>0</v>
      </c>
      <c r="L35" s="237">
        <v>0</v>
      </c>
      <c r="M35" s="237">
        <v>1</v>
      </c>
      <c r="N35" s="237">
        <v>0</v>
      </c>
      <c r="O35" s="237">
        <v>0</v>
      </c>
      <c r="P35" s="237">
        <v>0</v>
      </c>
      <c r="Q35" s="237">
        <v>0</v>
      </c>
      <c r="R35" s="237">
        <v>0</v>
      </c>
      <c r="S35" s="249">
        <v>0</v>
      </c>
    </row>
    <row r="36" spans="1:19">
      <c r="A36" s="458"/>
      <c r="B36" s="460"/>
      <c r="C36" s="462"/>
      <c r="D36" s="463"/>
      <c r="E36" s="452"/>
      <c r="F36" s="367">
        <f t="shared" ref="F36:S36" si="37">F35*$E$35</f>
        <v>42.4</v>
      </c>
      <c r="G36" s="368">
        <f t="shared" si="37"/>
        <v>0</v>
      </c>
      <c r="H36" s="368">
        <f t="shared" si="37"/>
        <v>0</v>
      </c>
      <c r="I36" s="368">
        <f t="shared" si="37"/>
        <v>0</v>
      </c>
      <c r="J36" s="368">
        <f t="shared" si="37"/>
        <v>0</v>
      </c>
      <c r="K36" s="368">
        <f t="shared" si="37"/>
        <v>0</v>
      </c>
      <c r="L36" s="368">
        <f t="shared" si="37"/>
        <v>0</v>
      </c>
      <c r="M36" s="368">
        <f t="shared" si="37"/>
        <v>21.2</v>
      </c>
      <c r="N36" s="368">
        <f t="shared" si="37"/>
        <v>0</v>
      </c>
      <c r="O36" s="368">
        <f t="shared" si="37"/>
        <v>0</v>
      </c>
      <c r="P36" s="368">
        <f t="shared" si="37"/>
        <v>0</v>
      </c>
      <c r="Q36" s="368">
        <f t="shared" si="37"/>
        <v>0</v>
      </c>
      <c r="R36" s="368">
        <f t="shared" si="37"/>
        <v>0</v>
      </c>
      <c r="S36" s="369">
        <f t="shared" si="37"/>
        <v>0</v>
      </c>
    </row>
    <row r="37" spans="1:19">
      <c r="A37" s="448">
        <v>17</v>
      </c>
      <c r="B37" s="449" t="s">
        <v>134</v>
      </c>
      <c r="C37" s="455">
        <v>225907</v>
      </c>
      <c r="D37" s="456" t="s">
        <v>135</v>
      </c>
      <c r="E37" s="452">
        <v>1.45</v>
      </c>
      <c r="F37" s="260">
        <v>6</v>
      </c>
      <c r="G37" s="236">
        <v>3</v>
      </c>
      <c r="H37" s="236">
        <v>3</v>
      </c>
      <c r="I37" s="236">
        <v>2</v>
      </c>
      <c r="J37" s="236">
        <v>2</v>
      </c>
      <c r="K37" s="236">
        <v>2</v>
      </c>
      <c r="L37" s="236">
        <v>3</v>
      </c>
      <c r="M37" s="236">
        <v>1</v>
      </c>
      <c r="N37" s="236">
        <v>1</v>
      </c>
      <c r="O37" s="236">
        <v>3</v>
      </c>
      <c r="P37" s="236">
        <v>6</v>
      </c>
      <c r="Q37" s="236">
        <v>3</v>
      </c>
      <c r="R37" s="236">
        <v>3</v>
      </c>
      <c r="S37" s="250">
        <v>5</v>
      </c>
    </row>
    <row r="38" spans="1:19">
      <c r="A38" s="448"/>
      <c r="B38" s="449"/>
      <c r="C38" s="455"/>
      <c r="D38" s="456"/>
      <c r="E38" s="452"/>
      <c r="F38" s="366">
        <f>F37*$E$37</f>
        <v>8.6999999999999993</v>
      </c>
      <c r="G38" s="243">
        <f>G37*$E$37</f>
        <v>4.3499999999999996</v>
      </c>
      <c r="H38" s="243">
        <f>H37*$E$37</f>
        <v>4.3499999999999996</v>
      </c>
      <c r="I38" s="243">
        <f>I37*$E$37</f>
        <v>2.9</v>
      </c>
      <c r="J38" s="243">
        <f t="shared" ref="J38:K38" si="38">J37*$E$37</f>
        <v>2.9</v>
      </c>
      <c r="K38" s="243">
        <f t="shared" si="38"/>
        <v>2.9</v>
      </c>
      <c r="L38" s="243">
        <f t="shared" ref="L38:M38" si="39">L37*$E$37</f>
        <v>4.3499999999999996</v>
      </c>
      <c r="M38" s="243">
        <f t="shared" si="39"/>
        <v>1.45</v>
      </c>
      <c r="N38" s="243">
        <f t="shared" ref="N38:O38" si="40">N37*$E$37</f>
        <v>1.45</v>
      </c>
      <c r="O38" s="243">
        <f t="shared" si="40"/>
        <v>4.3499999999999996</v>
      </c>
      <c r="P38" s="243">
        <f t="shared" ref="P38:S38" si="41">P37*$E$37</f>
        <v>8.6999999999999993</v>
      </c>
      <c r="Q38" s="243">
        <f t="shared" si="41"/>
        <v>4.3499999999999996</v>
      </c>
      <c r="R38" s="243">
        <f t="shared" si="41"/>
        <v>4.3499999999999996</v>
      </c>
      <c r="S38" s="255">
        <f t="shared" si="41"/>
        <v>7.25</v>
      </c>
    </row>
    <row r="39" spans="1:19">
      <c r="A39" s="484">
        <v>18</v>
      </c>
      <c r="B39" s="459" t="s">
        <v>136</v>
      </c>
      <c r="C39" s="467">
        <v>277505</v>
      </c>
      <c r="D39" s="466" t="s">
        <v>135</v>
      </c>
      <c r="E39" s="452">
        <v>5.51</v>
      </c>
      <c r="F39" s="261">
        <v>2</v>
      </c>
      <c r="G39" s="238">
        <v>2</v>
      </c>
      <c r="H39" s="238">
        <v>0</v>
      </c>
      <c r="I39" s="238">
        <v>0</v>
      </c>
      <c r="J39" s="238">
        <v>2</v>
      </c>
      <c r="K39" s="238">
        <v>0</v>
      </c>
      <c r="L39" s="238">
        <v>5</v>
      </c>
      <c r="M39" s="238">
        <v>1</v>
      </c>
      <c r="N39" s="238">
        <v>0</v>
      </c>
      <c r="O39" s="238">
        <v>0</v>
      </c>
      <c r="P39" s="238">
        <v>10</v>
      </c>
      <c r="Q39" s="238">
        <v>1</v>
      </c>
      <c r="R39" s="238">
        <v>2</v>
      </c>
      <c r="S39" s="251">
        <v>1</v>
      </c>
    </row>
    <row r="40" spans="1:19">
      <c r="A40" s="484"/>
      <c r="B40" s="459"/>
      <c r="C40" s="467"/>
      <c r="D40" s="466"/>
      <c r="E40" s="452"/>
      <c r="F40" s="267">
        <f>F39*$E$39</f>
        <v>11.02</v>
      </c>
      <c r="G40" s="245">
        <f t="shared" ref="G40:S40" si="42">G39*$E$39</f>
        <v>11.02</v>
      </c>
      <c r="H40" s="245">
        <f t="shared" si="42"/>
        <v>0</v>
      </c>
      <c r="I40" s="245">
        <f t="shared" si="42"/>
        <v>0</v>
      </c>
      <c r="J40" s="245">
        <f t="shared" si="42"/>
        <v>11.02</v>
      </c>
      <c r="K40" s="245">
        <f t="shared" si="42"/>
        <v>0</v>
      </c>
      <c r="L40" s="245">
        <f t="shared" si="42"/>
        <v>27.55</v>
      </c>
      <c r="M40" s="245">
        <f t="shared" si="42"/>
        <v>5.51</v>
      </c>
      <c r="N40" s="245">
        <f t="shared" si="42"/>
        <v>0</v>
      </c>
      <c r="O40" s="245">
        <f t="shared" si="42"/>
        <v>0</v>
      </c>
      <c r="P40" s="245">
        <f t="shared" si="42"/>
        <v>55.1</v>
      </c>
      <c r="Q40" s="245">
        <f t="shared" si="42"/>
        <v>5.51</v>
      </c>
      <c r="R40" s="245">
        <f t="shared" si="42"/>
        <v>11.02</v>
      </c>
      <c r="S40" s="256">
        <f t="shared" si="42"/>
        <v>5.51</v>
      </c>
    </row>
    <row r="41" spans="1:19">
      <c r="A41" s="448">
        <v>19</v>
      </c>
      <c r="B41" s="453" t="s">
        <v>137</v>
      </c>
      <c r="C41" s="455">
        <v>420505</v>
      </c>
      <c r="D41" s="456" t="s">
        <v>122</v>
      </c>
      <c r="E41" s="452">
        <v>1.93</v>
      </c>
      <c r="F41" s="260">
        <v>20</v>
      </c>
      <c r="G41" s="236">
        <v>15</v>
      </c>
      <c r="H41" s="236">
        <v>20</v>
      </c>
      <c r="I41" s="236">
        <v>10</v>
      </c>
      <c r="J41" s="236">
        <v>5</v>
      </c>
      <c r="K41" s="236">
        <v>12</v>
      </c>
      <c r="L41" s="236">
        <v>10</v>
      </c>
      <c r="M41" s="236">
        <v>5</v>
      </c>
      <c r="N41" s="236">
        <v>10</v>
      </c>
      <c r="O41" s="236">
        <v>10</v>
      </c>
      <c r="P41" s="236">
        <v>15</v>
      </c>
      <c r="Q41" s="236">
        <v>10</v>
      </c>
      <c r="R41" s="236">
        <v>8</v>
      </c>
      <c r="S41" s="250">
        <v>5</v>
      </c>
    </row>
    <row r="42" spans="1:19">
      <c r="A42" s="448"/>
      <c r="B42" s="453"/>
      <c r="C42" s="455"/>
      <c r="D42" s="456"/>
      <c r="E42" s="452"/>
      <c r="F42" s="366">
        <f>F41*$E$41</f>
        <v>38.6</v>
      </c>
      <c r="G42" s="243">
        <f>G41*$E$41</f>
        <v>28.95</v>
      </c>
      <c r="H42" s="243">
        <f>H41*$E$41</f>
        <v>38.6</v>
      </c>
      <c r="I42" s="243">
        <f>I41*$E$41</f>
        <v>19.3</v>
      </c>
      <c r="J42" s="243">
        <f t="shared" ref="J42:K42" si="43">J41*$E$41</f>
        <v>9.65</v>
      </c>
      <c r="K42" s="243">
        <f t="shared" si="43"/>
        <v>23.16</v>
      </c>
      <c r="L42" s="243">
        <f t="shared" ref="L42:M42" si="44">L41*$E$41</f>
        <v>19.3</v>
      </c>
      <c r="M42" s="243">
        <f t="shared" si="44"/>
        <v>9.65</v>
      </c>
      <c r="N42" s="243">
        <f t="shared" ref="N42:O42" si="45">N41*$E$41</f>
        <v>19.3</v>
      </c>
      <c r="O42" s="243">
        <f t="shared" si="45"/>
        <v>19.3</v>
      </c>
      <c r="P42" s="243">
        <f t="shared" ref="P42:S42" si="46">P41*$E$41</f>
        <v>28.95</v>
      </c>
      <c r="Q42" s="243">
        <f t="shared" si="46"/>
        <v>19.3</v>
      </c>
      <c r="R42" s="243">
        <f t="shared" si="46"/>
        <v>15.44</v>
      </c>
      <c r="S42" s="255">
        <f t="shared" si="46"/>
        <v>9.65</v>
      </c>
    </row>
    <row r="43" spans="1:19">
      <c r="A43" s="458">
        <v>20</v>
      </c>
      <c r="B43" s="460" t="s">
        <v>138</v>
      </c>
      <c r="C43" s="462">
        <v>3646</v>
      </c>
      <c r="D43" s="463" t="s">
        <v>122</v>
      </c>
      <c r="E43" s="452">
        <v>10.96</v>
      </c>
      <c r="F43" s="259">
        <v>5</v>
      </c>
      <c r="G43" s="237">
        <v>2</v>
      </c>
      <c r="H43" s="237">
        <v>4</v>
      </c>
      <c r="I43" s="237">
        <v>2</v>
      </c>
      <c r="J43" s="237">
        <v>2</v>
      </c>
      <c r="K43" s="237">
        <v>5</v>
      </c>
      <c r="L43" s="237">
        <v>5</v>
      </c>
      <c r="M43" s="237">
        <v>2</v>
      </c>
      <c r="N43" s="237">
        <v>3</v>
      </c>
      <c r="O43" s="237">
        <v>2</v>
      </c>
      <c r="P43" s="237">
        <v>4</v>
      </c>
      <c r="Q43" s="237">
        <v>2</v>
      </c>
      <c r="R43" s="237">
        <v>2</v>
      </c>
      <c r="S43" s="249">
        <v>3</v>
      </c>
    </row>
    <row r="44" spans="1:19">
      <c r="A44" s="458"/>
      <c r="B44" s="460"/>
      <c r="C44" s="462"/>
      <c r="D44" s="463"/>
      <c r="E44" s="452"/>
      <c r="F44" s="367">
        <f t="shared" ref="F44:S44" si="47">F43*$E$43</f>
        <v>54.8</v>
      </c>
      <c r="G44" s="368">
        <f t="shared" si="47"/>
        <v>21.92</v>
      </c>
      <c r="H44" s="368">
        <f t="shared" si="47"/>
        <v>43.84</v>
      </c>
      <c r="I44" s="368">
        <f t="shared" si="47"/>
        <v>21.92</v>
      </c>
      <c r="J44" s="368">
        <f t="shared" si="47"/>
        <v>21.92</v>
      </c>
      <c r="K44" s="368">
        <f t="shared" si="47"/>
        <v>54.8</v>
      </c>
      <c r="L44" s="368">
        <f t="shared" si="47"/>
        <v>54.8</v>
      </c>
      <c r="M44" s="368">
        <f t="shared" si="47"/>
        <v>21.92</v>
      </c>
      <c r="N44" s="368">
        <f t="shared" si="47"/>
        <v>32.880000000000003</v>
      </c>
      <c r="O44" s="368">
        <f t="shared" si="47"/>
        <v>21.92</v>
      </c>
      <c r="P44" s="368">
        <f t="shared" si="47"/>
        <v>43.84</v>
      </c>
      <c r="Q44" s="368">
        <f t="shared" si="47"/>
        <v>21.92</v>
      </c>
      <c r="R44" s="368">
        <f t="shared" si="47"/>
        <v>21.92</v>
      </c>
      <c r="S44" s="369">
        <f t="shared" si="47"/>
        <v>32.880000000000003</v>
      </c>
    </row>
    <row r="45" spans="1:19">
      <c r="A45" s="448">
        <v>21</v>
      </c>
      <c r="B45" s="453" t="s">
        <v>139</v>
      </c>
      <c r="C45" s="455">
        <v>242252</v>
      </c>
      <c r="D45" s="456" t="s">
        <v>125</v>
      </c>
      <c r="E45" s="452">
        <v>3.43</v>
      </c>
      <c r="F45" s="260">
        <v>5</v>
      </c>
      <c r="G45" s="236">
        <v>5</v>
      </c>
      <c r="H45" s="236">
        <v>1</v>
      </c>
      <c r="I45" s="236">
        <v>1</v>
      </c>
      <c r="J45" s="236">
        <v>1</v>
      </c>
      <c r="K45" s="236">
        <v>1</v>
      </c>
      <c r="L45" s="236">
        <v>3</v>
      </c>
      <c r="M45" s="236">
        <v>1</v>
      </c>
      <c r="N45" s="236">
        <v>1</v>
      </c>
      <c r="O45" s="236">
        <v>3</v>
      </c>
      <c r="P45" s="236">
        <v>2</v>
      </c>
      <c r="Q45" s="236">
        <v>2</v>
      </c>
      <c r="R45" s="236">
        <v>2</v>
      </c>
      <c r="S45" s="250">
        <v>0</v>
      </c>
    </row>
    <row r="46" spans="1:19">
      <c r="A46" s="448"/>
      <c r="B46" s="453"/>
      <c r="C46" s="455"/>
      <c r="D46" s="456"/>
      <c r="E46" s="452"/>
      <c r="F46" s="366">
        <f t="shared" ref="F46:S46" si="48">F45*$E$45</f>
        <v>17.149999999999999</v>
      </c>
      <c r="G46" s="243">
        <f t="shared" si="48"/>
        <v>17.149999999999999</v>
      </c>
      <c r="H46" s="243">
        <f t="shared" si="48"/>
        <v>3.43</v>
      </c>
      <c r="I46" s="243">
        <f t="shared" si="48"/>
        <v>3.43</v>
      </c>
      <c r="J46" s="243">
        <f t="shared" si="48"/>
        <v>3.43</v>
      </c>
      <c r="K46" s="243">
        <f t="shared" si="48"/>
        <v>3.43</v>
      </c>
      <c r="L46" s="243">
        <f t="shared" si="48"/>
        <v>10.29</v>
      </c>
      <c r="M46" s="243">
        <f t="shared" si="48"/>
        <v>3.43</v>
      </c>
      <c r="N46" s="243">
        <f t="shared" si="48"/>
        <v>3.43</v>
      </c>
      <c r="O46" s="243">
        <f t="shared" si="48"/>
        <v>10.29</v>
      </c>
      <c r="P46" s="243">
        <f t="shared" si="48"/>
        <v>6.86</v>
      </c>
      <c r="Q46" s="243">
        <f t="shared" si="48"/>
        <v>6.86</v>
      </c>
      <c r="R46" s="243">
        <f t="shared" si="48"/>
        <v>6.86</v>
      </c>
      <c r="S46" s="255">
        <f t="shared" si="48"/>
        <v>0</v>
      </c>
    </row>
    <row r="47" spans="1:19">
      <c r="A47" s="458">
        <v>22</v>
      </c>
      <c r="B47" s="460" t="s">
        <v>140</v>
      </c>
      <c r="C47" s="462">
        <v>293351</v>
      </c>
      <c r="D47" s="463" t="s">
        <v>122</v>
      </c>
      <c r="E47" s="452">
        <v>2.62</v>
      </c>
      <c r="F47" s="259">
        <v>48</v>
      </c>
      <c r="G47" s="237">
        <v>3</v>
      </c>
      <c r="H47" s="237">
        <v>20</v>
      </c>
      <c r="I47" s="237">
        <v>5</v>
      </c>
      <c r="J47" s="237">
        <v>2</v>
      </c>
      <c r="K47" s="237">
        <v>5</v>
      </c>
      <c r="L47" s="237">
        <v>3</v>
      </c>
      <c r="M47" s="237">
        <v>10</v>
      </c>
      <c r="N47" s="237">
        <v>5</v>
      </c>
      <c r="O47" s="237">
        <v>8</v>
      </c>
      <c r="P47" s="237">
        <v>10</v>
      </c>
      <c r="Q47" s="237">
        <v>12</v>
      </c>
      <c r="R47" s="237">
        <v>5</v>
      </c>
      <c r="S47" s="249">
        <v>6</v>
      </c>
    </row>
    <row r="48" spans="1:19">
      <c r="A48" s="458"/>
      <c r="B48" s="460"/>
      <c r="C48" s="462"/>
      <c r="D48" s="463"/>
      <c r="E48" s="452"/>
      <c r="F48" s="367">
        <f t="shared" ref="F48:S48" si="49">F47*$E$47</f>
        <v>125.76</v>
      </c>
      <c r="G48" s="368">
        <f t="shared" si="49"/>
        <v>7.86</v>
      </c>
      <c r="H48" s="368">
        <f t="shared" si="49"/>
        <v>52.4</v>
      </c>
      <c r="I48" s="368">
        <f t="shared" si="49"/>
        <v>13.1</v>
      </c>
      <c r="J48" s="368">
        <f t="shared" si="49"/>
        <v>5.24</v>
      </c>
      <c r="K48" s="368">
        <f t="shared" si="49"/>
        <v>13.1</v>
      </c>
      <c r="L48" s="368">
        <f t="shared" si="49"/>
        <v>7.86</v>
      </c>
      <c r="M48" s="368">
        <f t="shared" si="49"/>
        <v>26.2</v>
      </c>
      <c r="N48" s="368">
        <f t="shared" si="49"/>
        <v>13.1</v>
      </c>
      <c r="O48" s="368">
        <f t="shared" si="49"/>
        <v>20.96</v>
      </c>
      <c r="P48" s="368">
        <f t="shared" si="49"/>
        <v>26.2</v>
      </c>
      <c r="Q48" s="368">
        <f t="shared" si="49"/>
        <v>31.44</v>
      </c>
      <c r="R48" s="368">
        <f t="shared" si="49"/>
        <v>13.1</v>
      </c>
      <c r="S48" s="369">
        <f t="shared" si="49"/>
        <v>15.72</v>
      </c>
    </row>
    <row r="49" spans="1:19">
      <c r="A49" s="448">
        <v>23</v>
      </c>
      <c r="B49" s="453" t="s">
        <v>141</v>
      </c>
      <c r="C49" s="455">
        <v>226950</v>
      </c>
      <c r="D49" s="456" t="s">
        <v>125</v>
      </c>
      <c r="E49" s="452">
        <v>3.01</v>
      </c>
      <c r="F49" s="260">
        <v>20</v>
      </c>
      <c r="G49" s="236">
        <v>2</v>
      </c>
      <c r="H49" s="236">
        <v>5</v>
      </c>
      <c r="I49" s="236">
        <v>6</v>
      </c>
      <c r="J49" s="236">
        <v>3</v>
      </c>
      <c r="K49" s="236">
        <v>2</v>
      </c>
      <c r="L49" s="236">
        <v>4</v>
      </c>
      <c r="M49" s="236">
        <v>0</v>
      </c>
      <c r="N49" s="236">
        <v>1</v>
      </c>
      <c r="O49" s="236">
        <v>4</v>
      </c>
      <c r="P49" s="236">
        <v>5</v>
      </c>
      <c r="Q49" s="236">
        <v>6</v>
      </c>
      <c r="R49" s="236">
        <v>6</v>
      </c>
      <c r="S49" s="250">
        <v>0</v>
      </c>
    </row>
    <row r="50" spans="1:19">
      <c r="A50" s="448"/>
      <c r="B50" s="453"/>
      <c r="C50" s="455"/>
      <c r="D50" s="456"/>
      <c r="E50" s="452"/>
      <c r="F50" s="366">
        <f t="shared" ref="F50:S50" si="50">F49*$E$49</f>
        <v>60.2</v>
      </c>
      <c r="G50" s="243">
        <f t="shared" si="50"/>
        <v>6.02</v>
      </c>
      <c r="H50" s="243">
        <f t="shared" si="50"/>
        <v>15.05</v>
      </c>
      <c r="I50" s="243">
        <f t="shared" si="50"/>
        <v>18.059999999999999</v>
      </c>
      <c r="J50" s="243">
        <f t="shared" si="50"/>
        <v>9.0299999999999994</v>
      </c>
      <c r="K50" s="243">
        <f t="shared" si="50"/>
        <v>6.02</v>
      </c>
      <c r="L50" s="243">
        <f t="shared" si="50"/>
        <v>12.04</v>
      </c>
      <c r="M50" s="243">
        <f t="shared" si="50"/>
        <v>0</v>
      </c>
      <c r="N50" s="243">
        <f t="shared" si="50"/>
        <v>3.01</v>
      </c>
      <c r="O50" s="243">
        <f t="shared" si="50"/>
        <v>12.04</v>
      </c>
      <c r="P50" s="243">
        <f t="shared" si="50"/>
        <v>15.05</v>
      </c>
      <c r="Q50" s="243">
        <f t="shared" si="50"/>
        <v>18.059999999999999</v>
      </c>
      <c r="R50" s="243">
        <f t="shared" si="50"/>
        <v>18.059999999999999</v>
      </c>
      <c r="S50" s="255">
        <f t="shared" si="50"/>
        <v>0</v>
      </c>
    </row>
    <row r="51" spans="1:19">
      <c r="A51" s="458">
        <v>24</v>
      </c>
      <c r="B51" s="460" t="s">
        <v>142</v>
      </c>
      <c r="C51" s="462">
        <v>347886</v>
      </c>
      <c r="D51" s="463" t="s">
        <v>135</v>
      </c>
      <c r="E51" s="452">
        <v>30.02</v>
      </c>
      <c r="F51" s="259">
        <v>2</v>
      </c>
      <c r="G51" s="237">
        <v>1</v>
      </c>
      <c r="H51" s="237">
        <v>0</v>
      </c>
      <c r="I51" s="237">
        <v>0</v>
      </c>
      <c r="J51" s="237">
        <v>0</v>
      </c>
      <c r="K51" s="237">
        <v>0</v>
      </c>
      <c r="L51" s="237">
        <v>0</v>
      </c>
      <c r="M51" s="237">
        <v>1</v>
      </c>
      <c r="N51" s="237">
        <v>0</v>
      </c>
      <c r="O51" s="237">
        <v>0</v>
      </c>
      <c r="P51" s="237">
        <v>0</v>
      </c>
      <c r="Q51" s="237">
        <v>1</v>
      </c>
      <c r="R51" s="237">
        <v>1</v>
      </c>
      <c r="S51" s="249">
        <v>1</v>
      </c>
    </row>
    <row r="52" spans="1:19">
      <c r="A52" s="458"/>
      <c r="B52" s="461"/>
      <c r="C52" s="462"/>
      <c r="D52" s="463"/>
      <c r="E52" s="452"/>
      <c r="F52" s="367">
        <f>F51*$E$51</f>
        <v>60.04</v>
      </c>
      <c r="G52" s="368">
        <f>G51*$E$51</f>
        <v>30.02</v>
      </c>
      <c r="H52" s="368">
        <f t="shared" ref="H52:S52" si="51">H51*$E$51</f>
        <v>0</v>
      </c>
      <c r="I52" s="368">
        <f t="shared" si="51"/>
        <v>0</v>
      </c>
      <c r="J52" s="368">
        <f t="shared" si="51"/>
        <v>0</v>
      </c>
      <c r="K52" s="368">
        <f t="shared" si="51"/>
        <v>0</v>
      </c>
      <c r="L52" s="368">
        <f t="shared" si="51"/>
        <v>0</v>
      </c>
      <c r="M52" s="368">
        <f t="shared" si="51"/>
        <v>30.02</v>
      </c>
      <c r="N52" s="368">
        <f t="shared" si="51"/>
        <v>0</v>
      </c>
      <c r="O52" s="368">
        <f t="shared" si="51"/>
        <v>0</v>
      </c>
      <c r="P52" s="368">
        <f t="shared" si="51"/>
        <v>0</v>
      </c>
      <c r="Q52" s="368">
        <f t="shared" si="51"/>
        <v>30.02</v>
      </c>
      <c r="R52" s="368">
        <f t="shared" si="51"/>
        <v>30.02</v>
      </c>
      <c r="S52" s="369">
        <f t="shared" si="51"/>
        <v>30.02</v>
      </c>
    </row>
    <row r="53" spans="1:19">
      <c r="A53" s="448">
        <v>25</v>
      </c>
      <c r="B53" s="453" t="s">
        <v>143</v>
      </c>
      <c r="C53" s="455">
        <v>449786</v>
      </c>
      <c r="D53" s="456" t="s">
        <v>122</v>
      </c>
      <c r="E53" s="452">
        <v>3.63</v>
      </c>
      <c r="F53" s="260">
        <v>20</v>
      </c>
      <c r="G53" s="236">
        <v>10</v>
      </c>
      <c r="H53" s="236">
        <v>6</v>
      </c>
      <c r="I53" s="236">
        <v>2</v>
      </c>
      <c r="J53" s="236">
        <v>3</v>
      </c>
      <c r="K53" s="236">
        <v>6</v>
      </c>
      <c r="L53" s="236">
        <v>6</v>
      </c>
      <c r="M53" s="236">
        <v>8</v>
      </c>
      <c r="N53" s="236">
        <v>6</v>
      </c>
      <c r="O53" s="236">
        <v>6</v>
      </c>
      <c r="P53" s="236">
        <v>20</v>
      </c>
      <c r="Q53" s="236">
        <v>4</v>
      </c>
      <c r="R53" s="236">
        <v>7</v>
      </c>
      <c r="S53" s="250">
        <v>5</v>
      </c>
    </row>
    <row r="54" spans="1:19">
      <c r="A54" s="448"/>
      <c r="B54" s="454"/>
      <c r="C54" s="455"/>
      <c r="D54" s="456"/>
      <c r="E54" s="452"/>
      <c r="F54" s="366">
        <f>F53*$E$53</f>
        <v>72.599999999999994</v>
      </c>
      <c r="G54" s="243">
        <f>G53*$E$53</f>
        <v>36.299999999999997</v>
      </c>
      <c r="H54" s="243">
        <f t="shared" ref="H54:S54" si="52">H53*$E$53</f>
        <v>21.78</v>
      </c>
      <c r="I54" s="243">
        <f t="shared" si="52"/>
        <v>7.26</v>
      </c>
      <c r="J54" s="243">
        <f t="shared" si="52"/>
        <v>10.89</v>
      </c>
      <c r="K54" s="243">
        <f t="shared" si="52"/>
        <v>21.78</v>
      </c>
      <c r="L54" s="243">
        <f t="shared" si="52"/>
        <v>21.78</v>
      </c>
      <c r="M54" s="243">
        <f t="shared" si="52"/>
        <v>29.04</v>
      </c>
      <c r="N54" s="243">
        <f t="shared" si="52"/>
        <v>21.78</v>
      </c>
      <c r="O54" s="243">
        <f t="shared" si="52"/>
        <v>21.78</v>
      </c>
      <c r="P54" s="243">
        <f t="shared" si="52"/>
        <v>72.599999999999994</v>
      </c>
      <c r="Q54" s="243">
        <f t="shared" si="52"/>
        <v>14.52</v>
      </c>
      <c r="R54" s="243">
        <f t="shared" si="52"/>
        <v>25.41</v>
      </c>
      <c r="S54" s="255">
        <f t="shared" si="52"/>
        <v>18.149999999999999</v>
      </c>
    </row>
    <row r="55" spans="1:19">
      <c r="A55" s="458">
        <v>26</v>
      </c>
      <c r="B55" s="460" t="s">
        <v>144</v>
      </c>
      <c r="C55" s="462">
        <v>357462</v>
      </c>
      <c r="D55" s="463" t="s">
        <v>122</v>
      </c>
      <c r="E55" s="452">
        <v>3.71</v>
      </c>
      <c r="F55" s="259">
        <v>20</v>
      </c>
      <c r="G55" s="237">
        <v>10</v>
      </c>
      <c r="H55" s="237">
        <v>0</v>
      </c>
      <c r="I55" s="237">
        <v>0</v>
      </c>
      <c r="J55" s="237">
        <v>2</v>
      </c>
      <c r="K55" s="237">
        <v>2</v>
      </c>
      <c r="L55" s="237">
        <v>6</v>
      </c>
      <c r="M55" s="237">
        <v>3</v>
      </c>
      <c r="N55" s="237">
        <v>1</v>
      </c>
      <c r="O55" s="237">
        <v>6</v>
      </c>
      <c r="P55" s="237">
        <v>5</v>
      </c>
      <c r="Q55" s="237">
        <v>6</v>
      </c>
      <c r="R55" s="237">
        <v>4</v>
      </c>
      <c r="S55" s="249">
        <v>6</v>
      </c>
    </row>
    <row r="56" spans="1:19">
      <c r="A56" s="458"/>
      <c r="B56" s="461"/>
      <c r="C56" s="462"/>
      <c r="D56" s="463"/>
      <c r="E56" s="452"/>
      <c r="F56" s="367">
        <f>F55*$E$55</f>
        <v>74.2</v>
      </c>
      <c r="G56" s="368">
        <f>G55*$E$55</f>
        <v>37.1</v>
      </c>
      <c r="H56" s="368">
        <f t="shared" ref="H56:S56" si="53">H55*$E$55</f>
        <v>0</v>
      </c>
      <c r="I56" s="368">
        <f t="shared" si="53"/>
        <v>0</v>
      </c>
      <c r="J56" s="368">
        <f t="shared" si="53"/>
        <v>7.42</v>
      </c>
      <c r="K56" s="368">
        <f t="shared" si="53"/>
        <v>7.42</v>
      </c>
      <c r="L56" s="368">
        <f t="shared" si="53"/>
        <v>22.26</v>
      </c>
      <c r="M56" s="368">
        <f t="shared" si="53"/>
        <v>11.13</v>
      </c>
      <c r="N56" s="368">
        <f t="shared" si="53"/>
        <v>3.71</v>
      </c>
      <c r="O56" s="368">
        <f t="shared" si="53"/>
        <v>22.26</v>
      </c>
      <c r="P56" s="368">
        <f t="shared" si="53"/>
        <v>18.55</v>
      </c>
      <c r="Q56" s="368">
        <f t="shared" si="53"/>
        <v>22.26</v>
      </c>
      <c r="R56" s="368">
        <f t="shared" si="53"/>
        <v>14.84</v>
      </c>
      <c r="S56" s="369">
        <f t="shared" si="53"/>
        <v>22.26</v>
      </c>
    </row>
    <row r="57" spans="1:19">
      <c r="A57" s="448">
        <v>27</v>
      </c>
      <c r="B57" s="453" t="s">
        <v>145</v>
      </c>
      <c r="C57" s="455">
        <v>224638</v>
      </c>
      <c r="D57" s="456" t="s">
        <v>122</v>
      </c>
      <c r="E57" s="452">
        <v>1.9</v>
      </c>
      <c r="F57" s="260">
        <f>20*15</f>
        <v>300</v>
      </c>
      <c r="G57" s="236">
        <f>15*15</f>
        <v>225</v>
      </c>
      <c r="H57" s="236">
        <f>10*15</f>
        <v>150</v>
      </c>
      <c r="I57" s="236">
        <f>4*15</f>
        <v>60</v>
      </c>
      <c r="J57" s="236">
        <f>4*15</f>
        <v>60</v>
      </c>
      <c r="K57" s="236">
        <f>3*15</f>
        <v>45</v>
      </c>
      <c r="L57" s="236">
        <f>10*15</f>
        <v>150</v>
      </c>
      <c r="M57" s="236">
        <f>8*15</f>
        <v>120</v>
      </c>
      <c r="N57" s="236">
        <f>4*15</f>
        <v>60</v>
      </c>
      <c r="O57" s="236">
        <f>10*15</f>
        <v>150</v>
      </c>
      <c r="P57" s="236">
        <f>5*15</f>
        <v>75</v>
      </c>
      <c r="Q57" s="236">
        <f>4*15</f>
        <v>60</v>
      </c>
      <c r="R57" s="236">
        <f>4*15</f>
        <v>60</v>
      </c>
      <c r="S57" s="250">
        <f>10*15</f>
        <v>150</v>
      </c>
    </row>
    <row r="58" spans="1:19">
      <c r="A58" s="448"/>
      <c r="B58" s="454"/>
      <c r="C58" s="455"/>
      <c r="D58" s="456"/>
      <c r="E58" s="452"/>
      <c r="F58" s="366">
        <f>F57*$E$57</f>
        <v>570</v>
      </c>
      <c r="G58" s="243">
        <f>G57*$E$57</f>
        <v>427.5</v>
      </c>
      <c r="H58" s="243">
        <f t="shared" ref="H58:S58" si="54">H57*$E$57</f>
        <v>285</v>
      </c>
      <c r="I58" s="243">
        <f t="shared" si="54"/>
        <v>114</v>
      </c>
      <c r="J58" s="243">
        <f t="shared" si="54"/>
        <v>114</v>
      </c>
      <c r="K58" s="243">
        <f t="shared" si="54"/>
        <v>85.5</v>
      </c>
      <c r="L58" s="243">
        <f t="shared" si="54"/>
        <v>285</v>
      </c>
      <c r="M58" s="243">
        <f t="shared" si="54"/>
        <v>228</v>
      </c>
      <c r="N58" s="243">
        <f t="shared" si="54"/>
        <v>114</v>
      </c>
      <c r="O58" s="243">
        <f t="shared" si="54"/>
        <v>285</v>
      </c>
      <c r="P58" s="243">
        <f t="shared" si="54"/>
        <v>142.5</v>
      </c>
      <c r="Q58" s="243">
        <f t="shared" si="54"/>
        <v>114</v>
      </c>
      <c r="R58" s="243">
        <f t="shared" si="54"/>
        <v>114</v>
      </c>
      <c r="S58" s="255">
        <f t="shared" si="54"/>
        <v>285</v>
      </c>
    </row>
    <row r="59" spans="1:19">
      <c r="A59" s="458">
        <v>28</v>
      </c>
      <c r="B59" s="460" t="s">
        <v>146</v>
      </c>
      <c r="C59" s="462">
        <v>233648</v>
      </c>
      <c r="D59" s="463" t="s">
        <v>122</v>
      </c>
      <c r="E59" s="452">
        <v>5.74</v>
      </c>
      <c r="F59" s="264">
        <f>2*12</f>
        <v>24</v>
      </c>
      <c r="G59" s="241">
        <v>0</v>
      </c>
      <c r="H59" s="241">
        <v>0</v>
      </c>
      <c r="I59" s="241">
        <v>0</v>
      </c>
      <c r="J59" s="241">
        <v>0</v>
      </c>
      <c r="K59" s="241">
        <v>0</v>
      </c>
      <c r="L59" s="241">
        <v>0</v>
      </c>
      <c r="M59" s="241">
        <f>1*12</f>
        <v>12</v>
      </c>
      <c r="N59" s="241">
        <v>0</v>
      </c>
      <c r="O59" s="241">
        <v>0</v>
      </c>
      <c r="P59" s="241">
        <v>0</v>
      </c>
      <c r="Q59" s="241">
        <v>0</v>
      </c>
      <c r="R59" s="241">
        <v>0</v>
      </c>
      <c r="S59" s="254">
        <v>0</v>
      </c>
    </row>
    <row r="60" spans="1:19">
      <c r="A60" s="458"/>
      <c r="B60" s="461"/>
      <c r="C60" s="462"/>
      <c r="D60" s="463"/>
      <c r="E60" s="452"/>
      <c r="F60" s="367">
        <f>F59*$E$59</f>
        <v>137.76</v>
      </c>
      <c r="G60" s="368">
        <f>G59*$E$59</f>
        <v>0</v>
      </c>
      <c r="H60" s="368">
        <f t="shared" ref="H60:S60" si="55">H59*$E$59</f>
        <v>0</v>
      </c>
      <c r="I60" s="368">
        <f t="shared" si="55"/>
        <v>0</v>
      </c>
      <c r="J60" s="368">
        <f t="shared" si="55"/>
        <v>0</v>
      </c>
      <c r="K60" s="368">
        <f t="shared" si="55"/>
        <v>0</v>
      </c>
      <c r="L60" s="368">
        <f t="shared" si="55"/>
        <v>0</v>
      </c>
      <c r="M60" s="368">
        <f t="shared" si="55"/>
        <v>68.88</v>
      </c>
      <c r="N60" s="368">
        <f t="shared" si="55"/>
        <v>0</v>
      </c>
      <c r="O60" s="368">
        <f t="shared" si="55"/>
        <v>0</v>
      </c>
      <c r="P60" s="368">
        <f t="shared" si="55"/>
        <v>0</v>
      </c>
      <c r="Q60" s="368">
        <f t="shared" si="55"/>
        <v>0</v>
      </c>
      <c r="R60" s="368">
        <f t="shared" si="55"/>
        <v>0</v>
      </c>
      <c r="S60" s="369">
        <f t="shared" si="55"/>
        <v>0</v>
      </c>
    </row>
    <row r="61" spans="1:19">
      <c r="A61" s="448">
        <v>29</v>
      </c>
      <c r="B61" s="453" t="s">
        <v>147</v>
      </c>
      <c r="C61" s="455">
        <v>436328</v>
      </c>
      <c r="D61" s="456" t="s">
        <v>148</v>
      </c>
      <c r="E61" s="452">
        <v>10.32</v>
      </c>
      <c r="F61" s="260">
        <v>110</v>
      </c>
      <c r="G61" s="236">
        <v>30</v>
      </c>
      <c r="H61" s="236">
        <v>40</v>
      </c>
      <c r="I61" s="236">
        <v>25</v>
      </c>
      <c r="J61" s="236">
        <v>10</v>
      </c>
      <c r="K61" s="236">
        <v>30</v>
      </c>
      <c r="L61" s="236">
        <v>25</v>
      </c>
      <c r="M61" s="236">
        <v>25</v>
      </c>
      <c r="N61" s="236">
        <v>30</v>
      </c>
      <c r="O61" s="236">
        <v>25</v>
      </c>
      <c r="P61" s="236">
        <v>30</v>
      </c>
      <c r="Q61" s="236">
        <v>30</v>
      </c>
      <c r="R61" s="236">
        <v>15</v>
      </c>
      <c r="S61" s="250">
        <v>15</v>
      </c>
    </row>
    <row r="62" spans="1:19">
      <c r="A62" s="448"/>
      <c r="B62" s="454"/>
      <c r="C62" s="455"/>
      <c r="D62" s="457"/>
      <c r="E62" s="452"/>
      <c r="F62" s="366">
        <f>F61*$E$61</f>
        <v>1135.2</v>
      </c>
      <c r="G62" s="243">
        <f t="shared" ref="G62:S62" si="56">G61*$E$61</f>
        <v>309.60000000000002</v>
      </c>
      <c r="H62" s="243">
        <f t="shared" si="56"/>
        <v>412.8</v>
      </c>
      <c r="I62" s="243">
        <f t="shared" si="56"/>
        <v>258</v>
      </c>
      <c r="J62" s="243">
        <f t="shared" si="56"/>
        <v>103.2</v>
      </c>
      <c r="K62" s="243">
        <f t="shared" si="56"/>
        <v>309.60000000000002</v>
      </c>
      <c r="L62" s="243">
        <f t="shared" si="56"/>
        <v>258</v>
      </c>
      <c r="M62" s="243">
        <f t="shared" si="56"/>
        <v>258</v>
      </c>
      <c r="N62" s="243">
        <f t="shared" si="56"/>
        <v>309.60000000000002</v>
      </c>
      <c r="O62" s="243">
        <f t="shared" si="56"/>
        <v>258</v>
      </c>
      <c r="P62" s="243">
        <f t="shared" si="56"/>
        <v>309.60000000000002</v>
      </c>
      <c r="Q62" s="243">
        <f t="shared" si="56"/>
        <v>309.60000000000002</v>
      </c>
      <c r="R62" s="243">
        <f t="shared" si="56"/>
        <v>154.80000000000001</v>
      </c>
      <c r="S62" s="255">
        <f t="shared" si="56"/>
        <v>154.80000000000001</v>
      </c>
    </row>
    <row r="63" spans="1:19">
      <c r="A63" s="458">
        <v>30</v>
      </c>
      <c r="B63" s="460" t="s">
        <v>149</v>
      </c>
      <c r="C63" s="462">
        <v>374443</v>
      </c>
      <c r="D63" s="463" t="s">
        <v>150</v>
      </c>
      <c r="E63" s="452">
        <v>46.85</v>
      </c>
      <c r="F63" s="259">
        <v>12</v>
      </c>
      <c r="G63" s="237">
        <v>0</v>
      </c>
      <c r="H63" s="237">
        <v>0</v>
      </c>
      <c r="I63" s="237">
        <v>0</v>
      </c>
      <c r="J63" s="237">
        <v>0</v>
      </c>
      <c r="K63" s="237">
        <v>1</v>
      </c>
      <c r="L63" s="237">
        <v>0</v>
      </c>
      <c r="M63" s="237">
        <v>1</v>
      </c>
      <c r="N63" s="237">
        <v>0</v>
      </c>
      <c r="O63" s="237">
        <v>0</v>
      </c>
      <c r="P63" s="237">
        <v>0</v>
      </c>
      <c r="Q63" s="237">
        <v>0</v>
      </c>
      <c r="R63" s="237">
        <v>0</v>
      </c>
      <c r="S63" s="249">
        <v>0</v>
      </c>
    </row>
    <row r="64" spans="1:19">
      <c r="A64" s="458"/>
      <c r="B64" s="461"/>
      <c r="C64" s="462"/>
      <c r="D64" s="464"/>
      <c r="E64" s="452"/>
      <c r="F64" s="367">
        <f>F63*$E$63</f>
        <v>562.20000000000005</v>
      </c>
      <c r="G64" s="368">
        <f t="shared" ref="G64:S64" si="57">G63*$E$63</f>
        <v>0</v>
      </c>
      <c r="H64" s="368">
        <f t="shared" si="57"/>
        <v>0</v>
      </c>
      <c r="I64" s="368">
        <f t="shared" si="57"/>
        <v>0</v>
      </c>
      <c r="J64" s="368">
        <f t="shared" si="57"/>
        <v>0</v>
      </c>
      <c r="K64" s="368">
        <f t="shared" si="57"/>
        <v>46.85</v>
      </c>
      <c r="L64" s="368">
        <f t="shared" si="57"/>
        <v>0</v>
      </c>
      <c r="M64" s="368">
        <f t="shared" si="57"/>
        <v>46.85</v>
      </c>
      <c r="N64" s="368">
        <f t="shared" si="57"/>
        <v>0</v>
      </c>
      <c r="O64" s="368">
        <f t="shared" si="57"/>
        <v>0</v>
      </c>
      <c r="P64" s="368">
        <f t="shared" si="57"/>
        <v>0</v>
      </c>
      <c r="Q64" s="368">
        <f t="shared" si="57"/>
        <v>0</v>
      </c>
      <c r="R64" s="368">
        <f t="shared" si="57"/>
        <v>0</v>
      </c>
      <c r="S64" s="369">
        <f t="shared" si="57"/>
        <v>0</v>
      </c>
    </row>
    <row r="65" spans="1:19">
      <c r="A65" s="448">
        <v>31</v>
      </c>
      <c r="B65" s="449" t="s">
        <v>151</v>
      </c>
      <c r="C65" s="450">
        <v>397370</v>
      </c>
      <c r="D65" s="451" t="s">
        <v>125</v>
      </c>
      <c r="E65" s="452">
        <v>3.48</v>
      </c>
      <c r="F65" s="262">
        <v>6</v>
      </c>
      <c r="G65" s="239">
        <v>1</v>
      </c>
      <c r="H65" s="236">
        <v>4</v>
      </c>
      <c r="I65" s="236">
        <v>0</v>
      </c>
      <c r="J65" s="236">
        <v>0</v>
      </c>
      <c r="K65" s="236">
        <v>1</v>
      </c>
      <c r="L65" s="236">
        <v>4</v>
      </c>
      <c r="M65" s="236">
        <v>4</v>
      </c>
      <c r="N65" s="236">
        <v>0</v>
      </c>
      <c r="O65" s="236">
        <v>4</v>
      </c>
      <c r="P65" s="236">
        <v>2</v>
      </c>
      <c r="Q65" s="236">
        <v>2</v>
      </c>
      <c r="R65" s="236">
        <v>0</v>
      </c>
      <c r="S65" s="250">
        <v>1</v>
      </c>
    </row>
    <row r="66" spans="1:19">
      <c r="A66" s="448"/>
      <c r="B66" s="449"/>
      <c r="C66" s="450"/>
      <c r="D66" s="451"/>
      <c r="E66" s="452"/>
      <c r="F66" s="265">
        <f t="shared" ref="F66:S66" si="58">F65*$E$65</f>
        <v>20.88</v>
      </c>
      <c r="G66" s="242">
        <f t="shared" si="58"/>
        <v>3.48</v>
      </c>
      <c r="H66" s="243">
        <f t="shared" si="58"/>
        <v>13.92</v>
      </c>
      <c r="I66" s="243">
        <f t="shared" si="58"/>
        <v>0</v>
      </c>
      <c r="J66" s="243">
        <f t="shared" si="58"/>
        <v>0</v>
      </c>
      <c r="K66" s="243">
        <f t="shared" si="58"/>
        <v>3.48</v>
      </c>
      <c r="L66" s="243">
        <f t="shared" si="58"/>
        <v>13.92</v>
      </c>
      <c r="M66" s="243">
        <f t="shared" si="58"/>
        <v>13.92</v>
      </c>
      <c r="N66" s="243">
        <f t="shared" si="58"/>
        <v>0</v>
      </c>
      <c r="O66" s="243">
        <f t="shared" si="58"/>
        <v>13.92</v>
      </c>
      <c r="P66" s="243">
        <f t="shared" si="58"/>
        <v>6.96</v>
      </c>
      <c r="Q66" s="243">
        <f t="shared" si="58"/>
        <v>6.96</v>
      </c>
      <c r="R66" s="243">
        <f t="shared" si="58"/>
        <v>0</v>
      </c>
      <c r="S66" s="255">
        <f t="shared" si="58"/>
        <v>3.48</v>
      </c>
    </row>
    <row r="67" spans="1:19">
      <c r="A67" s="458">
        <v>32</v>
      </c>
      <c r="B67" s="459" t="s">
        <v>152</v>
      </c>
      <c r="C67" s="465">
        <v>241703</v>
      </c>
      <c r="D67" s="475" t="s">
        <v>125</v>
      </c>
      <c r="E67" s="452">
        <v>3.45</v>
      </c>
      <c r="F67" s="266">
        <v>1</v>
      </c>
      <c r="G67" s="244">
        <v>1</v>
      </c>
      <c r="H67" s="241">
        <v>0</v>
      </c>
      <c r="I67" s="241">
        <v>0</v>
      </c>
      <c r="J67" s="241">
        <v>2</v>
      </c>
      <c r="K67" s="241">
        <v>4</v>
      </c>
      <c r="L67" s="241">
        <v>5</v>
      </c>
      <c r="M67" s="241">
        <v>6</v>
      </c>
      <c r="N67" s="241">
        <v>4</v>
      </c>
      <c r="O67" s="241">
        <v>5</v>
      </c>
      <c r="P67" s="241">
        <v>4</v>
      </c>
      <c r="Q67" s="241">
        <v>2</v>
      </c>
      <c r="R67" s="241">
        <v>5</v>
      </c>
      <c r="S67" s="254">
        <v>5</v>
      </c>
    </row>
    <row r="68" spans="1:19">
      <c r="A68" s="458"/>
      <c r="B68" s="459"/>
      <c r="C68" s="465"/>
      <c r="D68" s="475"/>
      <c r="E68" s="452"/>
      <c r="F68" s="267">
        <f>F67*$E$67</f>
        <v>3.45</v>
      </c>
      <c r="G68" s="245">
        <f t="shared" ref="G68:S68" si="59">G67*$E$67</f>
        <v>3.45</v>
      </c>
      <c r="H68" s="245">
        <f t="shared" si="59"/>
        <v>0</v>
      </c>
      <c r="I68" s="245">
        <f t="shared" si="59"/>
        <v>0</v>
      </c>
      <c r="J68" s="245">
        <f t="shared" si="59"/>
        <v>6.9</v>
      </c>
      <c r="K68" s="245">
        <f t="shared" si="59"/>
        <v>13.8</v>
      </c>
      <c r="L68" s="245">
        <f t="shared" si="59"/>
        <v>17.25</v>
      </c>
      <c r="M68" s="245">
        <f t="shared" si="59"/>
        <v>20.7</v>
      </c>
      <c r="N68" s="245">
        <f t="shared" si="59"/>
        <v>13.8</v>
      </c>
      <c r="O68" s="245">
        <f t="shared" si="59"/>
        <v>17.25</v>
      </c>
      <c r="P68" s="245">
        <f t="shared" si="59"/>
        <v>13.8</v>
      </c>
      <c r="Q68" s="245">
        <f t="shared" si="59"/>
        <v>6.9</v>
      </c>
      <c r="R68" s="245">
        <f t="shared" si="59"/>
        <v>17.25</v>
      </c>
      <c r="S68" s="256">
        <f t="shared" si="59"/>
        <v>17.25</v>
      </c>
    </row>
    <row r="69" spans="1:19">
      <c r="A69" s="448">
        <v>33</v>
      </c>
      <c r="B69" s="453" t="s">
        <v>153</v>
      </c>
      <c r="C69" s="455">
        <v>485479</v>
      </c>
      <c r="D69" s="456" t="s">
        <v>122</v>
      </c>
      <c r="E69" s="452">
        <v>58.55</v>
      </c>
      <c r="F69" s="260">
        <v>5</v>
      </c>
      <c r="G69" s="236">
        <v>4</v>
      </c>
      <c r="H69" s="236">
        <v>2</v>
      </c>
      <c r="I69" s="236">
        <v>2</v>
      </c>
      <c r="J69" s="236">
        <v>1</v>
      </c>
      <c r="K69" s="236">
        <v>1</v>
      </c>
      <c r="L69" s="236">
        <v>6</v>
      </c>
      <c r="M69" s="236">
        <v>3</v>
      </c>
      <c r="N69" s="236">
        <v>1</v>
      </c>
      <c r="O69" s="236">
        <v>6</v>
      </c>
      <c r="P69" s="236">
        <v>4</v>
      </c>
      <c r="Q69" s="236">
        <v>0</v>
      </c>
      <c r="R69" s="236">
        <v>1</v>
      </c>
      <c r="S69" s="250">
        <v>0</v>
      </c>
    </row>
    <row r="70" spans="1:19">
      <c r="A70" s="448"/>
      <c r="B70" s="454"/>
      <c r="C70" s="455"/>
      <c r="D70" s="479"/>
      <c r="E70" s="452"/>
      <c r="F70" s="366">
        <f>F69*$E$69</f>
        <v>292.75</v>
      </c>
      <c r="G70" s="243">
        <f t="shared" ref="G70:S70" si="60">G69*$E$69</f>
        <v>234.2</v>
      </c>
      <c r="H70" s="243">
        <f>H69*$E$69</f>
        <v>117.1</v>
      </c>
      <c r="I70" s="243">
        <f t="shared" si="60"/>
        <v>117.1</v>
      </c>
      <c r="J70" s="243">
        <f t="shared" si="60"/>
        <v>58.55</v>
      </c>
      <c r="K70" s="243">
        <f t="shared" si="60"/>
        <v>58.55</v>
      </c>
      <c r="L70" s="243">
        <f>L69*$E$69</f>
        <v>351.3</v>
      </c>
      <c r="M70" s="243">
        <f t="shared" si="60"/>
        <v>175.65</v>
      </c>
      <c r="N70" s="243">
        <f t="shared" si="60"/>
        <v>58.55</v>
      </c>
      <c r="O70" s="243">
        <f t="shared" si="60"/>
        <v>351.3</v>
      </c>
      <c r="P70" s="243">
        <f t="shared" si="60"/>
        <v>234.2</v>
      </c>
      <c r="Q70" s="243">
        <f t="shared" si="60"/>
        <v>0</v>
      </c>
      <c r="R70" s="243">
        <f t="shared" si="60"/>
        <v>58.55</v>
      </c>
      <c r="S70" s="255">
        <f t="shared" si="60"/>
        <v>0</v>
      </c>
    </row>
    <row r="71" spans="1:19">
      <c r="A71" s="458">
        <v>34</v>
      </c>
      <c r="B71" s="460" t="s">
        <v>154</v>
      </c>
      <c r="C71" s="468">
        <v>345458</v>
      </c>
      <c r="D71" s="469" t="s">
        <v>117</v>
      </c>
      <c r="E71" s="452">
        <v>105.21</v>
      </c>
      <c r="F71" s="264">
        <v>12</v>
      </c>
      <c r="G71" s="241">
        <v>0</v>
      </c>
      <c r="H71" s="241">
        <v>0</v>
      </c>
      <c r="I71" s="241">
        <v>0</v>
      </c>
      <c r="J71" s="241">
        <v>0</v>
      </c>
      <c r="K71" s="241">
        <v>0</v>
      </c>
      <c r="L71" s="241">
        <v>0</v>
      </c>
      <c r="M71" s="241">
        <v>0</v>
      </c>
      <c r="N71" s="241">
        <v>0</v>
      </c>
      <c r="O71" s="241">
        <v>0</v>
      </c>
      <c r="P71" s="241">
        <v>2</v>
      </c>
      <c r="Q71" s="241">
        <v>0</v>
      </c>
      <c r="R71" s="241">
        <v>0</v>
      </c>
      <c r="S71" s="254">
        <v>0</v>
      </c>
    </row>
    <row r="72" spans="1:19">
      <c r="A72" s="458"/>
      <c r="B72" s="461"/>
      <c r="C72" s="468"/>
      <c r="D72" s="457"/>
      <c r="E72" s="452"/>
      <c r="F72" s="367">
        <f>F71*$E$71</f>
        <v>1262.52</v>
      </c>
      <c r="G72" s="368">
        <f t="shared" ref="G72:Q72" si="61">G71*$E$71</f>
        <v>0</v>
      </c>
      <c r="H72" s="368">
        <f t="shared" si="61"/>
        <v>0</v>
      </c>
      <c r="I72" s="368">
        <f t="shared" si="61"/>
        <v>0</v>
      </c>
      <c r="J72" s="368">
        <f t="shared" si="61"/>
        <v>0</v>
      </c>
      <c r="K72" s="368">
        <f t="shared" si="61"/>
        <v>0</v>
      </c>
      <c r="L72" s="368">
        <f t="shared" si="61"/>
        <v>0</v>
      </c>
      <c r="M72" s="368">
        <f t="shared" si="61"/>
        <v>0</v>
      </c>
      <c r="N72" s="368">
        <f t="shared" si="61"/>
        <v>0</v>
      </c>
      <c r="O72" s="368">
        <f t="shared" si="61"/>
        <v>0</v>
      </c>
      <c r="P72" s="368">
        <f t="shared" si="61"/>
        <v>210.42</v>
      </c>
      <c r="Q72" s="368">
        <f t="shared" si="61"/>
        <v>0</v>
      </c>
      <c r="R72" s="368">
        <f>R71*$E$71</f>
        <v>0</v>
      </c>
      <c r="S72" s="369">
        <f>S71*$E$71</f>
        <v>0</v>
      </c>
    </row>
    <row r="73" spans="1:19">
      <c r="A73" s="448">
        <v>35</v>
      </c>
      <c r="B73" s="453" t="s">
        <v>155</v>
      </c>
      <c r="C73" s="455">
        <v>30414</v>
      </c>
      <c r="D73" s="456" t="s">
        <v>135</v>
      </c>
      <c r="E73" s="452">
        <v>7.29</v>
      </c>
      <c r="F73" s="260">
        <v>2</v>
      </c>
      <c r="G73" s="236">
        <v>0</v>
      </c>
      <c r="H73" s="236">
        <f>4/5</f>
        <v>0.8</v>
      </c>
      <c r="I73" s="236">
        <f>3/5</f>
        <v>0.6</v>
      </c>
      <c r="J73" s="236">
        <f>1/5</f>
        <v>0.2</v>
      </c>
      <c r="K73" s="236">
        <f>6/5</f>
        <v>1.2</v>
      </c>
      <c r="L73" s="236">
        <f>8/5</f>
        <v>1.6</v>
      </c>
      <c r="M73" s="236">
        <f>4/5</f>
        <v>0.8</v>
      </c>
      <c r="N73" s="236">
        <f>6/5</f>
        <v>1.2</v>
      </c>
      <c r="O73" s="236">
        <f>8/5</f>
        <v>1.6</v>
      </c>
      <c r="P73" s="236">
        <v>1</v>
      </c>
      <c r="Q73" s="236">
        <v>1</v>
      </c>
      <c r="R73" s="236">
        <f>6/5</f>
        <v>1.2</v>
      </c>
      <c r="S73" s="250">
        <v>1</v>
      </c>
    </row>
    <row r="74" spans="1:19">
      <c r="A74" s="448"/>
      <c r="B74" s="454"/>
      <c r="C74" s="455"/>
      <c r="D74" s="457"/>
      <c r="E74" s="452"/>
      <c r="F74" s="366">
        <f>F73*$E$73</f>
        <v>14.58</v>
      </c>
      <c r="G74" s="243">
        <f t="shared" ref="G74:S74" si="62">G73*$E$73</f>
        <v>0</v>
      </c>
      <c r="H74" s="243">
        <f t="shared" si="62"/>
        <v>5.83</v>
      </c>
      <c r="I74" s="243">
        <f t="shared" si="62"/>
        <v>4.37</v>
      </c>
      <c r="J74" s="243">
        <f t="shared" si="62"/>
        <v>1.46</v>
      </c>
      <c r="K74" s="243">
        <f t="shared" si="62"/>
        <v>8.75</v>
      </c>
      <c r="L74" s="243">
        <f t="shared" si="62"/>
        <v>11.66</v>
      </c>
      <c r="M74" s="243">
        <f t="shared" si="62"/>
        <v>5.83</v>
      </c>
      <c r="N74" s="243">
        <f t="shared" si="62"/>
        <v>8.75</v>
      </c>
      <c r="O74" s="243">
        <f t="shared" si="62"/>
        <v>11.66</v>
      </c>
      <c r="P74" s="243">
        <f t="shared" si="62"/>
        <v>7.29</v>
      </c>
      <c r="Q74" s="243">
        <f t="shared" si="62"/>
        <v>7.29</v>
      </c>
      <c r="R74" s="243">
        <f t="shared" si="62"/>
        <v>8.75</v>
      </c>
      <c r="S74" s="255">
        <f t="shared" si="62"/>
        <v>7.29</v>
      </c>
    </row>
    <row r="75" spans="1:19">
      <c r="A75" s="458">
        <v>36</v>
      </c>
      <c r="B75" s="459" t="s">
        <v>156</v>
      </c>
      <c r="C75" s="468">
        <v>332971</v>
      </c>
      <c r="D75" s="469" t="s">
        <v>122</v>
      </c>
      <c r="E75" s="452">
        <v>5.25</v>
      </c>
      <c r="F75" s="264">
        <v>3</v>
      </c>
      <c r="G75" s="241">
        <v>8</v>
      </c>
      <c r="H75" s="241">
        <v>2</v>
      </c>
      <c r="I75" s="241">
        <v>2</v>
      </c>
      <c r="J75" s="241">
        <v>1</v>
      </c>
      <c r="K75" s="241">
        <v>4</v>
      </c>
      <c r="L75" s="241">
        <v>4</v>
      </c>
      <c r="M75" s="241">
        <v>0</v>
      </c>
      <c r="N75" s="241">
        <v>4</v>
      </c>
      <c r="O75" s="241">
        <v>5</v>
      </c>
      <c r="P75" s="241">
        <v>5</v>
      </c>
      <c r="Q75" s="241">
        <v>4</v>
      </c>
      <c r="R75" s="241">
        <v>5</v>
      </c>
      <c r="S75" s="254">
        <v>4</v>
      </c>
    </row>
    <row r="76" spans="1:19">
      <c r="A76" s="458"/>
      <c r="B76" s="459"/>
      <c r="C76" s="468"/>
      <c r="D76" s="457"/>
      <c r="E76" s="452"/>
      <c r="F76" s="367">
        <f>F75*$E$75</f>
        <v>15.75</v>
      </c>
      <c r="G76" s="368">
        <f t="shared" ref="G76:S76" si="63">G75*$E$75</f>
        <v>42</v>
      </c>
      <c r="H76" s="368">
        <f t="shared" si="63"/>
        <v>10.5</v>
      </c>
      <c r="I76" s="368">
        <f t="shared" si="63"/>
        <v>10.5</v>
      </c>
      <c r="J76" s="368">
        <f t="shared" si="63"/>
        <v>5.25</v>
      </c>
      <c r="K76" s="368">
        <f t="shared" si="63"/>
        <v>21</v>
      </c>
      <c r="L76" s="368">
        <f t="shared" si="63"/>
        <v>21</v>
      </c>
      <c r="M76" s="368">
        <f t="shared" si="63"/>
        <v>0</v>
      </c>
      <c r="N76" s="368">
        <f t="shared" si="63"/>
        <v>21</v>
      </c>
      <c r="O76" s="368">
        <f t="shared" si="63"/>
        <v>26.25</v>
      </c>
      <c r="P76" s="368">
        <f t="shared" si="63"/>
        <v>26.25</v>
      </c>
      <c r="Q76" s="368">
        <f t="shared" si="63"/>
        <v>21</v>
      </c>
      <c r="R76" s="368">
        <f t="shared" si="63"/>
        <v>26.25</v>
      </c>
      <c r="S76" s="369">
        <f t="shared" si="63"/>
        <v>21</v>
      </c>
    </row>
    <row r="77" spans="1:19">
      <c r="A77" s="448">
        <v>37</v>
      </c>
      <c r="B77" s="449" t="s">
        <v>157</v>
      </c>
      <c r="C77" s="450">
        <v>472873</v>
      </c>
      <c r="D77" s="451" t="s">
        <v>117</v>
      </c>
      <c r="E77" s="452">
        <v>18.89</v>
      </c>
      <c r="F77" s="262">
        <f>20/5</f>
        <v>4</v>
      </c>
      <c r="G77" s="238">
        <f>5/5</f>
        <v>1</v>
      </c>
      <c r="H77" s="237">
        <f>10/5</f>
        <v>2</v>
      </c>
      <c r="I77" s="237">
        <f>5/5</f>
        <v>1</v>
      </c>
      <c r="J77" s="237">
        <f>1/5</f>
        <v>0.2</v>
      </c>
      <c r="K77" s="237">
        <f>6/5</f>
        <v>1.2</v>
      </c>
      <c r="L77" s="237">
        <f>5/5</f>
        <v>1</v>
      </c>
      <c r="M77" s="237">
        <f>10/5</f>
        <v>2</v>
      </c>
      <c r="N77" s="237">
        <f>5/5</f>
        <v>1</v>
      </c>
      <c r="O77" s="237">
        <f>5/5</f>
        <v>1</v>
      </c>
      <c r="P77" s="237">
        <f>10/5</f>
        <v>2</v>
      </c>
      <c r="Q77" s="237">
        <f>5/5</f>
        <v>1</v>
      </c>
      <c r="R77" s="237">
        <f>5/5</f>
        <v>1</v>
      </c>
      <c r="S77" s="249">
        <f>5/5</f>
        <v>1</v>
      </c>
    </row>
    <row r="78" spans="1:19">
      <c r="A78" s="448"/>
      <c r="B78" s="449"/>
      <c r="C78" s="450"/>
      <c r="D78" s="451"/>
      <c r="E78" s="452"/>
      <c r="F78" s="265">
        <f>F77*$E$77</f>
        <v>75.56</v>
      </c>
      <c r="G78" s="242">
        <f t="shared" ref="G78:S78" si="64">G77*$E$77</f>
        <v>18.89</v>
      </c>
      <c r="H78" s="242">
        <f t="shared" si="64"/>
        <v>37.78</v>
      </c>
      <c r="I78" s="242">
        <f t="shared" si="64"/>
        <v>18.89</v>
      </c>
      <c r="J78" s="242">
        <f t="shared" si="64"/>
        <v>3.78</v>
      </c>
      <c r="K78" s="242">
        <f t="shared" si="64"/>
        <v>22.67</v>
      </c>
      <c r="L78" s="242">
        <f t="shared" si="64"/>
        <v>18.89</v>
      </c>
      <c r="M78" s="242">
        <f t="shared" si="64"/>
        <v>37.78</v>
      </c>
      <c r="N78" s="242">
        <f t="shared" si="64"/>
        <v>18.89</v>
      </c>
      <c r="O78" s="242">
        <f t="shared" si="64"/>
        <v>18.89</v>
      </c>
      <c r="P78" s="242">
        <f t="shared" si="64"/>
        <v>37.78</v>
      </c>
      <c r="Q78" s="242">
        <f t="shared" si="64"/>
        <v>18.89</v>
      </c>
      <c r="R78" s="242">
        <f t="shared" si="64"/>
        <v>18.89</v>
      </c>
      <c r="S78" s="257">
        <f t="shared" si="64"/>
        <v>18.89</v>
      </c>
    </row>
    <row r="79" spans="1:19">
      <c r="A79" s="458">
        <v>38</v>
      </c>
      <c r="B79" s="460" t="s">
        <v>158</v>
      </c>
      <c r="C79" s="462">
        <v>444433</v>
      </c>
      <c r="D79" s="463" t="s">
        <v>122</v>
      </c>
      <c r="E79" s="452">
        <v>1.56</v>
      </c>
      <c r="F79" s="259">
        <v>12</v>
      </c>
      <c r="G79" s="237">
        <v>2</v>
      </c>
      <c r="H79" s="237">
        <v>0</v>
      </c>
      <c r="I79" s="237">
        <v>5</v>
      </c>
      <c r="J79" s="237">
        <v>3</v>
      </c>
      <c r="K79" s="237">
        <v>2</v>
      </c>
      <c r="L79" s="237">
        <v>10</v>
      </c>
      <c r="M79" s="237">
        <v>2</v>
      </c>
      <c r="N79" s="237">
        <v>2</v>
      </c>
      <c r="O79" s="237">
        <v>10</v>
      </c>
      <c r="P79" s="237">
        <v>10</v>
      </c>
      <c r="Q79" s="237">
        <v>10</v>
      </c>
      <c r="R79" s="237">
        <v>10</v>
      </c>
      <c r="S79" s="249">
        <v>4</v>
      </c>
    </row>
    <row r="80" spans="1:19">
      <c r="A80" s="458"/>
      <c r="B80" s="461"/>
      <c r="C80" s="462"/>
      <c r="D80" s="464"/>
      <c r="E80" s="452"/>
      <c r="F80" s="367">
        <f>F79*$E$79</f>
        <v>18.72</v>
      </c>
      <c r="G80" s="368">
        <f t="shared" ref="G80:S80" si="65">G79*$E$79</f>
        <v>3.12</v>
      </c>
      <c r="H80" s="368">
        <f t="shared" si="65"/>
        <v>0</v>
      </c>
      <c r="I80" s="368">
        <f>I79*$E$79</f>
        <v>7.8</v>
      </c>
      <c r="J80" s="368">
        <f t="shared" si="65"/>
        <v>4.68</v>
      </c>
      <c r="K80" s="368">
        <f t="shared" si="65"/>
        <v>3.12</v>
      </c>
      <c r="L80" s="368">
        <f t="shared" si="65"/>
        <v>15.6</v>
      </c>
      <c r="M80" s="368">
        <f t="shared" si="65"/>
        <v>3.12</v>
      </c>
      <c r="N80" s="368">
        <f>N79*$E$79</f>
        <v>3.12</v>
      </c>
      <c r="O80" s="368">
        <f t="shared" si="65"/>
        <v>15.6</v>
      </c>
      <c r="P80" s="368">
        <f t="shared" si="65"/>
        <v>15.6</v>
      </c>
      <c r="Q80" s="368">
        <f t="shared" si="65"/>
        <v>15.6</v>
      </c>
      <c r="R80" s="368">
        <f t="shared" si="65"/>
        <v>15.6</v>
      </c>
      <c r="S80" s="369">
        <f t="shared" si="65"/>
        <v>6.24</v>
      </c>
    </row>
    <row r="81" spans="1:19">
      <c r="A81" s="448">
        <v>39</v>
      </c>
      <c r="B81" s="449" t="s">
        <v>159</v>
      </c>
      <c r="C81" s="450">
        <v>472873</v>
      </c>
      <c r="D81" s="451" t="s">
        <v>115</v>
      </c>
      <c r="E81" s="452">
        <v>7.92</v>
      </c>
      <c r="F81" s="262">
        <v>60</v>
      </c>
      <c r="G81" s="239">
        <v>25</v>
      </c>
      <c r="H81" s="236">
        <v>10</v>
      </c>
      <c r="I81" s="236">
        <v>5</v>
      </c>
      <c r="J81" s="236">
        <v>5</v>
      </c>
      <c r="K81" s="236">
        <v>3</v>
      </c>
      <c r="L81" s="236">
        <v>5</v>
      </c>
      <c r="M81" s="236">
        <v>4</v>
      </c>
      <c r="N81" s="236">
        <v>3</v>
      </c>
      <c r="O81" s="236">
        <v>5</v>
      </c>
      <c r="P81" s="236">
        <v>15</v>
      </c>
      <c r="Q81" s="236">
        <v>5</v>
      </c>
      <c r="R81" s="236">
        <v>4</v>
      </c>
      <c r="S81" s="250">
        <v>5</v>
      </c>
    </row>
    <row r="82" spans="1:19">
      <c r="A82" s="448"/>
      <c r="B82" s="449"/>
      <c r="C82" s="450"/>
      <c r="D82" s="451"/>
      <c r="E82" s="452"/>
      <c r="F82" s="265">
        <f>F81*$E$81</f>
        <v>475.2</v>
      </c>
      <c r="G82" s="242">
        <f>G81*$E$81</f>
        <v>198</v>
      </c>
      <c r="H82" s="243">
        <f t="shared" ref="H82:S82" si="66">H81*$E$81</f>
        <v>79.2</v>
      </c>
      <c r="I82" s="243">
        <f t="shared" si="66"/>
        <v>39.6</v>
      </c>
      <c r="J82" s="243">
        <f t="shared" si="66"/>
        <v>39.6</v>
      </c>
      <c r="K82" s="243">
        <f t="shared" si="66"/>
        <v>23.76</v>
      </c>
      <c r="L82" s="243">
        <f t="shared" si="66"/>
        <v>39.6</v>
      </c>
      <c r="M82" s="243">
        <f t="shared" si="66"/>
        <v>31.68</v>
      </c>
      <c r="N82" s="243">
        <f>N81*$E$81</f>
        <v>23.76</v>
      </c>
      <c r="O82" s="243">
        <f t="shared" si="66"/>
        <v>39.6</v>
      </c>
      <c r="P82" s="243">
        <f t="shared" si="66"/>
        <v>118.8</v>
      </c>
      <c r="Q82" s="243">
        <f t="shared" si="66"/>
        <v>39.6</v>
      </c>
      <c r="R82" s="243">
        <f t="shared" si="66"/>
        <v>31.68</v>
      </c>
      <c r="S82" s="255">
        <f t="shared" si="66"/>
        <v>39.6</v>
      </c>
    </row>
    <row r="83" spans="1:19">
      <c r="A83" s="458">
        <v>40</v>
      </c>
      <c r="B83" s="459" t="s">
        <v>160</v>
      </c>
      <c r="C83" s="467">
        <v>327878</v>
      </c>
      <c r="D83" s="466" t="s">
        <v>122</v>
      </c>
      <c r="E83" s="452">
        <v>13.42</v>
      </c>
      <c r="F83" s="261">
        <v>3</v>
      </c>
      <c r="G83" s="238">
        <v>2</v>
      </c>
      <c r="H83" s="237">
        <v>3</v>
      </c>
      <c r="I83" s="237">
        <v>2</v>
      </c>
      <c r="J83" s="237">
        <v>3</v>
      </c>
      <c r="K83" s="237">
        <v>1</v>
      </c>
      <c r="L83" s="237">
        <v>4</v>
      </c>
      <c r="M83" s="237">
        <v>5</v>
      </c>
      <c r="N83" s="237">
        <v>1</v>
      </c>
      <c r="O83" s="237">
        <v>4</v>
      </c>
      <c r="P83" s="237">
        <v>5</v>
      </c>
      <c r="Q83" s="237">
        <v>1</v>
      </c>
      <c r="R83" s="237">
        <v>3</v>
      </c>
      <c r="S83" s="249">
        <v>1</v>
      </c>
    </row>
    <row r="84" spans="1:19">
      <c r="A84" s="458"/>
      <c r="B84" s="459"/>
      <c r="C84" s="467"/>
      <c r="D84" s="466"/>
      <c r="E84" s="452"/>
      <c r="F84" s="267">
        <f>F83*$E$83</f>
        <v>40.26</v>
      </c>
      <c r="G84" s="267">
        <f t="shared" ref="G84:S84" si="67">G83*$E$83</f>
        <v>26.84</v>
      </c>
      <c r="H84" s="267">
        <f t="shared" si="67"/>
        <v>40.26</v>
      </c>
      <c r="I84" s="267">
        <f t="shared" si="67"/>
        <v>26.84</v>
      </c>
      <c r="J84" s="267">
        <f t="shared" si="67"/>
        <v>40.26</v>
      </c>
      <c r="K84" s="267">
        <f t="shared" si="67"/>
        <v>13.42</v>
      </c>
      <c r="L84" s="267">
        <f t="shared" si="67"/>
        <v>53.68</v>
      </c>
      <c r="M84" s="267">
        <f t="shared" si="67"/>
        <v>67.099999999999994</v>
      </c>
      <c r="N84" s="267">
        <f t="shared" si="67"/>
        <v>13.42</v>
      </c>
      <c r="O84" s="267">
        <f t="shared" si="67"/>
        <v>53.68</v>
      </c>
      <c r="P84" s="267">
        <f t="shared" si="67"/>
        <v>67.099999999999994</v>
      </c>
      <c r="Q84" s="267">
        <f t="shared" si="67"/>
        <v>13.42</v>
      </c>
      <c r="R84" s="267">
        <f t="shared" si="67"/>
        <v>40.26</v>
      </c>
      <c r="S84" s="267">
        <f t="shared" si="67"/>
        <v>13.42</v>
      </c>
    </row>
    <row r="85" spans="1:19">
      <c r="A85" s="448">
        <v>41</v>
      </c>
      <c r="B85" s="449" t="s">
        <v>161</v>
      </c>
      <c r="C85" s="450">
        <v>470832</v>
      </c>
      <c r="D85" s="451" t="s">
        <v>150</v>
      </c>
      <c r="E85" s="452">
        <v>16.57</v>
      </c>
      <c r="F85" s="262">
        <v>7</v>
      </c>
      <c r="G85" s="239">
        <v>5</v>
      </c>
      <c r="H85" s="236">
        <v>3</v>
      </c>
      <c r="I85" s="236">
        <v>2</v>
      </c>
      <c r="J85" s="236">
        <v>1</v>
      </c>
      <c r="K85" s="236">
        <v>2</v>
      </c>
      <c r="L85" s="236">
        <v>2</v>
      </c>
      <c r="M85" s="236">
        <v>3</v>
      </c>
      <c r="N85" s="236">
        <v>3</v>
      </c>
      <c r="O85" s="236">
        <v>2</v>
      </c>
      <c r="P85" s="236">
        <v>2</v>
      </c>
      <c r="Q85" s="236">
        <v>2</v>
      </c>
      <c r="R85" s="236">
        <v>2</v>
      </c>
      <c r="S85" s="250">
        <v>2</v>
      </c>
    </row>
    <row r="86" spans="1:19">
      <c r="A86" s="448"/>
      <c r="B86" s="449"/>
      <c r="C86" s="450"/>
      <c r="D86" s="475"/>
      <c r="E86" s="452"/>
      <c r="F86" s="265">
        <f>F85*$E$85</f>
        <v>115.99</v>
      </c>
      <c r="G86" s="265">
        <f t="shared" ref="G86:S86" si="68">G85*$E$85</f>
        <v>82.85</v>
      </c>
      <c r="H86" s="265">
        <f t="shared" si="68"/>
        <v>49.71</v>
      </c>
      <c r="I86" s="265">
        <f t="shared" si="68"/>
        <v>33.14</v>
      </c>
      <c r="J86" s="265">
        <f>J85*$E$85</f>
        <v>16.57</v>
      </c>
      <c r="K86" s="265">
        <f t="shared" si="68"/>
        <v>33.14</v>
      </c>
      <c r="L86" s="265">
        <f t="shared" si="68"/>
        <v>33.14</v>
      </c>
      <c r="M86" s="265">
        <f t="shared" si="68"/>
        <v>49.71</v>
      </c>
      <c r="N86" s="265">
        <f t="shared" si="68"/>
        <v>49.71</v>
      </c>
      <c r="O86" s="265">
        <f t="shared" si="68"/>
        <v>33.14</v>
      </c>
      <c r="P86" s="265">
        <f t="shared" si="68"/>
        <v>33.14</v>
      </c>
      <c r="Q86" s="265">
        <f t="shared" si="68"/>
        <v>33.14</v>
      </c>
      <c r="R86" s="265">
        <f t="shared" si="68"/>
        <v>33.14</v>
      </c>
      <c r="S86" s="265">
        <f t="shared" si="68"/>
        <v>33.14</v>
      </c>
    </row>
    <row r="87" spans="1:19">
      <c r="A87" s="458">
        <v>42</v>
      </c>
      <c r="B87" s="459" t="s">
        <v>162</v>
      </c>
      <c r="C87" s="467">
        <v>470832</v>
      </c>
      <c r="D87" s="466" t="s">
        <v>150</v>
      </c>
      <c r="E87" s="452">
        <v>16.57</v>
      </c>
      <c r="F87" s="261">
        <v>3</v>
      </c>
      <c r="G87" s="238">
        <v>1</v>
      </c>
      <c r="H87" s="237">
        <v>3</v>
      </c>
      <c r="I87" s="237">
        <v>0</v>
      </c>
      <c r="J87" s="237">
        <v>1</v>
      </c>
      <c r="K87" s="237">
        <v>0</v>
      </c>
      <c r="L87" s="237">
        <v>5</v>
      </c>
      <c r="M87" s="237">
        <v>1</v>
      </c>
      <c r="N87" s="237">
        <v>1</v>
      </c>
      <c r="O87" s="237">
        <v>5</v>
      </c>
      <c r="P87" s="237">
        <v>1</v>
      </c>
      <c r="Q87" s="237">
        <v>0</v>
      </c>
      <c r="R87" s="237">
        <v>1</v>
      </c>
      <c r="S87" s="249">
        <v>2</v>
      </c>
    </row>
    <row r="88" spans="1:19">
      <c r="A88" s="458"/>
      <c r="B88" s="459"/>
      <c r="C88" s="467"/>
      <c r="D88" s="466"/>
      <c r="E88" s="452"/>
      <c r="F88" s="267">
        <f>F87*$E$87</f>
        <v>49.71</v>
      </c>
      <c r="G88" s="267">
        <f t="shared" ref="G88:S88" si="69">G87*$E$87</f>
        <v>16.57</v>
      </c>
      <c r="H88" s="267">
        <f t="shared" si="69"/>
        <v>49.71</v>
      </c>
      <c r="I88" s="267">
        <f t="shared" si="69"/>
        <v>0</v>
      </c>
      <c r="J88" s="267">
        <f t="shared" si="69"/>
        <v>16.57</v>
      </c>
      <c r="K88" s="267">
        <f t="shared" si="69"/>
        <v>0</v>
      </c>
      <c r="L88" s="267">
        <f t="shared" si="69"/>
        <v>82.85</v>
      </c>
      <c r="M88" s="267">
        <f t="shared" si="69"/>
        <v>16.57</v>
      </c>
      <c r="N88" s="267">
        <f t="shared" si="69"/>
        <v>16.57</v>
      </c>
      <c r="O88" s="267">
        <f t="shared" si="69"/>
        <v>82.85</v>
      </c>
      <c r="P88" s="267">
        <f t="shared" si="69"/>
        <v>16.57</v>
      </c>
      <c r="Q88" s="267">
        <f t="shared" si="69"/>
        <v>0</v>
      </c>
      <c r="R88" s="267">
        <f>R87*$E$87</f>
        <v>16.57</v>
      </c>
      <c r="S88" s="267">
        <f t="shared" si="69"/>
        <v>33.14</v>
      </c>
    </row>
    <row r="89" spans="1:19">
      <c r="A89" s="448">
        <v>43</v>
      </c>
      <c r="B89" s="449" t="s">
        <v>163</v>
      </c>
      <c r="C89" s="450">
        <v>470833</v>
      </c>
      <c r="D89" s="451" t="s">
        <v>150</v>
      </c>
      <c r="E89" s="452">
        <v>30.48</v>
      </c>
      <c r="F89" s="262">
        <v>7</v>
      </c>
      <c r="G89" s="239">
        <v>5</v>
      </c>
      <c r="H89" s="236">
        <v>3</v>
      </c>
      <c r="I89" s="236">
        <v>1</v>
      </c>
      <c r="J89" s="236">
        <v>1</v>
      </c>
      <c r="K89" s="236">
        <v>2</v>
      </c>
      <c r="L89" s="236">
        <v>2</v>
      </c>
      <c r="M89" s="236">
        <v>3</v>
      </c>
      <c r="N89" s="236">
        <v>3</v>
      </c>
      <c r="O89" s="236">
        <v>2</v>
      </c>
      <c r="P89" s="236">
        <v>4</v>
      </c>
      <c r="Q89" s="246">
        <v>80</v>
      </c>
      <c r="R89" s="236">
        <v>2</v>
      </c>
      <c r="S89" s="250">
        <v>2</v>
      </c>
    </row>
    <row r="90" spans="1:19">
      <c r="A90" s="448"/>
      <c r="B90" s="449"/>
      <c r="C90" s="450"/>
      <c r="D90" s="475"/>
      <c r="E90" s="452"/>
      <c r="F90" s="265">
        <f>F89*$E$89</f>
        <v>213.36</v>
      </c>
      <c r="G90" s="265">
        <f t="shared" ref="G90:S90" si="70">G89*$E$89</f>
        <v>152.4</v>
      </c>
      <c r="H90" s="265">
        <f t="shared" si="70"/>
        <v>91.44</v>
      </c>
      <c r="I90" s="265">
        <f t="shared" si="70"/>
        <v>30.48</v>
      </c>
      <c r="J90" s="265">
        <f t="shared" si="70"/>
        <v>30.48</v>
      </c>
      <c r="K90" s="265">
        <f t="shared" si="70"/>
        <v>60.96</v>
      </c>
      <c r="L90" s="265">
        <f t="shared" si="70"/>
        <v>60.96</v>
      </c>
      <c r="M90" s="265">
        <f t="shared" si="70"/>
        <v>91.44</v>
      </c>
      <c r="N90" s="265">
        <f t="shared" si="70"/>
        <v>91.44</v>
      </c>
      <c r="O90" s="265">
        <f t="shared" si="70"/>
        <v>60.96</v>
      </c>
      <c r="P90" s="265">
        <f t="shared" si="70"/>
        <v>121.92</v>
      </c>
      <c r="Q90" s="265">
        <f t="shared" si="70"/>
        <v>2438.4</v>
      </c>
      <c r="R90" s="265">
        <f t="shared" si="70"/>
        <v>60.96</v>
      </c>
      <c r="S90" s="265">
        <f t="shared" si="70"/>
        <v>60.96</v>
      </c>
    </row>
    <row r="91" spans="1:19">
      <c r="A91" s="458">
        <v>44</v>
      </c>
      <c r="B91" s="459" t="s">
        <v>164</v>
      </c>
      <c r="C91" s="465">
        <v>470833</v>
      </c>
      <c r="D91" s="466" t="s">
        <v>150</v>
      </c>
      <c r="E91" s="452">
        <v>30.48</v>
      </c>
      <c r="F91" s="266">
        <v>3</v>
      </c>
      <c r="G91" s="244">
        <v>1</v>
      </c>
      <c r="H91" s="241">
        <v>0</v>
      </c>
      <c r="I91" s="241">
        <v>0</v>
      </c>
      <c r="J91" s="241">
        <v>0</v>
      </c>
      <c r="K91" s="241">
        <v>0</v>
      </c>
      <c r="L91" s="241">
        <v>0</v>
      </c>
      <c r="M91" s="241">
        <v>1</v>
      </c>
      <c r="N91" s="241">
        <v>1</v>
      </c>
      <c r="O91" s="241">
        <v>0</v>
      </c>
      <c r="P91" s="241">
        <v>0</v>
      </c>
      <c r="Q91" s="241">
        <v>0</v>
      </c>
      <c r="R91" s="241">
        <v>0</v>
      </c>
      <c r="S91" s="254">
        <v>2</v>
      </c>
    </row>
    <row r="92" spans="1:19">
      <c r="A92" s="458"/>
      <c r="B92" s="459"/>
      <c r="C92" s="465"/>
      <c r="D92" s="466"/>
      <c r="E92" s="452"/>
      <c r="F92" s="267">
        <f>F91*$E$91</f>
        <v>91.44</v>
      </c>
      <c r="G92" s="267">
        <f t="shared" ref="G92:S92" si="71">G91*$E$91</f>
        <v>30.48</v>
      </c>
      <c r="H92" s="267">
        <f t="shared" si="71"/>
        <v>0</v>
      </c>
      <c r="I92" s="267">
        <f t="shared" si="71"/>
        <v>0</v>
      </c>
      <c r="J92" s="267">
        <f t="shared" si="71"/>
        <v>0</v>
      </c>
      <c r="K92" s="267">
        <f t="shared" si="71"/>
        <v>0</v>
      </c>
      <c r="L92" s="267">
        <f t="shared" si="71"/>
        <v>0</v>
      </c>
      <c r="M92" s="267">
        <f t="shared" si="71"/>
        <v>30.48</v>
      </c>
      <c r="N92" s="267">
        <f t="shared" si="71"/>
        <v>30.48</v>
      </c>
      <c r="O92" s="267">
        <f t="shared" si="71"/>
        <v>0</v>
      </c>
      <c r="P92" s="267">
        <f t="shared" si="71"/>
        <v>0</v>
      </c>
      <c r="Q92" s="267">
        <f t="shared" si="71"/>
        <v>0</v>
      </c>
      <c r="R92" s="267">
        <f t="shared" si="71"/>
        <v>0</v>
      </c>
      <c r="S92" s="267">
        <f t="shared" si="71"/>
        <v>60.96</v>
      </c>
    </row>
    <row r="93" spans="1:19">
      <c r="A93" s="448">
        <v>45</v>
      </c>
      <c r="B93" s="449" t="s">
        <v>165</v>
      </c>
      <c r="C93" s="450">
        <v>407037</v>
      </c>
      <c r="D93" s="451" t="s">
        <v>150</v>
      </c>
      <c r="E93" s="452">
        <v>11.09</v>
      </c>
      <c r="F93" s="262">
        <v>0</v>
      </c>
      <c r="G93" s="239">
        <v>0</v>
      </c>
      <c r="H93" s="236">
        <v>0</v>
      </c>
      <c r="I93" s="236">
        <v>0</v>
      </c>
      <c r="J93" s="236">
        <v>0</v>
      </c>
      <c r="K93" s="236">
        <v>0</v>
      </c>
      <c r="L93" s="236">
        <v>0</v>
      </c>
      <c r="M93" s="236">
        <v>4</v>
      </c>
      <c r="N93" s="236">
        <v>0</v>
      </c>
      <c r="O93" s="236">
        <v>0</v>
      </c>
      <c r="P93" s="236">
        <v>0</v>
      </c>
      <c r="Q93" s="236">
        <v>0</v>
      </c>
      <c r="R93" s="236">
        <v>0</v>
      </c>
      <c r="S93" s="250">
        <v>0</v>
      </c>
    </row>
    <row r="94" spans="1:19" ht="15.75" thickBot="1">
      <c r="A94" s="470"/>
      <c r="B94" s="471"/>
      <c r="C94" s="472"/>
      <c r="D94" s="473"/>
      <c r="E94" s="474"/>
      <c r="F94" s="370">
        <f>F93*$E$93</f>
        <v>0</v>
      </c>
      <c r="G94" s="370">
        <f t="shared" ref="G94:S94" si="72">G93*$E$93</f>
        <v>0</v>
      </c>
      <c r="H94" s="370">
        <f t="shared" si="72"/>
        <v>0</v>
      </c>
      <c r="I94" s="370">
        <f t="shared" si="72"/>
        <v>0</v>
      </c>
      <c r="J94" s="370">
        <f t="shared" si="72"/>
        <v>0</v>
      </c>
      <c r="K94" s="370">
        <f t="shared" si="72"/>
        <v>0</v>
      </c>
      <c r="L94" s="370">
        <f t="shared" si="72"/>
        <v>0</v>
      </c>
      <c r="M94" s="370">
        <f t="shared" si="72"/>
        <v>44.36</v>
      </c>
      <c r="N94" s="370">
        <f t="shared" si="72"/>
        <v>0</v>
      </c>
      <c r="O94" s="370">
        <f t="shared" si="72"/>
        <v>0</v>
      </c>
      <c r="P94" s="370">
        <f t="shared" si="72"/>
        <v>0</v>
      </c>
      <c r="Q94" s="370">
        <f t="shared" si="72"/>
        <v>0</v>
      </c>
      <c r="R94" s="370">
        <f t="shared" si="72"/>
        <v>0</v>
      </c>
      <c r="S94" s="370">
        <f t="shared" si="72"/>
        <v>0</v>
      </c>
    </row>
    <row r="95" spans="1:19">
      <c r="A95" s="458">
        <v>46</v>
      </c>
      <c r="B95" s="459" t="s">
        <v>166</v>
      </c>
      <c r="C95" s="467"/>
      <c r="D95" s="466" t="s">
        <v>122</v>
      </c>
      <c r="E95" s="452"/>
      <c r="F95" s="261">
        <v>8</v>
      </c>
      <c r="G95" s="238"/>
      <c r="H95" s="237"/>
      <c r="I95" s="237"/>
      <c r="J95" s="237"/>
      <c r="K95" s="237"/>
      <c r="L95" s="237"/>
      <c r="M95" s="237"/>
      <c r="N95" s="237"/>
      <c r="O95" s="237"/>
      <c r="P95" s="237"/>
      <c r="Q95" s="237"/>
      <c r="R95" s="237"/>
      <c r="S95" s="249"/>
    </row>
    <row r="96" spans="1:19">
      <c r="A96" s="458"/>
      <c r="B96" s="459"/>
      <c r="C96" s="467"/>
      <c r="D96" s="466"/>
      <c r="E96" s="452"/>
      <c r="F96" s="267">
        <f>F95*$E$95</f>
        <v>0</v>
      </c>
      <c r="G96" s="245">
        <f>G95*$E$95</f>
        <v>0</v>
      </c>
      <c r="H96" s="245">
        <f>H95*$E$95</f>
        <v>0</v>
      </c>
      <c r="I96" s="245">
        <f t="shared" ref="I96:S96" si="73">I95*$E$95</f>
        <v>0</v>
      </c>
      <c r="J96" s="245">
        <f t="shared" si="73"/>
        <v>0</v>
      </c>
      <c r="K96" s="245">
        <f t="shared" si="73"/>
        <v>0</v>
      </c>
      <c r="L96" s="245">
        <f t="shared" si="73"/>
        <v>0</v>
      </c>
      <c r="M96" s="245">
        <f t="shared" si="73"/>
        <v>0</v>
      </c>
      <c r="N96" s="245">
        <f t="shared" si="73"/>
        <v>0</v>
      </c>
      <c r="O96" s="245">
        <f t="shared" si="73"/>
        <v>0</v>
      </c>
      <c r="P96" s="245">
        <f t="shared" si="73"/>
        <v>0</v>
      </c>
      <c r="Q96" s="245">
        <f t="shared" si="73"/>
        <v>0</v>
      </c>
      <c r="R96" s="245">
        <f t="shared" si="73"/>
        <v>0</v>
      </c>
      <c r="S96" s="256">
        <f t="shared" si="73"/>
        <v>0</v>
      </c>
    </row>
    <row r="97" spans="1:19">
      <c r="A97" s="448">
        <v>47</v>
      </c>
      <c r="B97" s="449" t="s">
        <v>167</v>
      </c>
      <c r="C97" s="450">
        <v>321633</v>
      </c>
      <c r="D97" s="451" t="s">
        <v>122</v>
      </c>
      <c r="E97" s="452">
        <v>3.17</v>
      </c>
      <c r="F97" s="262">
        <v>20</v>
      </c>
      <c r="G97" s="239"/>
      <c r="H97" s="236"/>
      <c r="I97" s="236"/>
      <c r="J97" s="236"/>
      <c r="K97" s="236"/>
      <c r="L97" s="236"/>
      <c r="M97" s="236"/>
      <c r="N97" s="236"/>
      <c r="O97" s="236"/>
      <c r="P97" s="236"/>
      <c r="Q97" s="236"/>
      <c r="R97" s="236"/>
      <c r="S97" s="250"/>
    </row>
    <row r="98" spans="1:19">
      <c r="A98" s="448"/>
      <c r="B98" s="449"/>
      <c r="C98" s="450"/>
      <c r="D98" s="475"/>
      <c r="E98" s="452"/>
      <c r="F98" s="265">
        <f t="shared" ref="F98:S98" si="74">F97*$E$97</f>
        <v>63.4</v>
      </c>
      <c r="G98" s="242">
        <f t="shared" si="74"/>
        <v>0</v>
      </c>
      <c r="H98" s="243">
        <f t="shared" si="74"/>
        <v>0</v>
      </c>
      <c r="I98" s="243">
        <f t="shared" si="74"/>
        <v>0</v>
      </c>
      <c r="J98" s="243">
        <f t="shared" si="74"/>
        <v>0</v>
      </c>
      <c r="K98" s="243">
        <f t="shared" si="74"/>
        <v>0</v>
      </c>
      <c r="L98" s="243">
        <f t="shared" si="74"/>
        <v>0</v>
      </c>
      <c r="M98" s="243">
        <f t="shared" si="74"/>
        <v>0</v>
      </c>
      <c r="N98" s="243">
        <f t="shared" si="74"/>
        <v>0</v>
      </c>
      <c r="O98" s="243">
        <f t="shared" si="74"/>
        <v>0</v>
      </c>
      <c r="P98" s="243">
        <f t="shared" si="74"/>
        <v>0</v>
      </c>
      <c r="Q98" s="243">
        <f t="shared" si="74"/>
        <v>0</v>
      </c>
      <c r="R98" s="243">
        <f t="shared" si="74"/>
        <v>0</v>
      </c>
      <c r="S98" s="255">
        <f t="shared" si="74"/>
        <v>0</v>
      </c>
    </row>
    <row r="99" spans="1:19">
      <c r="A99" s="458">
        <v>48</v>
      </c>
      <c r="B99" s="459" t="s">
        <v>168</v>
      </c>
      <c r="C99" s="467">
        <v>227221</v>
      </c>
      <c r="D99" s="466" t="s">
        <v>122</v>
      </c>
      <c r="E99" s="452">
        <f>(2.13+2.94)/2</f>
        <v>2.54</v>
      </c>
      <c r="F99" s="261">
        <v>20</v>
      </c>
      <c r="G99" s="238"/>
      <c r="H99" s="237"/>
      <c r="I99" s="237"/>
      <c r="J99" s="237"/>
      <c r="K99" s="237"/>
      <c r="L99" s="237"/>
      <c r="M99" s="237"/>
      <c r="N99" s="237"/>
      <c r="O99" s="237"/>
      <c r="P99" s="237"/>
      <c r="Q99" s="237"/>
      <c r="R99" s="237"/>
      <c r="S99" s="249"/>
    </row>
    <row r="100" spans="1:19">
      <c r="A100" s="458"/>
      <c r="B100" s="459"/>
      <c r="C100" s="467"/>
      <c r="D100" s="466"/>
      <c r="E100" s="452"/>
      <c r="F100" s="267">
        <f>F99*$E$99</f>
        <v>50.8</v>
      </c>
      <c r="G100" s="245">
        <f t="shared" ref="G100:S100" si="75">G99*$E$99</f>
        <v>0</v>
      </c>
      <c r="H100" s="245">
        <f t="shared" si="75"/>
        <v>0</v>
      </c>
      <c r="I100" s="245">
        <f t="shared" si="75"/>
        <v>0</v>
      </c>
      <c r="J100" s="245">
        <f t="shared" si="75"/>
        <v>0</v>
      </c>
      <c r="K100" s="245">
        <f t="shared" si="75"/>
        <v>0</v>
      </c>
      <c r="L100" s="245">
        <f t="shared" si="75"/>
        <v>0</v>
      </c>
      <c r="M100" s="245">
        <f t="shared" si="75"/>
        <v>0</v>
      </c>
      <c r="N100" s="245">
        <f t="shared" si="75"/>
        <v>0</v>
      </c>
      <c r="O100" s="245">
        <f t="shared" si="75"/>
        <v>0</v>
      </c>
      <c r="P100" s="245">
        <f t="shared" si="75"/>
        <v>0</v>
      </c>
      <c r="Q100" s="245">
        <f t="shared" si="75"/>
        <v>0</v>
      </c>
      <c r="R100" s="245">
        <f t="shared" si="75"/>
        <v>0</v>
      </c>
      <c r="S100" s="256">
        <f t="shared" si="75"/>
        <v>0</v>
      </c>
    </row>
    <row r="101" spans="1:19">
      <c r="A101" s="448">
        <v>49</v>
      </c>
      <c r="B101" s="449" t="s">
        <v>169</v>
      </c>
      <c r="C101" s="450">
        <v>244285</v>
      </c>
      <c r="D101" s="451" t="s">
        <v>122</v>
      </c>
      <c r="E101" s="452">
        <v>5.74</v>
      </c>
      <c r="F101" s="262">
        <v>10</v>
      </c>
      <c r="G101" s="239"/>
      <c r="H101" s="236"/>
      <c r="I101" s="236"/>
      <c r="J101" s="236"/>
      <c r="K101" s="236"/>
      <c r="L101" s="236"/>
      <c r="M101" s="236"/>
      <c r="N101" s="236"/>
      <c r="O101" s="236"/>
      <c r="P101" s="236"/>
      <c r="Q101" s="236"/>
      <c r="R101" s="236"/>
      <c r="S101" s="250"/>
    </row>
    <row r="102" spans="1:19">
      <c r="A102" s="448"/>
      <c r="B102" s="449"/>
      <c r="C102" s="450"/>
      <c r="D102" s="475"/>
      <c r="E102" s="452"/>
      <c r="F102" s="265">
        <f t="shared" ref="F102:S102" si="76">F101*$E$101</f>
        <v>57.4</v>
      </c>
      <c r="G102" s="242">
        <f t="shared" si="76"/>
        <v>0</v>
      </c>
      <c r="H102" s="243">
        <f t="shared" si="76"/>
        <v>0</v>
      </c>
      <c r="I102" s="243">
        <f t="shared" si="76"/>
        <v>0</v>
      </c>
      <c r="J102" s="243">
        <f t="shared" si="76"/>
        <v>0</v>
      </c>
      <c r="K102" s="243">
        <f t="shared" si="76"/>
        <v>0</v>
      </c>
      <c r="L102" s="243">
        <f t="shared" si="76"/>
        <v>0</v>
      </c>
      <c r="M102" s="243">
        <f t="shared" si="76"/>
        <v>0</v>
      </c>
      <c r="N102" s="243">
        <f t="shared" si="76"/>
        <v>0</v>
      </c>
      <c r="O102" s="243">
        <f t="shared" si="76"/>
        <v>0</v>
      </c>
      <c r="P102" s="243">
        <f t="shared" si="76"/>
        <v>0</v>
      </c>
      <c r="Q102" s="243">
        <f t="shared" si="76"/>
        <v>0</v>
      </c>
      <c r="R102" s="243">
        <f t="shared" si="76"/>
        <v>0</v>
      </c>
      <c r="S102" s="255">
        <f t="shared" si="76"/>
        <v>0</v>
      </c>
    </row>
    <row r="103" spans="1:19">
      <c r="A103" s="458">
        <v>50</v>
      </c>
      <c r="B103" s="459" t="s">
        <v>170</v>
      </c>
      <c r="C103" s="465">
        <v>419187</v>
      </c>
      <c r="D103" s="466" t="s">
        <v>122</v>
      </c>
      <c r="E103" s="452">
        <v>6.35</v>
      </c>
      <c r="F103" s="266">
        <v>10</v>
      </c>
      <c r="G103" s="244"/>
      <c r="H103" s="241"/>
      <c r="I103" s="241"/>
      <c r="J103" s="241"/>
      <c r="K103" s="241"/>
      <c r="L103" s="241"/>
      <c r="M103" s="241"/>
      <c r="N103" s="241"/>
      <c r="O103" s="241"/>
      <c r="P103" s="241"/>
      <c r="Q103" s="241"/>
      <c r="R103" s="241"/>
      <c r="S103" s="254"/>
    </row>
    <row r="104" spans="1:19">
      <c r="A104" s="458"/>
      <c r="B104" s="459"/>
      <c r="C104" s="465"/>
      <c r="D104" s="466"/>
      <c r="E104" s="452"/>
      <c r="F104" s="267">
        <f t="shared" ref="F104:S104" si="77">F103*$E$103</f>
        <v>63.5</v>
      </c>
      <c r="G104" s="245">
        <f t="shared" si="77"/>
        <v>0</v>
      </c>
      <c r="H104" s="368">
        <f t="shared" si="77"/>
        <v>0</v>
      </c>
      <c r="I104" s="368">
        <f t="shared" si="77"/>
        <v>0</v>
      </c>
      <c r="J104" s="368">
        <f t="shared" si="77"/>
        <v>0</v>
      </c>
      <c r="K104" s="368">
        <f t="shared" si="77"/>
        <v>0</v>
      </c>
      <c r="L104" s="368">
        <f t="shared" si="77"/>
        <v>0</v>
      </c>
      <c r="M104" s="368">
        <f t="shared" si="77"/>
        <v>0</v>
      </c>
      <c r="N104" s="368">
        <f t="shared" si="77"/>
        <v>0</v>
      </c>
      <c r="O104" s="368">
        <f t="shared" si="77"/>
        <v>0</v>
      </c>
      <c r="P104" s="368">
        <f t="shared" si="77"/>
        <v>0</v>
      </c>
      <c r="Q104" s="368">
        <f t="shared" si="77"/>
        <v>0</v>
      </c>
      <c r="R104" s="368">
        <f t="shared" si="77"/>
        <v>0</v>
      </c>
      <c r="S104" s="369">
        <f t="shared" si="77"/>
        <v>0</v>
      </c>
    </row>
    <row r="105" spans="1:19">
      <c r="A105" s="448">
        <v>51</v>
      </c>
      <c r="B105" s="449" t="s">
        <v>171</v>
      </c>
      <c r="C105" s="450">
        <v>322637</v>
      </c>
      <c r="D105" s="451" t="s">
        <v>122</v>
      </c>
      <c r="E105" s="452">
        <v>6.66</v>
      </c>
      <c r="F105" s="262">
        <v>10</v>
      </c>
      <c r="G105" s="239"/>
      <c r="H105" s="236"/>
      <c r="I105" s="236"/>
      <c r="J105" s="236"/>
      <c r="K105" s="236"/>
      <c r="L105" s="236"/>
      <c r="M105" s="236"/>
      <c r="N105" s="236"/>
      <c r="O105" s="236"/>
      <c r="P105" s="236"/>
      <c r="Q105" s="236"/>
      <c r="R105" s="236"/>
      <c r="S105" s="250"/>
    </row>
    <row r="106" spans="1:19" ht="15.75" thickBot="1">
      <c r="A106" s="470"/>
      <c r="B106" s="471"/>
      <c r="C106" s="472"/>
      <c r="D106" s="473"/>
      <c r="E106" s="474"/>
      <c r="F106" s="370">
        <f>F105*$E$105</f>
        <v>66.599999999999994</v>
      </c>
      <c r="G106" s="371">
        <f t="shared" ref="G106:S106" si="78">G105*$E$105</f>
        <v>0</v>
      </c>
      <c r="H106" s="371">
        <f t="shared" si="78"/>
        <v>0</v>
      </c>
      <c r="I106" s="371">
        <f t="shared" si="78"/>
        <v>0</v>
      </c>
      <c r="J106" s="371">
        <f t="shared" si="78"/>
        <v>0</v>
      </c>
      <c r="K106" s="371">
        <f t="shared" si="78"/>
        <v>0</v>
      </c>
      <c r="L106" s="371">
        <f t="shared" si="78"/>
        <v>0</v>
      </c>
      <c r="M106" s="371">
        <f t="shared" si="78"/>
        <v>0</v>
      </c>
      <c r="N106" s="371">
        <f t="shared" si="78"/>
        <v>0</v>
      </c>
      <c r="O106" s="371">
        <f t="shared" si="78"/>
        <v>0</v>
      </c>
      <c r="P106" s="371">
        <f t="shared" si="78"/>
        <v>0</v>
      </c>
      <c r="Q106" s="371">
        <f t="shared" si="78"/>
        <v>0</v>
      </c>
      <c r="R106" s="371">
        <f t="shared" si="78"/>
        <v>0</v>
      </c>
      <c r="S106" s="372">
        <f t="shared" si="78"/>
        <v>0</v>
      </c>
    </row>
    <row r="107" spans="1:19" ht="15.75" thickBot="1">
      <c r="A107" s="200"/>
      <c r="B107" s="203"/>
      <c r="C107" s="203"/>
      <c r="D107" s="480" t="s">
        <v>172</v>
      </c>
      <c r="E107" s="481"/>
      <c r="F107" s="373">
        <f>SUM(F6+F8+F10+F12+F14+F16+F18+F20+F22+F24+F26+F28+F30+F32+F34+F36+F38+F40+F42+F44+F46+F48+F50+F52+F54+F56+F58+F60+F62+F64+F66+F68+F70+F72+F74+F76+F78+F80+F82+F84+F86+F88+F90+F92+F94+F96+F98+F100+F102+F104+F106)</f>
        <v>13011.16</v>
      </c>
      <c r="G107" s="373">
        <f t="shared" ref="G107:S107" si="79">SUM(G6+G8+G10+G12+G14+G16+G18+G20+G22+G24+G26+G28+G30+G32+G34+G36+G38+G40+G42+G44+G46+G48+G50+G52+G54+G56+G58+G60+G62+G64+G66+G68+G70+G72+G74+G76+G78+G80+G82+G84+G86+G88+G90+G92+G94+G96+G98+G100+G102+G104+G106)</f>
        <v>2971.37</v>
      </c>
      <c r="H107" s="373">
        <f t="shared" si="79"/>
        <v>2434.3000000000002</v>
      </c>
      <c r="I107" s="373">
        <f t="shared" si="79"/>
        <v>1872.04</v>
      </c>
      <c r="J107" s="373">
        <f t="shared" si="79"/>
        <v>1354.57</v>
      </c>
      <c r="K107" s="373">
        <f t="shared" si="79"/>
        <v>1669.51</v>
      </c>
      <c r="L107" s="373">
        <f t="shared" si="79"/>
        <v>2620.7199999999998</v>
      </c>
      <c r="M107" s="373">
        <f t="shared" si="79"/>
        <v>2617.85</v>
      </c>
      <c r="N107" s="373">
        <f t="shared" si="79"/>
        <v>1889.18</v>
      </c>
      <c r="O107" s="373">
        <f t="shared" si="79"/>
        <v>2875.44</v>
      </c>
      <c r="P107" s="373">
        <f t="shared" si="79"/>
        <v>3382.22</v>
      </c>
      <c r="Q107" s="373">
        <f t="shared" si="79"/>
        <v>4021.06</v>
      </c>
      <c r="R107" s="373">
        <f t="shared" si="79"/>
        <v>1496.66</v>
      </c>
      <c r="S107" s="373">
        <f t="shared" si="79"/>
        <v>1588.19</v>
      </c>
    </row>
    <row r="108" spans="1:19" ht="15.75" thickBot="1">
      <c r="D108" s="482" t="s">
        <v>173</v>
      </c>
      <c r="E108" s="483"/>
      <c r="F108" s="204">
        <f>'SR - ASG'!A214+'SR - Copeira'!C11</f>
        <v>17</v>
      </c>
      <c r="G108" s="205">
        <f>BGE!A214</f>
        <v>2</v>
      </c>
      <c r="H108" s="205">
        <f>' CXS'!A215</f>
        <v>2</v>
      </c>
      <c r="I108" s="205">
        <f>CHI!A214</f>
        <v>3</v>
      </c>
      <c r="J108" s="206">
        <f>JGO!A214</f>
        <v>2</v>
      </c>
      <c r="K108" s="206">
        <f>PFO!A215</f>
        <v>4</v>
      </c>
      <c r="L108" s="206">
        <f>PTS!A214</f>
        <v>3</v>
      </c>
      <c r="M108" s="206">
        <f>RGE!A214</f>
        <v>3</v>
      </c>
      <c r="N108" s="206">
        <f>SAG!A215</f>
        <v>3</v>
      </c>
      <c r="O108" s="206">
        <f>SCS!A214</f>
        <v>2</v>
      </c>
      <c r="P108" s="206">
        <f>SMA!A215</f>
        <v>4</v>
      </c>
      <c r="Q108" s="206">
        <f>SLI!A214</f>
        <v>2</v>
      </c>
      <c r="R108" s="206">
        <f>SBA!A215</f>
        <v>2</v>
      </c>
      <c r="S108" s="206">
        <f>UGA!A215</f>
        <v>3</v>
      </c>
    </row>
    <row r="109" spans="1:19" ht="15.75" thickBot="1">
      <c r="D109" s="476" t="s">
        <v>174</v>
      </c>
      <c r="E109" s="477"/>
      <c r="F109" s="374">
        <f>F107/F108</f>
        <v>765.36</v>
      </c>
      <c r="G109" s="375">
        <f t="shared" ref="G109" si="80">G107/G108</f>
        <v>1485.69</v>
      </c>
      <c r="H109" s="375">
        <f t="shared" ref="H109:J109" si="81">H107/H108</f>
        <v>1217.1500000000001</v>
      </c>
      <c r="I109" s="375">
        <f t="shared" si="81"/>
        <v>624.01</v>
      </c>
      <c r="J109" s="300">
        <f t="shared" si="81"/>
        <v>677.29</v>
      </c>
      <c r="K109" s="300">
        <f t="shared" ref="K109:L109" si="82">K107/K108</f>
        <v>417.38</v>
      </c>
      <c r="L109" s="300">
        <f t="shared" si="82"/>
        <v>873.57</v>
      </c>
      <c r="M109" s="300">
        <f t="shared" ref="M109:N109" si="83">M107/M108</f>
        <v>872.62</v>
      </c>
      <c r="N109" s="300">
        <f t="shared" si="83"/>
        <v>629.73</v>
      </c>
      <c r="O109" s="300">
        <f t="shared" ref="O109:S109" si="84">O107/O108</f>
        <v>1437.72</v>
      </c>
      <c r="P109" s="300">
        <f t="shared" si="84"/>
        <v>845.56</v>
      </c>
      <c r="Q109" s="300">
        <f t="shared" si="84"/>
        <v>2010.53</v>
      </c>
      <c r="R109" s="300">
        <f t="shared" si="84"/>
        <v>748.33</v>
      </c>
      <c r="S109" s="300">
        <f t="shared" si="84"/>
        <v>529.4</v>
      </c>
    </row>
    <row r="110" spans="1:19" ht="48.75" customHeight="1" thickBot="1"/>
    <row r="111" spans="1:19" ht="16.5" customHeight="1" thickBot="1">
      <c r="A111" s="509" t="s">
        <v>175</v>
      </c>
      <c r="B111" s="510"/>
      <c r="C111" s="510"/>
      <c r="D111" s="510"/>
      <c r="E111" s="510"/>
      <c r="F111" s="510"/>
      <c r="G111" s="511"/>
    </row>
    <row r="112" spans="1:19" ht="15.75" thickBot="1">
      <c r="A112" s="489" t="s">
        <v>108</v>
      </c>
      <c r="B112" s="491" t="s">
        <v>109</v>
      </c>
      <c r="C112" s="491" t="s">
        <v>60</v>
      </c>
      <c r="D112" s="491" t="s">
        <v>110</v>
      </c>
      <c r="E112" s="493" t="s">
        <v>111</v>
      </c>
      <c r="F112" s="303" t="s">
        <v>62</v>
      </c>
      <c r="G112" s="507" t="s">
        <v>176</v>
      </c>
    </row>
    <row r="113" spans="1:8" ht="15.75" thickBot="1">
      <c r="A113" s="490"/>
      <c r="B113" s="492"/>
      <c r="C113" s="492"/>
      <c r="D113" s="492"/>
      <c r="E113" s="494"/>
      <c r="F113" s="302" t="s">
        <v>113</v>
      </c>
      <c r="G113" s="508"/>
    </row>
    <row r="114" spans="1:8" ht="27">
      <c r="A114" s="268">
        <v>1</v>
      </c>
      <c r="B114" s="273" t="s">
        <v>177</v>
      </c>
      <c r="C114" s="283">
        <v>331905</v>
      </c>
      <c r="D114" s="279" t="s">
        <v>125</v>
      </c>
      <c r="E114" s="308">
        <v>7.97</v>
      </c>
      <c r="F114" s="357">
        <v>5</v>
      </c>
      <c r="G114" s="358">
        <f>F114*E114</f>
        <v>39.85</v>
      </c>
      <c r="H114" s="362"/>
    </row>
    <row r="115" spans="1:8" ht="27">
      <c r="A115" s="270">
        <v>2</v>
      </c>
      <c r="B115" s="275" t="s">
        <v>178</v>
      </c>
      <c r="C115" s="284">
        <v>17396</v>
      </c>
      <c r="D115" s="281" t="s">
        <v>179</v>
      </c>
      <c r="E115" s="309">
        <v>16.55</v>
      </c>
      <c r="F115" s="311">
        <v>5</v>
      </c>
      <c r="G115" s="313">
        <f t="shared" ref="G115:G125" si="85">F115*E115</f>
        <v>82.75</v>
      </c>
      <c r="H115" s="362"/>
    </row>
    <row r="116" spans="1:8">
      <c r="A116" s="269">
        <v>3</v>
      </c>
      <c r="B116" s="274" t="s">
        <v>180</v>
      </c>
      <c r="C116" s="285">
        <v>245704</v>
      </c>
      <c r="D116" s="280" t="s">
        <v>125</v>
      </c>
      <c r="E116" s="309">
        <v>21.07</v>
      </c>
      <c r="F116" s="359">
        <v>5</v>
      </c>
      <c r="G116" s="360">
        <f t="shared" si="85"/>
        <v>105.35</v>
      </c>
      <c r="H116" s="362"/>
    </row>
    <row r="117" spans="1:8">
      <c r="A117" s="271">
        <v>4</v>
      </c>
      <c r="B117" s="277" t="s">
        <v>181</v>
      </c>
      <c r="C117" s="284">
        <v>279310</v>
      </c>
      <c r="D117" s="281" t="s">
        <v>122</v>
      </c>
      <c r="E117" s="309">
        <v>5.65</v>
      </c>
      <c r="F117" s="311">
        <v>2</v>
      </c>
      <c r="G117" s="313">
        <f t="shared" si="85"/>
        <v>11.3</v>
      </c>
      <c r="H117" s="362"/>
    </row>
    <row r="118" spans="1:8" ht="27">
      <c r="A118" s="272">
        <v>5</v>
      </c>
      <c r="B118" s="276" t="s">
        <v>182</v>
      </c>
      <c r="C118" s="286">
        <f>C23</f>
        <v>419326</v>
      </c>
      <c r="D118" s="280" t="s">
        <v>122</v>
      </c>
      <c r="E118" s="361">
        <f>E23</f>
        <v>0.69</v>
      </c>
      <c r="F118" s="359">
        <v>5</v>
      </c>
      <c r="G118" s="360">
        <f t="shared" si="85"/>
        <v>3.45</v>
      </c>
      <c r="H118" s="362" t="s">
        <v>183</v>
      </c>
    </row>
    <row r="119" spans="1:8">
      <c r="A119" s="271">
        <v>6</v>
      </c>
      <c r="B119" s="277" t="s">
        <v>184</v>
      </c>
      <c r="C119" s="284">
        <v>448266</v>
      </c>
      <c r="D119" s="281" t="s">
        <v>122</v>
      </c>
      <c r="E119" s="309">
        <v>10.53</v>
      </c>
      <c r="F119" s="311">
        <v>10</v>
      </c>
      <c r="G119" s="313">
        <f t="shared" si="85"/>
        <v>105.3</v>
      </c>
      <c r="H119" s="362"/>
    </row>
    <row r="120" spans="1:8">
      <c r="A120" s="272">
        <v>7</v>
      </c>
      <c r="B120" s="276" t="s">
        <v>185</v>
      </c>
      <c r="C120" s="286">
        <f>C39</f>
        <v>277505</v>
      </c>
      <c r="D120" s="282" t="s">
        <v>148</v>
      </c>
      <c r="E120" s="361">
        <f>E39</f>
        <v>5.51</v>
      </c>
      <c r="F120" s="359">
        <v>2</v>
      </c>
      <c r="G120" s="360">
        <f t="shared" si="85"/>
        <v>11.02</v>
      </c>
      <c r="H120" s="362" t="s">
        <v>186</v>
      </c>
    </row>
    <row r="121" spans="1:8">
      <c r="A121" s="270">
        <v>8</v>
      </c>
      <c r="B121" s="277" t="s">
        <v>187</v>
      </c>
      <c r="C121" s="284">
        <f>C41</f>
        <v>420505</v>
      </c>
      <c r="D121" s="281" t="s">
        <v>122</v>
      </c>
      <c r="E121" s="356">
        <f>E41</f>
        <v>1.93</v>
      </c>
      <c r="F121" s="311">
        <v>10</v>
      </c>
      <c r="G121" s="313">
        <f t="shared" si="85"/>
        <v>19.3</v>
      </c>
      <c r="H121" s="362" t="s">
        <v>188</v>
      </c>
    </row>
    <row r="122" spans="1:8">
      <c r="A122" s="269">
        <v>9</v>
      </c>
      <c r="B122" s="278" t="s">
        <v>189</v>
      </c>
      <c r="C122" s="286">
        <v>478331</v>
      </c>
      <c r="D122" s="280" t="s">
        <v>115</v>
      </c>
      <c r="E122" s="309">
        <v>16.23</v>
      </c>
      <c r="F122" s="359">
        <v>5</v>
      </c>
      <c r="G122" s="360">
        <f t="shared" si="85"/>
        <v>81.150000000000006</v>
      </c>
      <c r="H122" s="362"/>
    </row>
    <row r="123" spans="1:8">
      <c r="A123" s="270">
        <v>10</v>
      </c>
      <c r="B123" s="277" t="s">
        <v>190</v>
      </c>
      <c r="C123" s="284">
        <f>C55</f>
        <v>357462</v>
      </c>
      <c r="D123" s="281" t="s">
        <v>122</v>
      </c>
      <c r="E123" s="356">
        <f>E55</f>
        <v>3.71</v>
      </c>
      <c r="F123" s="311">
        <v>5</v>
      </c>
      <c r="G123" s="313">
        <f t="shared" si="85"/>
        <v>18.55</v>
      </c>
      <c r="H123" s="362" t="s">
        <v>191</v>
      </c>
    </row>
    <row r="124" spans="1:8">
      <c r="A124" s="269">
        <v>11</v>
      </c>
      <c r="B124" s="276" t="s">
        <v>192</v>
      </c>
      <c r="C124" s="285">
        <v>342233</v>
      </c>
      <c r="D124" s="280" t="s">
        <v>115</v>
      </c>
      <c r="E124" s="309">
        <v>10.83</v>
      </c>
      <c r="F124" s="359">
        <v>5</v>
      </c>
      <c r="G124" s="360">
        <f t="shared" si="85"/>
        <v>54.15</v>
      </c>
      <c r="H124" s="362"/>
    </row>
    <row r="125" spans="1:8" ht="15.75" thickBot="1">
      <c r="A125" s="304">
        <v>12</v>
      </c>
      <c r="B125" s="305" t="s">
        <v>193</v>
      </c>
      <c r="C125" s="306"/>
      <c r="D125" s="307" t="s">
        <v>115</v>
      </c>
      <c r="E125" s="310">
        <v>5.78</v>
      </c>
      <c r="F125" s="312">
        <v>30</v>
      </c>
      <c r="G125" s="314">
        <f t="shared" si="85"/>
        <v>173.4</v>
      </c>
      <c r="H125" s="362"/>
    </row>
    <row r="126" spans="1:8" ht="15.75" thickBot="1">
      <c r="D126" s="480" t="s">
        <v>172</v>
      </c>
      <c r="E126" s="481"/>
      <c r="F126" s="504"/>
      <c r="G126" s="355">
        <f>SUM(G114:G125)</f>
        <v>705.57</v>
      </c>
    </row>
    <row r="127" spans="1:8" ht="15.75" customHeight="1" thickBot="1">
      <c r="D127" s="482" t="s">
        <v>173</v>
      </c>
      <c r="E127" s="483"/>
      <c r="F127" s="505"/>
      <c r="G127" s="301">
        <f>'SR - Lavador'!C11</f>
        <v>1</v>
      </c>
    </row>
    <row r="128" spans="1:8" ht="15.75" customHeight="1" thickBot="1">
      <c r="D128" s="476" t="s">
        <v>174</v>
      </c>
      <c r="E128" s="477"/>
      <c r="F128" s="506"/>
      <c r="G128" s="354">
        <f>G126/G127</f>
        <v>705.57</v>
      </c>
    </row>
  </sheetData>
  <protectedRanges>
    <protectedRange sqref="E114:E125 E5:E106" name="Intervalo1_1"/>
  </protectedRanges>
  <mergeCells count="275">
    <mergeCell ref="B91:B92"/>
    <mergeCell ref="C91:C92"/>
    <mergeCell ref="D91:D92"/>
    <mergeCell ref="E91:E92"/>
    <mergeCell ref="A93:A94"/>
    <mergeCell ref="B93:B94"/>
    <mergeCell ref="C93:C94"/>
    <mergeCell ref="D93:D94"/>
    <mergeCell ref="E93:E94"/>
    <mergeCell ref="A91:A92"/>
    <mergeCell ref="D87:D88"/>
    <mergeCell ref="E87:E88"/>
    <mergeCell ref="A89:A90"/>
    <mergeCell ref="B89:B90"/>
    <mergeCell ref="C89:C90"/>
    <mergeCell ref="D89:D90"/>
    <mergeCell ref="E89:E90"/>
    <mergeCell ref="A83:A84"/>
    <mergeCell ref="B83:B84"/>
    <mergeCell ref="C83:C84"/>
    <mergeCell ref="D83:D84"/>
    <mergeCell ref="E83:E84"/>
    <mergeCell ref="A85:A86"/>
    <mergeCell ref="B85:B86"/>
    <mergeCell ref="C85:C86"/>
    <mergeCell ref="D85:D86"/>
    <mergeCell ref="E85:E86"/>
    <mergeCell ref="D126:F126"/>
    <mergeCell ref="D127:F127"/>
    <mergeCell ref="D128:F128"/>
    <mergeCell ref="G112:G113"/>
    <mergeCell ref="A111:G111"/>
    <mergeCell ref="E21:E22"/>
    <mergeCell ref="A23:A24"/>
    <mergeCell ref="B23:B24"/>
    <mergeCell ref="C23:C24"/>
    <mergeCell ref="D23:D24"/>
    <mergeCell ref="E23:E24"/>
    <mergeCell ref="A112:A113"/>
    <mergeCell ref="B112:B113"/>
    <mergeCell ref="C112:C113"/>
    <mergeCell ref="D112:D113"/>
    <mergeCell ref="E112:E113"/>
    <mergeCell ref="A25:A26"/>
    <mergeCell ref="B25:B26"/>
    <mergeCell ref="C25:C26"/>
    <mergeCell ref="D25:D26"/>
    <mergeCell ref="E25:E26"/>
    <mergeCell ref="A21:A22"/>
    <mergeCell ref="B21:B22"/>
    <mergeCell ref="C21:C22"/>
    <mergeCell ref="C5:C6"/>
    <mergeCell ref="D5:D6"/>
    <mergeCell ref="E5:E6"/>
    <mergeCell ref="A9:A10"/>
    <mergeCell ref="B9:B10"/>
    <mergeCell ref="C9:C10"/>
    <mergeCell ref="D9:D10"/>
    <mergeCell ref="E9:E10"/>
    <mergeCell ref="E11:E12"/>
    <mergeCell ref="A11:A12"/>
    <mergeCell ref="B11:B12"/>
    <mergeCell ref="C11:C12"/>
    <mergeCell ref="D11:D12"/>
    <mergeCell ref="B1:J1"/>
    <mergeCell ref="A13:A14"/>
    <mergeCell ref="B13:B14"/>
    <mergeCell ref="C13:C14"/>
    <mergeCell ref="D13:D14"/>
    <mergeCell ref="E13:E14"/>
    <mergeCell ref="A17:A18"/>
    <mergeCell ref="B17:B18"/>
    <mergeCell ref="C17:C18"/>
    <mergeCell ref="D17:D18"/>
    <mergeCell ref="E17:E18"/>
    <mergeCell ref="A3:A4"/>
    <mergeCell ref="B3:B4"/>
    <mergeCell ref="C3:C4"/>
    <mergeCell ref="D3:D4"/>
    <mergeCell ref="E3:E4"/>
    <mergeCell ref="F3:S3"/>
    <mergeCell ref="A15:A16"/>
    <mergeCell ref="B15:B16"/>
    <mergeCell ref="C15:C16"/>
    <mergeCell ref="D15:D16"/>
    <mergeCell ref="E15:E16"/>
    <mergeCell ref="A5:A6"/>
    <mergeCell ref="B5:B6"/>
    <mergeCell ref="A19:A20"/>
    <mergeCell ref="B19:B20"/>
    <mergeCell ref="C19:C20"/>
    <mergeCell ref="D19:D20"/>
    <mergeCell ref="E19:E20"/>
    <mergeCell ref="D21:D22"/>
    <mergeCell ref="A27:A28"/>
    <mergeCell ref="B27:B28"/>
    <mergeCell ref="C27:C28"/>
    <mergeCell ref="D27:D28"/>
    <mergeCell ref="E27:E28"/>
    <mergeCell ref="A31:A32"/>
    <mergeCell ref="B31:B32"/>
    <mergeCell ref="C31:C32"/>
    <mergeCell ref="D31:D32"/>
    <mergeCell ref="E31:E32"/>
    <mergeCell ref="B37:B38"/>
    <mergeCell ref="C37:C38"/>
    <mergeCell ref="D37:D38"/>
    <mergeCell ref="E37:E38"/>
    <mergeCell ref="E33:E34"/>
    <mergeCell ref="A33:A34"/>
    <mergeCell ref="B33:B34"/>
    <mergeCell ref="C33:C34"/>
    <mergeCell ref="D33:D34"/>
    <mergeCell ref="A37:A38"/>
    <mergeCell ref="A43:A44"/>
    <mergeCell ref="B43:B44"/>
    <mergeCell ref="C43:C44"/>
    <mergeCell ref="D43:D44"/>
    <mergeCell ref="E43:E44"/>
    <mergeCell ref="A47:A48"/>
    <mergeCell ref="B47:B48"/>
    <mergeCell ref="C47:C48"/>
    <mergeCell ref="D47:D48"/>
    <mergeCell ref="E47:E48"/>
    <mergeCell ref="A45:A46"/>
    <mergeCell ref="B45:B46"/>
    <mergeCell ref="C45:C46"/>
    <mergeCell ref="D45:D46"/>
    <mergeCell ref="E45:E46"/>
    <mergeCell ref="A59:A60"/>
    <mergeCell ref="B59:B60"/>
    <mergeCell ref="C59:C60"/>
    <mergeCell ref="D59:D60"/>
    <mergeCell ref="E59:E60"/>
    <mergeCell ref="A49:A50"/>
    <mergeCell ref="B49:B50"/>
    <mergeCell ref="C49:C50"/>
    <mergeCell ref="D49:D50"/>
    <mergeCell ref="E49:E50"/>
    <mergeCell ref="A53:A54"/>
    <mergeCell ref="B53:B54"/>
    <mergeCell ref="C53:C54"/>
    <mergeCell ref="D53:D54"/>
    <mergeCell ref="E53:E54"/>
    <mergeCell ref="A57:A58"/>
    <mergeCell ref="B57:B58"/>
    <mergeCell ref="C57:C58"/>
    <mergeCell ref="D57:D58"/>
    <mergeCell ref="E57:E58"/>
    <mergeCell ref="A55:A56"/>
    <mergeCell ref="B55:B56"/>
    <mergeCell ref="C55:C56"/>
    <mergeCell ref="D55:D56"/>
    <mergeCell ref="A61:A62"/>
    <mergeCell ref="B61:B62"/>
    <mergeCell ref="C61:C62"/>
    <mergeCell ref="D61:D62"/>
    <mergeCell ref="E61:E62"/>
    <mergeCell ref="A71:A72"/>
    <mergeCell ref="B71:B72"/>
    <mergeCell ref="C71:C72"/>
    <mergeCell ref="D71:D72"/>
    <mergeCell ref="E71:E72"/>
    <mergeCell ref="D65:D66"/>
    <mergeCell ref="E65:E66"/>
    <mergeCell ref="A67:A68"/>
    <mergeCell ref="B67:B68"/>
    <mergeCell ref="C67:C68"/>
    <mergeCell ref="D67:D68"/>
    <mergeCell ref="E67:E68"/>
    <mergeCell ref="A69:A70"/>
    <mergeCell ref="B69:B70"/>
    <mergeCell ref="C69:C70"/>
    <mergeCell ref="D107:E107"/>
    <mergeCell ref="D108:E108"/>
    <mergeCell ref="A29:A30"/>
    <mergeCell ref="A39:A40"/>
    <mergeCell ref="B39:B40"/>
    <mergeCell ref="C39:C40"/>
    <mergeCell ref="D39:D40"/>
    <mergeCell ref="A41:A42"/>
    <mergeCell ref="B41:B42"/>
    <mergeCell ref="C41:C42"/>
    <mergeCell ref="D41:D42"/>
    <mergeCell ref="E41:E42"/>
    <mergeCell ref="A35:A36"/>
    <mergeCell ref="B35:B36"/>
    <mergeCell ref="C35:C36"/>
    <mergeCell ref="D35:D36"/>
    <mergeCell ref="E35:E36"/>
    <mergeCell ref="E55:E56"/>
    <mergeCell ref="A51:A52"/>
    <mergeCell ref="B51:B52"/>
    <mergeCell ref="C51:C52"/>
    <mergeCell ref="D51:D52"/>
    <mergeCell ref="E51:E52"/>
    <mergeCell ref="E77:E78"/>
    <mergeCell ref="D109:E109"/>
    <mergeCell ref="A7:A8"/>
    <mergeCell ref="B7:B8"/>
    <mergeCell ref="C7:C8"/>
    <mergeCell ref="D7:D8"/>
    <mergeCell ref="E7:E8"/>
    <mergeCell ref="B29:B30"/>
    <mergeCell ref="E29:E30"/>
    <mergeCell ref="A97:A98"/>
    <mergeCell ref="B97:B98"/>
    <mergeCell ref="C97:C98"/>
    <mergeCell ref="D97:D98"/>
    <mergeCell ref="E97:E98"/>
    <mergeCell ref="A65:A66"/>
    <mergeCell ref="B65:B66"/>
    <mergeCell ref="C65:C66"/>
    <mergeCell ref="E39:E40"/>
    <mergeCell ref="D29:D30"/>
    <mergeCell ref="C29:C30"/>
    <mergeCell ref="D69:D70"/>
    <mergeCell ref="E69:E70"/>
    <mergeCell ref="B77:B78"/>
    <mergeCell ref="C77:C78"/>
    <mergeCell ref="D77:D78"/>
    <mergeCell ref="A63:A64"/>
    <mergeCell ref="B63:B64"/>
    <mergeCell ref="C63:C64"/>
    <mergeCell ref="D63:D64"/>
    <mergeCell ref="E63:E64"/>
    <mergeCell ref="A105:A106"/>
    <mergeCell ref="B105:B106"/>
    <mergeCell ref="C105:C106"/>
    <mergeCell ref="D105:D106"/>
    <mergeCell ref="E105:E106"/>
    <mergeCell ref="A99:A100"/>
    <mergeCell ref="B99:B100"/>
    <mergeCell ref="C99:C100"/>
    <mergeCell ref="D99:D100"/>
    <mergeCell ref="E99:E100"/>
    <mergeCell ref="A101:A102"/>
    <mergeCell ref="B101:B102"/>
    <mergeCell ref="C101:C102"/>
    <mergeCell ref="D101:D102"/>
    <mergeCell ref="E101:E102"/>
    <mergeCell ref="A103:A104"/>
    <mergeCell ref="A87:A88"/>
    <mergeCell ref="B87:B88"/>
    <mergeCell ref="C87:C88"/>
    <mergeCell ref="B103:B104"/>
    <mergeCell ref="C103:C104"/>
    <mergeCell ref="D103:D104"/>
    <mergeCell ref="E103:E104"/>
    <mergeCell ref="A95:A96"/>
    <mergeCell ref="B95:B96"/>
    <mergeCell ref="C95:C96"/>
    <mergeCell ref="D95:D96"/>
    <mergeCell ref="E95:E96"/>
    <mergeCell ref="A81:A82"/>
    <mergeCell ref="B81:B82"/>
    <mergeCell ref="C81:C82"/>
    <mergeCell ref="D81:D82"/>
    <mergeCell ref="E81:E82"/>
    <mergeCell ref="A73:A74"/>
    <mergeCell ref="B73:B74"/>
    <mergeCell ref="C73:C74"/>
    <mergeCell ref="D73:D74"/>
    <mergeCell ref="E73:E74"/>
    <mergeCell ref="A75:A76"/>
    <mergeCell ref="B75:B76"/>
    <mergeCell ref="A79:A80"/>
    <mergeCell ref="B79:B80"/>
    <mergeCell ref="C79:C80"/>
    <mergeCell ref="D79:D80"/>
    <mergeCell ref="E79:E80"/>
    <mergeCell ref="A77:A78"/>
    <mergeCell ref="C75:C76"/>
    <mergeCell ref="D75:D76"/>
    <mergeCell ref="E75:E7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1DB7F-5658-4438-9A2B-94099094B0E7}">
  <sheetPr codeName="Planilha6">
    <tabColor theme="7" tint="-0.249977111117893"/>
  </sheetPr>
  <dimension ref="A2:T140"/>
  <sheetViews>
    <sheetView workbookViewId="0">
      <pane ySplit="1230" topLeftCell="A123" activePane="bottomLeft"/>
      <selection pane="bottomLeft" activeCell="C128" sqref="C128:C129"/>
      <selection activeCell="G3" sqref="G3:T3"/>
    </sheetView>
  </sheetViews>
  <sheetFormatPr defaultColWidth="9.140625" defaultRowHeight="15"/>
  <cols>
    <col min="1" max="1" width="5.85546875" style="199" customWidth="1"/>
    <col min="2" max="2" width="60.28515625" style="199" customWidth="1"/>
    <col min="3" max="4" width="12.7109375" style="222" customWidth="1"/>
    <col min="5" max="5" width="14.42578125" style="222" customWidth="1"/>
    <col min="6" max="6" width="12.140625" style="199" bestFit="1" customWidth="1"/>
    <col min="7" max="7" width="10.42578125" style="199" bestFit="1" customWidth="1"/>
    <col min="8" max="9" width="9.5703125" style="199" bestFit="1" customWidth="1"/>
    <col min="10" max="10" width="9.7109375" style="199" bestFit="1" customWidth="1"/>
    <col min="11" max="13" width="9.5703125" style="199" bestFit="1" customWidth="1"/>
    <col min="14" max="14" width="9.85546875" style="199" bestFit="1" customWidth="1"/>
    <col min="15" max="16" width="9.5703125" style="199" bestFit="1" customWidth="1"/>
    <col min="17" max="17" width="9.85546875" style="199" bestFit="1" customWidth="1"/>
    <col min="18" max="20" width="9.5703125" style="199" bestFit="1" customWidth="1"/>
    <col min="21" max="16384" width="9.140625" style="199"/>
  </cols>
  <sheetData>
    <row r="2" spans="1:20" ht="15.75" thickBot="1"/>
    <row r="3" spans="1:20" ht="15.75" customHeight="1" thickBot="1">
      <c r="A3" s="627" t="s">
        <v>108</v>
      </c>
      <c r="B3" s="632" t="s">
        <v>194</v>
      </c>
      <c r="C3" s="627" t="s">
        <v>195</v>
      </c>
      <c r="D3" s="627" t="s">
        <v>60</v>
      </c>
      <c r="E3" s="627" t="s">
        <v>64</v>
      </c>
      <c r="F3" s="627" t="s">
        <v>196</v>
      </c>
      <c r="G3" s="629" t="s">
        <v>197</v>
      </c>
      <c r="H3" s="630"/>
      <c r="I3" s="630"/>
      <c r="J3" s="630"/>
      <c r="K3" s="630"/>
      <c r="L3" s="630"/>
      <c r="M3" s="630"/>
      <c r="N3" s="630"/>
      <c r="O3" s="630"/>
      <c r="P3" s="630"/>
      <c r="Q3" s="630"/>
      <c r="R3" s="630"/>
      <c r="S3" s="630"/>
      <c r="T3" s="631"/>
    </row>
    <row r="4" spans="1:20" ht="15.75" thickBot="1">
      <c r="A4" s="628"/>
      <c r="B4" s="633"/>
      <c r="C4" s="628"/>
      <c r="D4" s="628"/>
      <c r="E4" s="628"/>
      <c r="F4" s="628"/>
      <c r="G4" s="214" t="s">
        <v>113</v>
      </c>
      <c r="H4" s="214" t="s">
        <v>102</v>
      </c>
      <c r="I4" s="214" t="s">
        <v>94</v>
      </c>
      <c r="J4" s="214" t="s">
        <v>106</v>
      </c>
      <c r="K4" s="214" t="s">
        <v>105</v>
      </c>
      <c r="L4" s="214" t="s">
        <v>198</v>
      </c>
      <c r="M4" s="214" t="s">
        <v>103</v>
      </c>
      <c r="N4" s="214" t="s">
        <v>104</v>
      </c>
      <c r="O4" s="214" t="s">
        <v>96</v>
      </c>
      <c r="P4" s="218" t="s">
        <v>100</v>
      </c>
      <c r="Q4" s="214" t="s">
        <v>99</v>
      </c>
      <c r="R4" s="214" t="s">
        <v>101</v>
      </c>
      <c r="S4" s="214" t="s">
        <v>97</v>
      </c>
      <c r="T4" s="214" t="s">
        <v>98</v>
      </c>
    </row>
    <row r="5" spans="1:20">
      <c r="A5" s="518">
        <v>1</v>
      </c>
      <c r="B5" s="531" t="s">
        <v>199</v>
      </c>
      <c r="C5" s="533" t="s">
        <v>200</v>
      </c>
      <c r="D5" s="535">
        <v>451680</v>
      </c>
      <c r="E5" s="537">
        <v>120</v>
      </c>
      <c r="F5" s="624">
        <v>360.71</v>
      </c>
      <c r="G5" s="223">
        <v>2</v>
      </c>
      <c r="H5" s="219">
        <v>1</v>
      </c>
      <c r="I5" s="219">
        <v>1</v>
      </c>
      <c r="J5" s="219">
        <v>1</v>
      </c>
      <c r="K5" s="219">
        <v>1</v>
      </c>
      <c r="L5" s="219">
        <v>1</v>
      </c>
      <c r="M5" s="219">
        <v>1</v>
      </c>
      <c r="N5" s="219">
        <v>1</v>
      </c>
      <c r="O5" s="219">
        <v>1</v>
      </c>
      <c r="P5" s="220">
        <v>1</v>
      </c>
      <c r="Q5" s="219">
        <v>1</v>
      </c>
      <c r="R5" s="219">
        <v>1</v>
      </c>
      <c r="S5" s="219">
        <v>1</v>
      </c>
      <c r="T5" s="221">
        <v>1</v>
      </c>
    </row>
    <row r="6" spans="1:20" ht="45.75" customHeight="1" thickBot="1">
      <c r="A6" s="582"/>
      <c r="B6" s="597"/>
      <c r="C6" s="543"/>
      <c r="D6" s="544"/>
      <c r="E6" s="545"/>
      <c r="F6" s="625"/>
      <c r="G6" s="319">
        <f>G5*$F$5/$E$5</f>
        <v>6.01</v>
      </c>
      <c r="H6" s="320">
        <f>H5*$F$5/$E$5</f>
        <v>3.01</v>
      </c>
      <c r="I6" s="320">
        <f t="shared" ref="I6:T6" si="0">I5*$F$5/$E$5</f>
        <v>3.01</v>
      </c>
      <c r="J6" s="320">
        <f t="shared" si="0"/>
        <v>3.01</v>
      </c>
      <c r="K6" s="320">
        <f t="shared" si="0"/>
        <v>3.01</v>
      </c>
      <c r="L6" s="320">
        <f t="shared" si="0"/>
        <v>3.01</v>
      </c>
      <c r="M6" s="320">
        <f t="shared" si="0"/>
        <v>3.01</v>
      </c>
      <c r="N6" s="320">
        <f t="shared" si="0"/>
        <v>3.01</v>
      </c>
      <c r="O6" s="320">
        <f t="shared" si="0"/>
        <v>3.01</v>
      </c>
      <c r="P6" s="320">
        <f t="shared" si="0"/>
        <v>3.01</v>
      </c>
      <c r="Q6" s="320">
        <f t="shared" si="0"/>
        <v>3.01</v>
      </c>
      <c r="R6" s="320">
        <f t="shared" si="0"/>
        <v>3.01</v>
      </c>
      <c r="S6" s="320">
        <f t="shared" si="0"/>
        <v>3.01</v>
      </c>
      <c r="T6" s="321">
        <f t="shared" si="0"/>
        <v>3.01</v>
      </c>
    </row>
    <row r="7" spans="1:20">
      <c r="A7" s="576">
        <v>2</v>
      </c>
      <c r="B7" s="598" t="s">
        <v>201</v>
      </c>
      <c r="C7" s="616" t="s">
        <v>200</v>
      </c>
      <c r="D7" s="522">
        <v>443451</v>
      </c>
      <c r="E7" s="524">
        <v>60</v>
      </c>
      <c r="F7" s="516">
        <v>238.1</v>
      </c>
      <c r="G7" s="322">
        <v>15</v>
      </c>
      <c r="H7" s="327">
        <v>2</v>
      </c>
      <c r="I7" s="327">
        <v>2</v>
      </c>
      <c r="J7" s="327">
        <v>2</v>
      </c>
      <c r="K7" s="327">
        <v>2</v>
      </c>
      <c r="L7" s="327">
        <v>2</v>
      </c>
      <c r="M7" s="327">
        <v>2</v>
      </c>
      <c r="N7" s="327">
        <v>4</v>
      </c>
      <c r="O7" s="327">
        <v>2</v>
      </c>
      <c r="P7" s="328">
        <v>2</v>
      </c>
      <c r="Q7" s="327">
        <v>0</v>
      </c>
      <c r="R7" s="327">
        <v>1</v>
      </c>
      <c r="S7" s="327">
        <v>2</v>
      </c>
      <c r="T7" s="329">
        <v>1</v>
      </c>
    </row>
    <row r="8" spans="1:20" ht="54" customHeight="1" thickBot="1">
      <c r="A8" s="577"/>
      <c r="B8" s="599"/>
      <c r="C8" s="555"/>
      <c r="D8" s="523"/>
      <c r="E8" s="525"/>
      <c r="F8" s="517"/>
      <c r="G8" s="225">
        <f>G7*$F$7/$E$7</f>
        <v>59.53</v>
      </c>
      <c r="H8" s="226">
        <f t="shared" ref="H8:T8" si="1">H7*$F$7/$E$7</f>
        <v>7.94</v>
      </c>
      <c r="I8" s="226">
        <f t="shared" si="1"/>
        <v>7.94</v>
      </c>
      <c r="J8" s="226">
        <f t="shared" si="1"/>
        <v>7.94</v>
      </c>
      <c r="K8" s="226">
        <f t="shared" si="1"/>
        <v>7.94</v>
      </c>
      <c r="L8" s="226">
        <f t="shared" si="1"/>
        <v>7.94</v>
      </c>
      <c r="M8" s="226">
        <f t="shared" si="1"/>
        <v>7.94</v>
      </c>
      <c r="N8" s="226">
        <f t="shared" si="1"/>
        <v>15.87</v>
      </c>
      <c r="O8" s="226">
        <f t="shared" si="1"/>
        <v>7.94</v>
      </c>
      <c r="P8" s="226">
        <f t="shared" si="1"/>
        <v>7.94</v>
      </c>
      <c r="Q8" s="226">
        <f t="shared" si="1"/>
        <v>0</v>
      </c>
      <c r="R8" s="226">
        <f t="shared" si="1"/>
        <v>3.97</v>
      </c>
      <c r="S8" s="226">
        <f t="shared" si="1"/>
        <v>7.94</v>
      </c>
      <c r="T8" s="227">
        <f t="shared" si="1"/>
        <v>3.97</v>
      </c>
    </row>
    <row r="9" spans="1:20">
      <c r="A9" s="518">
        <v>3</v>
      </c>
      <c r="B9" s="531" t="s">
        <v>202</v>
      </c>
      <c r="C9" s="533" t="s">
        <v>200</v>
      </c>
      <c r="D9" s="535">
        <v>372442</v>
      </c>
      <c r="E9" s="537">
        <v>36</v>
      </c>
      <c r="F9" s="624">
        <v>9.17</v>
      </c>
      <c r="G9" s="223">
        <v>10</v>
      </c>
      <c r="H9" s="219">
        <v>2</v>
      </c>
      <c r="I9" s="219">
        <v>3</v>
      </c>
      <c r="J9" s="219">
        <v>2</v>
      </c>
      <c r="K9" s="219">
        <v>2</v>
      </c>
      <c r="L9" s="219">
        <v>3</v>
      </c>
      <c r="M9" s="219">
        <v>2</v>
      </c>
      <c r="N9" s="219">
        <v>5</v>
      </c>
      <c r="O9" s="219">
        <v>3</v>
      </c>
      <c r="P9" s="220">
        <v>0</v>
      </c>
      <c r="Q9" s="219">
        <v>6</v>
      </c>
      <c r="R9" s="219">
        <v>2</v>
      </c>
      <c r="S9" s="219">
        <v>3</v>
      </c>
      <c r="T9" s="221">
        <v>2</v>
      </c>
    </row>
    <row r="10" spans="1:20" ht="15.75" thickBot="1">
      <c r="A10" s="582"/>
      <c r="B10" s="597"/>
      <c r="C10" s="543"/>
      <c r="D10" s="544"/>
      <c r="E10" s="545"/>
      <c r="F10" s="625"/>
      <c r="G10" s="319">
        <f>G9*$F9/$E9</f>
        <v>2.5499999999999998</v>
      </c>
      <c r="H10" s="320">
        <f t="shared" ref="H10:T10" si="2">H9*$F$9/$E$9</f>
        <v>0.51</v>
      </c>
      <c r="I10" s="320">
        <f t="shared" si="2"/>
        <v>0.76</v>
      </c>
      <c r="J10" s="320">
        <f t="shared" si="2"/>
        <v>0.51</v>
      </c>
      <c r="K10" s="320">
        <f t="shared" si="2"/>
        <v>0.51</v>
      </c>
      <c r="L10" s="320">
        <f t="shared" si="2"/>
        <v>0.76</v>
      </c>
      <c r="M10" s="320">
        <f t="shared" si="2"/>
        <v>0.51</v>
      </c>
      <c r="N10" s="320">
        <f t="shared" si="2"/>
        <v>1.27</v>
      </c>
      <c r="O10" s="320">
        <f t="shared" si="2"/>
        <v>0.76</v>
      </c>
      <c r="P10" s="320">
        <f t="shared" si="2"/>
        <v>0</v>
      </c>
      <c r="Q10" s="320">
        <f t="shared" si="2"/>
        <v>1.53</v>
      </c>
      <c r="R10" s="320">
        <f t="shared" si="2"/>
        <v>0.51</v>
      </c>
      <c r="S10" s="320">
        <f t="shared" si="2"/>
        <v>0.76</v>
      </c>
      <c r="T10" s="321">
        <f t="shared" si="2"/>
        <v>0.51</v>
      </c>
    </row>
    <row r="11" spans="1:20" ht="14.25" customHeight="1">
      <c r="A11" s="576">
        <v>4</v>
      </c>
      <c r="B11" s="606" t="s">
        <v>203</v>
      </c>
      <c r="C11" s="616" t="s">
        <v>200</v>
      </c>
      <c r="D11" s="522">
        <v>321573</v>
      </c>
      <c r="E11" s="524">
        <v>36</v>
      </c>
      <c r="F11" s="516">
        <v>14.04</v>
      </c>
      <c r="G11" s="353">
        <v>10</v>
      </c>
      <c r="H11" s="341">
        <v>1</v>
      </c>
      <c r="I11" s="341">
        <v>0</v>
      </c>
      <c r="J11" s="341">
        <v>0</v>
      </c>
      <c r="K11" s="341">
        <v>0</v>
      </c>
      <c r="L11" s="341">
        <v>3</v>
      </c>
      <c r="M11" s="341">
        <v>2</v>
      </c>
      <c r="N11" s="341">
        <v>3</v>
      </c>
      <c r="O11" s="341">
        <v>3</v>
      </c>
      <c r="P11" s="339">
        <v>2</v>
      </c>
      <c r="Q11" s="341">
        <v>4</v>
      </c>
      <c r="R11" s="341">
        <v>2</v>
      </c>
      <c r="S11" s="341">
        <v>2</v>
      </c>
      <c r="T11" s="342">
        <v>2</v>
      </c>
    </row>
    <row r="12" spans="1:20" ht="34.5" customHeight="1" thickBot="1">
      <c r="A12" s="577"/>
      <c r="B12" s="607"/>
      <c r="C12" s="555"/>
      <c r="D12" s="523"/>
      <c r="E12" s="525"/>
      <c r="F12" s="517"/>
      <c r="G12" s="225">
        <f>G11*$F11/$E11</f>
        <v>3.9</v>
      </c>
      <c r="H12" s="226">
        <f t="shared" ref="H12:S12" si="3">H11*$F11/$E11</f>
        <v>0.39</v>
      </c>
      <c r="I12" s="226">
        <f t="shared" si="3"/>
        <v>0</v>
      </c>
      <c r="J12" s="226">
        <f t="shared" si="3"/>
        <v>0</v>
      </c>
      <c r="K12" s="226">
        <f t="shared" si="3"/>
        <v>0</v>
      </c>
      <c r="L12" s="226">
        <f t="shared" si="3"/>
        <v>1.17</v>
      </c>
      <c r="M12" s="226">
        <f t="shared" si="3"/>
        <v>0.78</v>
      </c>
      <c r="N12" s="226">
        <f t="shared" si="3"/>
        <v>1.17</v>
      </c>
      <c r="O12" s="226">
        <f t="shared" si="3"/>
        <v>1.17</v>
      </c>
      <c r="P12" s="226">
        <f t="shared" si="3"/>
        <v>0.78</v>
      </c>
      <c r="Q12" s="226">
        <f t="shared" si="3"/>
        <v>1.56</v>
      </c>
      <c r="R12" s="226">
        <f t="shared" si="3"/>
        <v>0.78</v>
      </c>
      <c r="S12" s="226">
        <f t="shared" si="3"/>
        <v>0.78</v>
      </c>
      <c r="T12" s="227">
        <f>T11*$F11/$E11</f>
        <v>0.78</v>
      </c>
    </row>
    <row r="13" spans="1:20">
      <c r="A13" s="518">
        <v>5</v>
      </c>
      <c r="B13" s="531" t="s">
        <v>204</v>
      </c>
      <c r="C13" s="533" t="s">
        <v>200</v>
      </c>
      <c r="D13" s="535">
        <v>307461</v>
      </c>
      <c r="E13" s="537">
        <v>36</v>
      </c>
      <c r="F13" s="624">
        <v>6.61</v>
      </c>
      <c r="G13" s="399">
        <v>10</v>
      </c>
      <c r="H13" s="219">
        <v>2</v>
      </c>
      <c r="I13" s="219">
        <v>0</v>
      </c>
      <c r="J13" s="219">
        <v>0</v>
      </c>
      <c r="K13" s="219">
        <v>0</v>
      </c>
      <c r="L13" s="219">
        <v>2</v>
      </c>
      <c r="M13" s="219">
        <v>0</v>
      </c>
      <c r="N13" s="219">
        <v>2</v>
      </c>
      <c r="O13" s="219">
        <v>2</v>
      </c>
      <c r="P13" s="220">
        <v>1</v>
      </c>
      <c r="Q13" s="219">
        <v>2</v>
      </c>
      <c r="R13" s="219">
        <v>1</v>
      </c>
      <c r="S13" s="219">
        <v>0</v>
      </c>
      <c r="T13" s="221">
        <v>1</v>
      </c>
    </row>
    <row r="14" spans="1:20" ht="15.75" thickBot="1">
      <c r="A14" s="582"/>
      <c r="B14" s="597"/>
      <c r="C14" s="543"/>
      <c r="D14" s="544"/>
      <c r="E14" s="545"/>
      <c r="F14" s="625"/>
      <c r="G14" s="319">
        <f t="shared" ref="G14:G72" si="4">G13*$F13/$E13</f>
        <v>1.84</v>
      </c>
      <c r="H14" s="320">
        <f t="shared" ref="H14" si="5">H13*$F13/$E13</f>
        <v>0.37</v>
      </c>
      <c r="I14" s="320">
        <f t="shared" ref="I14" si="6">I13*$F13/$E13</f>
        <v>0</v>
      </c>
      <c r="J14" s="320">
        <f t="shared" ref="J14" si="7">J13*$F13/$E13</f>
        <v>0</v>
      </c>
      <c r="K14" s="320">
        <f t="shared" ref="K14" si="8">K13*$F13/$E13</f>
        <v>0</v>
      </c>
      <c r="L14" s="320">
        <f t="shared" ref="L14" si="9">L13*$F13/$E13</f>
        <v>0.37</v>
      </c>
      <c r="M14" s="320">
        <f t="shared" ref="M14" si="10">M13*$F13/$E13</f>
        <v>0</v>
      </c>
      <c r="N14" s="320">
        <f t="shared" ref="N14" si="11">N13*$F13/$E13</f>
        <v>0.37</v>
      </c>
      <c r="O14" s="320">
        <f t="shared" ref="O14" si="12">O13*$F13/$E13</f>
        <v>0.37</v>
      </c>
      <c r="P14" s="320">
        <f t="shared" ref="P14" si="13">P13*$F13/$E13</f>
        <v>0.18</v>
      </c>
      <c r="Q14" s="320">
        <f t="shared" ref="Q14" si="14">Q13*$F13/$E13</f>
        <v>0.37</v>
      </c>
      <c r="R14" s="320">
        <f t="shared" ref="R14" si="15">R13*$F13/$E13</f>
        <v>0.18</v>
      </c>
      <c r="S14" s="320">
        <f t="shared" ref="S14" si="16">S13*$F13/$E13</f>
        <v>0</v>
      </c>
      <c r="T14" s="321">
        <f t="shared" ref="T14" si="17">T13*$F13/$E13</f>
        <v>0.18</v>
      </c>
    </row>
    <row r="15" spans="1:20" ht="28.5" customHeight="1">
      <c r="A15" s="576">
        <v>6</v>
      </c>
      <c r="B15" s="598" t="s">
        <v>205</v>
      </c>
      <c r="C15" s="616" t="s">
        <v>200</v>
      </c>
      <c r="D15" s="522">
        <v>342578</v>
      </c>
      <c r="E15" s="524">
        <v>120</v>
      </c>
      <c r="F15" s="516">
        <v>40.47</v>
      </c>
      <c r="G15" s="322">
        <v>1</v>
      </c>
      <c r="H15" s="327">
        <v>0</v>
      </c>
      <c r="I15" s="327">
        <v>0</v>
      </c>
      <c r="J15" s="327">
        <v>0</v>
      </c>
      <c r="K15" s="327">
        <v>1</v>
      </c>
      <c r="L15" s="327">
        <v>0</v>
      </c>
      <c r="M15" s="327">
        <v>1</v>
      </c>
      <c r="N15" s="327">
        <v>1</v>
      </c>
      <c r="O15" s="327">
        <v>0</v>
      </c>
      <c r="P15" s="328">
        <v>1</v>
      </c>
      <c r="Q15" s="327">
        <v>1</v>
      </c>
      <c r="R15" s="327">
        <v>1</v>
      </c>
      <c r="S15" s="327">
        <v>1</v>
      </c>
      <c r="T15" s="329">
        <v>1</v>
      </c>
    </row>
    <row r="16" spans="1:20" ht="15.75" thickBot="1">
      <c r="A16" s="577"/>
      <c r="B16" s="599"/>
      <c r="C16" s="555"/>
      <c r="D16" s="523"/>
      <c r="E16" s="525"/>
      <c r="F16" s="517"/>
      <c r="G16" s="225">
        <f t="shared" si="4"/>
        <v>0.34</v>
      </c>
      <c r="H16" s="226">
        <f t="shared" ref="H16" si="18">H15*$F15/$E15</f>
        <v>0</v>
      </c>
      <c r="I16" s="226">
        <f t="shared" ref="I16" si="19">I15*$F15/$E15</f>
        <v>0</v>
      </c>
      <c r="J16" s="226">
        <f t="shared" ref="J16" si="20">J15*$F15/$E15</f>
        <v>0</v>
      </c>
      <c r="K16" s="226">
        <f t="shared" ref="K16" si="21">K15*$F15/$E15</f>
        <v>0.34</v>
      </c>
      <c r="L16" s="226">
        <f t="shared" ref="L16" si="22">L15*$F15/$E15</f>
        <v>0</v>
      </c>
      <c r="M16" s="226">
        <f t="shared" ref="M16" si="23">M15*$F15/$E15</f>
        <v>0.34</v>
      </c>
      <c r="N16" s="226">
        <f t="shared" ref="N16" si="24">N15*$F15/$E15</f>
        <v>0.34</v>
      </c>
      <c r="O16" s="226">
        <f t="shared" ref="O16" si="25">O15*$F15/$E15</f>
        <v>0</v>
      </c>
      <c r="P16" s="226">
        <f t="shared" ref="P16" si="26">P15*$F15/$E15</f>
        <v>0.34</v>
      </c>
      <c r="Q16" s="226">
        <f t="shared" ref="Q16" si="27">Q15*$F15/$E15</f>
        <v>0.34</v>
      </c>
      <c r="R16" s="226">
        <f t="shared" ref="R16" si="28">R15*$F15/$E15</f>
        <v>0.34</v>
      </c>
      <c r="S16" s="226">
        <f t="shared" ref="S16" si="29">S15*$F15/$E15</f>
        <v>0.34</v>
      </c>
      <c r="T16" s="227">
        <f t="shared" ref="T16" si="30">T15*$F15/$E15</f>
        <v>0.34</v>
      </c>
    </row>
    <row r="17" spans="1:20" ht="51" customHeight="1">
      <c r="A17" s="518">
        <v>7</v>
      </c>
      <c r="B17" s="541" t="s">
        <v>206</v>
      </c>
      <c r="C17" s="533" t="s">
        <v>200</v>
      </c>
      <c r="D17" s="535">
        <v>268235</v>
      </c>
      <c r="E17" s="537">
        <v>80</v>
      </c>
      <c r="F17" s="624">
        <v>162.72999999999999</v>
      </c>
      <c r="G17" s="223">
        <v>1</v>
      </c>
      <c r="H17" s="336">
        <v>0</v>
      </c>
      <c r="I17" s="336">
        <v>0</v>
      </c>
      <c r="J17" s="336">
        <v>0</v>
      </c>
      <c r="K17" s="336">
        <v>1</v>
      </c>
      <c r="L17" s="336">
        <v>1</v>
      </c>
      <c r="M17" s="336">
        <v>1</v>
      </c>
      <c r="N17" s="336">
        <v>1</v>
      </c>
      <c r="O17" s="336">
        <v>1</v>
      </c>
      <c r="P17" s="337">
        <v>1</v>
      </c>
      <c r="Q17" s="336">
        <v>1</v>
      </c>
      <c r="R17" s="336">
        <v>1</v>
      </c>
      <c r="S17" s="336">
        <v>1</v>
      </c>
      <c r="T17" s="338">
        <v>1</v>
      </c>
    </row>
    <row r="18" spans="1:20" ht="42.75" customHeight="1" thickBot="1">
      <c r="A18" s="582"/>
      <c r="B18" s="542"/>
      <c r="C18" s="543"/>
      <c r="D18" s="544"/>
      <c r="E18" s="545"/>
      <c r="F18" s="625"/>
      <c r="G18" s="319">
        <f t="shared" si="4"/>
        <v>2.0299999999999998</v>
      </c>
      <c r="H18" s="320">
        <f t="shared" ref="H18" si="31">H17*$F17/$E17</f>
        <v>0</v>
      </c>
      <c r="I18" s="320">
        <f t="shared" ref="I18" si="32">I17*$F17/$E17</f>
        <v>0</v>
      </c>
      <c r="J18" s="320">
        <f t="shared" ref="J18" si="33">J17*$F17/$E17</f>
        <v>0</v>
      </c>
      <c r="K18" s="320">
        <f t="shared" ref="K18" si="34">K17*$F17/$E17</f>
        <v>2.0299999999999998</v>
      </c>
      <c r="L18" s="320">
        <f t="shared" ref="L18" si="35">L17*$F17/$E17</f>
        <v>2.0299999999999998</v>
      </c>
      <c r="M18" s="320">
        <f t="shared" ref="M18" si="36">M17*$F17/$E17</f>
        <v>2.0299999999999998</v>
      </c>
      <c r="N18" s="320">
        <f t="shared" ref="N18" si="37">N17*$F17/$E17</f>
        <v>2.0299999999999998</v>
      </c>
      <c r="O18" s="320">
        <f t="shared" ref="O18" si="38">O17*$F17/$E17</f>
        <v>2.0299999999999998</v>
      </c>
      <c r="P18" s="320">
        <f t="shared" ref="P18" si="39">P17*$F17/$E17</f>
        <v>2.0299999999999998</v>
      </c>
      <c r="Q18" s="320">
        <f t="shared" ref="Q18" si="40">Q17*$F17/$E17</f>
        <v>2.0299999999999998</v>
      </c>
      <c r="R18" s="320">
        <f t="shared" ref="R18" si="41">R17*$F17/$E17</f>
        <v>2.0299999999999998</v>
      </c>
      <c r="S18" s="320">
        <f t="shared" ref="S18" si="42">S17*$F17/$E17</f>
        <v>2.0299999999999998</v>
      </c>
      <c r="T18" s="321">
        <f t="shared" ref="T18" si="43">T17*$F17/$E17</f>
        <v>2.0299999999999998</v>
      </c>
    </row>
    <row r="19" spans="1:20" ht="60.75" customHeight="1">
      <c r="A19" s="518">
        <v>8</v>
      </c>
      <c r="B19" s="541" t="s">
        <v>207</v>
      </c>
      <c r="C19" s="533" t="s">
        <v>200</v>
      </c>
      <c r="D19" s="535">
        <v>298356</v>
      </c>
      <c r="E19" s="537">
        <v>80</v>
      </c>
      <c r="F19" s="624">
        <v>933.92</v>
      </c>
      <c r="G19" s="223">
        <v>10</v>
      </c>
      <c r="H19" s="219">
        <v>0</v>
      </c>
      <c r="I19" s="219">
        <v>0</v>
      </c>
      <c r="J19" s="219">
        <v>0</v>
      </c>
      <c r="K19" s="219">
        <v>0</v>
      </c>
      <c r="L19" s="219">
        <v>0</v>
      </c>
      <c r="M19" s="219">
        <v>1</v>
      </c>
      <c r="N19" s="219">
        <v>2</v>
      </c>
      <c r="O19" s="219">
        <v>0</v>
      </c>
      <c r="P19" s="220">
        <v>0</v>
      </c>
      <c r="Q19" s="219">
        <v>1</v>
      </c>
      <c r="R19" s="219">
        <v>1</v>
      </c>
      <c r="S19" s="219">
        <v>1</v>
      </c>
      <c r="T19" s="221">
        <v>1</v>
      </c>
    </row>
    <row r="20" spans="1:20" ht="40.5" customHeight="1" thickBot="1">
      <c r="A20" s="582"/>
      <c r="B20" s="542"/>
      <c r="C20" s="543"/>
      <c r="D20" s="544"/>
      <c r="E20" s="545"/>
      <c r="F20" s="625"/>
      <c r="G20" s="319">
        <f t="shared" si="4"/>
        <v>116.74</v>
      </c>
      <c r="H20" s="320">
        <f t="shared" ref="H20" si="44">H19*$F19/$E19</f>
        <v>0</v>
      </c>
      <c r="I20" s="320">
        <f t="shared" ref="I20" si="45">I19*$F19/$E19</f>
        <v>0</v>
      </c>
      <c r="J20" s="320">
        <f t="shared" ref="J20" si="46">J19*$F19/$E19</f>
        <v>0</v>
      </c>
      <c r="K20" s="320">
        <f t="shared" ref="K20" si="47">K19*$F19/$E19</f>
        <v>0</v>
      </c>
      <c r="L20" s="320">
        <f t="shared" ref="L20" si="48">L19*$F19/$E19</f>
        <v>0</v>
      </c>
      <c r="M20" s="320">
        <f t="shared" ref="M20" si="49">M19*$F19/$E19</f>
        <v>11.67</v>
      </c>
      <c r="N20" s="320">
        <f t="shared" ref="N20" si="50">N19*$F19/$E19</f>
        <v>23.35</v>
      </c>
      <c r="O20" s="320">
        <f t="shared" ref="O20" si="51">O19*$F19/$E19</f>
        <v>0</v>
      </c>
      <c r="P20" s="320">
        <f t="shared" ref="P20" si="52">P19*$F19/$E19</f>
        <v>0</v>
      </c>
      <c r="Q20" s="320">
        <f t="shared" ref="Q20" si="53">Q19*$F19/$E19</f>
        <v>11.67</v>
      </c>
      <c r="R20" s="320">
        <f t="shared" ref="R20" si="54">R19*$F19/$E19</f>
        <v>11.67</v>
      </c>
      <c r="S20" s="320">
        <f t="shared" ref="S20" si="55">S19*$F19/$E19</f>
        <v>11.67</v>
      </c>
      <c r="T20" s="321">
        <f t="shared" ref="T20" si="56">T19*$F19/$E19</f>
        <v>11.67</v>
      </c>
    </row>
    <row r="21" spans="1:20">
      <c r="A21" s="576">
        <v>9</v>
      </c>
      <c r="B21" s="598" t="s">
        <v>208</v>
      </c>
      <c r="C21" s="616" t="s">
        <v>200</v>
      </c>
      <c r="D21" s="522">
        <v>446101</v>
      </c>
      <c r="E21" s="524">
        <v>60</v>
      </c>
      <c r="F21" s="516">
        <v>5.56</v>
      </c>
      <c r="G21" s="322">
        <v>10</v>
      </c>
      <c r="H21" s="327">
        <v>1</v>
      </c>
      <c r="I21" s="327">
        <v>1</v>
      </c>
      <c r="J21" s="327">
        <v>1</v>
      </c>
      <c r="K21" s="327">
        <v>1</v>
      </c>
      <c r="L21" s="327">
        <v>2</v>
      </c>
      <c r="M21" s="327">
        <v>2</v>
      </c>
      <c r="N21" s="327">
        <v>2</v>
      </c>
      <c r="O21" s="327">
        <v>1</v>
      </c>
      <c r="P21" s="328">
        <v>2</v>
      </c>
      <c r="Q21" s="327">
        <v>3</v>
      </c>
      <c r="R21" s="327">
        <v>1</v>
      </c>
      <c r="S21" s="327">
        <v>1</v>
      </c>
      <c r="T21" s="329">
        <v>2</v>
      </c>
    </row>
    <row r="22" spans="1:20" ht="42.75" customHeight="1" thickBot="1">
      <c r="A22" s="577"/>
      <c r="B22" s="599"/>
      <c r="C22" s="555"/>
      <c r="D22" s="523"/>
      <c r="E22" s="525"/>
      <c r="F22" s="517"/>
      <c r="G22" s="225">
        <f t="shared" si="4"/>
        <v>0.93</v>
      </c>
      <c r="H22" s="226">
        <f t="shared" ref="H22" si="57">H21*$F21/$E21</f>
        <v>0.09</v>
      </c>
      <c r="I22" s="226">
        <f t="shared" ref="I22" si="58">I21*$F21/$E21</f>
        <v>0.09</v>
      </c>
      <c r="J22" s="226">
        <f t="shared" ref="J22" si="59">J21*$F21/$E21</f>
        <v>0.09</v>
      </c>
      <c r="K22" s="226">
        <f t="shared" ref="K22" si="60">K21*$F21/$E21</f>
        <v>0.09</v>
      </c>
      <c r="L22" s="226">
        <f t="shared" ref="L22" si="61">L21*$F21/$E21</f>
        <v>0.19</v>
      </c>
      <c r="M22" s="226">
        <f t="shared" ref="M22" si="62">M21*$F21/$E21</f>
        <v>0.19</v>
      </c>
      <c r="N22" s="226">
        <f t="shared" ref="N22" si="63">N21*$F21/$E21</f>
        <v>0.19</v>
      </c>
      <c r="O22" s="226">
        <f t="shared" ref="O22" si="64">O21*$F21/$E21</f>
        <v>0.09</v>
      </c>
      <c r="P22" s="226">
        <f t="shared" ref="P22" si="65">P21*$F21/$E21</f>
        <v>0.19</v>
      </c>
      <c r="Q22" s="226">
        <f t="shared" ref="Q22" si="66">Q21*$F21/$E21</f>
        <v>0.28000000000000003</v>
      </c>
      <c r="R22" s="226">
        <f t="shared" ref="R22" si="67">R21*$F21/$E21</f>
        <v>0.09</v>
      </c>
      <c r="S22" s="226">
        <f t="shared" ref="S22" si="68">S21*$F21/$E21</f>
        <v>0.09</v>
      </c>
      <c r="T22" s="227">
        <f>T21*$F21/$E21</f>
        <v>0.19</v>
      </c>
    </row>
    <row r="23" spans="1:20">
      <c r="A23" s="518">
        <v>10</v>
      </c>
      <c r="B23" s="531" t="s">
        <v>209</v>
      </c>
      <c r="C23" s="533" t="s">
        <v>200</v>
      </c>
      <c r="D23" s="535">
        <v>241711</v>
      </c>
      <c r="E23" s="537">
        <v>60</v>
      </c>
      <c r="F23" s="624">
        <v>8.0299999999999994</v>
      </c>
      <c r="G23" s="223">
        <v>2</v>
      </c>
      <c r="H23" s="219">
        <v>1</v>
      </c>
      <c r="I23" s="219">
        <v>3</v>
      </c>
      <c r="J23" s="219">
        <v>1</v>
      </c>
      <c r="K23" s="219">
        <v>1</v>
      </c>
      <c r="L23" s="219">
        <v>2</v>
      </c>
      <c r="M23" s="219">
        <v>2</v>
      </c>
      <c r="N23" s="219">
        <v>1</v>
      </c>
      <c r="O23" s="219">
        <v>1</v>
      </c>
      <c r="P23" s="220">
        <v>2</v>
      </c>
      <c r="Q23" s="219">
        <v>3</v>
      </c>
      <c r="R23" s="219">
        <v>2</v>
      </c>
      <c r="S23" s="219">
        <v>1</v>
      </c>
      <c r="T23" s="221">
        <v>1</v>
      </c>
    </row>
    <row r="24" spans="1:20" ht="50.25" customHeight="1" thickBot="1">
      <c r="A24" s="582"/>
      <c r="B24" s="597"/>
      <c r="C24" s="543"/>
      <c r="D24" s="544"/>
      <c r="E24" s="545"/>
      <c r="F24" s="625"/>
      <c r="G24" s="319">
        <f t="shared" si="4"/>
        <v>0.27</v>
      </c>
      <c r="H24" s="320">
        <f t="shared" ref="H24" si="69">H23*$F23/$E23</f>
        <v>0.13</v>
      </c>
      <c r="I24" s="320">
        <f t="shared" ref="I24" si="70">I23*$F23/$E23</f>
        <v>0.4</v>
      </c>
      <c r="J24" s="320">
        <f t="shared" ref="J24" si="71">J23*$F23/$E23</f>
        <v>0.13</v>
      </c>
      <c r="K24" s="320">
        <f t="shared" ref="K24" si="72">K23*$F23/$E23</f>
        <v>0.13</v>
      </c>
      <c r="L24" s="320">
        <f t="shared" ref="L24" si="73">L23*$F23/$E23</f>
        <v>0.27</v>
      </c>
      <c r="M24" s="320">
        <f t="shared" ref="M24" si="74">M23*$F23/$E23</f>
        <v>0.27</v>
      </c>
      <c r="N24" s="320">
        <f t="shared" ref="N24" si="75">N23*$F23/$E23</f>
        <v>0.13</v>
      </c>
      <c r="O24" s="320">
        <f t="shared" ref="O24" si="76">O23*$F23/$E23</f>
        <v>0.13</v>
      </c>
      <c r="P24" s="320">
        <f t="shared" ref="P24" si="77">P23*$F23/$E23</f>
        <v>0.27</v>
      </c>
      <c r="Q24" s="320">
        <f t="shared" ref="Q24" si="78">Q23*$F23/$E23</f>
        <v>0.4</v>
      </c>
      <c r="R24" s="320">
        <f t="shared" ref="R24" si="79">R23*$F23/$E23</f>
        <v>0.27</v>
      </c>
      <c r="S24" s="320">
        <f t="shared" ref="S24" si="80">S23*$F23/$E23</f>
        <v>0.13</v>
      </c>
      <c r="T24" s="321">
        <f t="shared" ref="T24" si="81">T23*$F23/$E23</f>
        <v>0.13</v>
      </c>
    </row>
    <row r="25" spans="1:20">
      <c r="A25" s="576">
        <v>11</v>
      </c>
      <c r="B25" s="606" t="s">
        <v>210</v>
      </c>
      <c r="C25" s="616" t="s">
        <v>200</v>
      </c>
      <c r="D25" s="522">
        <v>460930</v>
      </c>
      <c r="E25" s="524">
        <v>120</v>
      </c>
      <c r="F25" s="516">
        <v>1220</v>
      </c>
      <c r="G25" s="322">
        <v>0</v>
      </c>
      <c r="H25" s="327">
        <v>0</v>
      </c>
      <c r="I25" s="327">
        <v>0</v>
      </c>
      <c r="J25" s="327">
        <v>0</v>
      </c>
      <c r="K25" s="327">
        <v>1</v>
      </c>
      <c r="L25" s="327">
        <v>1</v>
      </c>
      <c r="M25" s="327">
        <v>0</v>
      </c>
      <c r="N25" s="327">
        <v>1</v>
      </c>
      <c r="O25" s="327">
        <v>0</v>
      </c>
      <c r="P25" s="328">
        <v>0</v>
      </c>
      <c r="Q25" s="327">
        <v>2</v>
      </c>
      <c r="R25" s="327">
        <v>0</v>
      </c>
      <c r="S25" s="327">
        <v>0</v>
      </c>
      <c r="T25" s="329">
        <v>0</v>
      </c>
    </row>
    <row r="26" spans="1:20" ht="93.75" customHeight="1">
      <c r="A26" s="577"/>
      <c r="B26" s="607"/>
      <c r="C26" s="555"/>
      <c r="D26" s="523"/>
      <c r="E26" s="525"/>
      <c r="F26" s="517"/>
      <c r="G26" s="225">
        <f t="shared" si="4"/>
        <v>0</v>
      </c>
      <c r="H26" s="226">
        <f t="shared" ref="H26" si="82">H25*$F25/$E25</f>
        <v>0</v>
      </c>
      <c r="I26" s="226">
        <f t="shared" ref="I26" si="83">I25*$F25/$E25</f>
        <v>0</v>
      </c>
      <c r="J26" s="226">
        <f t="shared" ref="J26" si="84">J25*$F25/$E25</f>
        <v>0</v>
      </c>
      <c r="K26" s="226">
        <f t="shared" ref="K26" si="85">K25*$F25/$E25</f>
        <v>10.17</v>
      </c>
      <c r="L26" s="226">
        <f t="shared" ref="L26" si="86">L25*$F25/$E25</f>
        <v>10.17</v>
      </c>
      <c r="M26" s="226">
        <f t="shared" ref="M26" si="87">M25*$F25/$E25</f>
        <v>0</v>
      </c>
      <c r="N26" s="226">
        <f t="shared" ref="N26" si="88">N25*$F25/$E25</f>
        <v>10.17</v>
      </c>
      <c r="O26" s="226">
        <f t="shared" ref="O26" si="89">O25*$F25/$E25</f>
        <v>0</v>
      </c>
      <c r="P26" s="226">
        <f t="shared" ref="P26" si="90">P25*$F25/$E25</f>
        <v>0</v>
      </c>
      <c r="Q26" s="226">
        <f t="shared" ref="Q26" si="91">Q25*$F25/$E25</f>
        <v>20.329999999999998</v>
      </c>
      <c r="R26" s="226">
        <f t="shared" ref="R26" si="92">R25*$F25/$E25</f>
        <v>0</v>
      </c>
      <c r="S26" s="226">
        <f t="shared" ref="S26" si="93">S25*$F25/$E25</f>
        <v>0</v>
      </c>
      <c r="T26" s="227">
        <f t="shared" ref="T26" si="94">T25*$F25/$E25</f>
        <v>0</v>
      </c>
    </row>
    <row r="27" spans="1:20">
      <c r="A27" s="576">
        <v>12</v>
      </c>
      <c r="B27" s="606" t="s">
        <v>211</v>
      </c>
      <c r="C27" s="616" t="s">
        <v>200</v>
      </c>
      <c r="D27" s="522" t="s">
        <v>212</v>
      </c>
      <c r="E27" s="524">
        <v>120</v>
      </c>
      <c r="F27" s="516">
        <v>2188.7800000000002</v>
      </c>
      <c r="G27" s="322">
        <v>3</v>
      </c>
      <c r="H27" s="327">
        <v>0</v>
      </c>
      <c r="I27" s="327">
        <v>0</v>
      </c>
      <c r="J27" s="327">
        <v>0</v>
      </c>
      <c r="K27" s="327">
        <v>0</v>
      </c>
      <c r="L27" s="327">
        <v>0</v>
      </c>
      <c r="M27" s="327">
        <v>0</v>
      </c>
      <c r="N27" s="327">
        <v>1</v>
      </c>
      <c r="O27" s="327">
        <v>0</v>
      </c>
      <c r="P27" s="328">
        <v>0</v>
      </c>
      <c r="Q27" s="327">
        <v>1</v>
      </c>
      <c r="R27" s="327">
        <v>0</v>
      </c>
      <c r="S27" s="327">
        <v>0</v>
      </c>
      <c r="T27" s="329">
        <v>0</v>
      </c>
    </row>
    <row r="28" spans="1:20" ht="96.75" customHeight="1" thickBot="1">
      <c r="A28" s="577"/>
      <c r="B28" s="607"/>
      <c r="C28" s="555"/>
      <c r="D28" s="523"/>
      <c r="E28" s="525"/>
      <c r="F28" s="517"/>
      <c r="G28" s="225">
        <f t="shared" si="4"/>
        <v>54.72</v>
      </c>
      <c r="H28" s="226">
        <f t="shared" ref="H28" si="95">H27*$F27/$E27</f>
        <v>0</v>
      </c>
      <c r="I28" s="226">
        <f t="shared" ref="I28" si="96">I27*$F27/$E27</f>
        <v>0</v>
      </c>
      <c r="J28" s="226">
        <f t="shared" ref="J28" si="97">J27*$F27/$E27</f>
        <v>0</v>
      </c>
      <c r="K28" s="226">
        <f t="shared" ref="K28" si="98">K27*$F27/$E27</f>
        <v>0</v>
      </c>
      <c r="L28" s="226">
        <f t="shared" ref="L28" si="99">L27*$F27/$E27</f>
        <v>0</v>
      </c>
      <c r="M28" s="226">
        <f t="shared" ref="M28" si="100">M27*$F27/$E27</f>
        <v>0</v>
      </c>
      <c r="N28" s="226">
        <f t="shared" ref="N28" si="101">N27*$F27/$E27</f>
        <v>18.239999999999998</v>
      </c>
      <c r="O28" s="226">
        <f t="shared" ref="O28" si="102">O27*$F27/$E27</f>
        <v>0</v>
      </c>
      <c r="P28" s="226">
        <f t="shared" ref="P28" si="103">P27*$F27/$E27</f>
        <v>0</v>
      </c>
      <c r="Q28" s="226">
        <f t="shared" ref="Q28" si="104">Q27*$F27/$E27</f>
        <v>18.239999999999998</v>
      </c>
      <c r="R28" s="226">
        <f t="shared" ref="R28" si="105">R27*$F27/$E27</f>
        <v>0</v>
      </c>
      <c r="S28" s="226">
        <f t="shared" ref="S28" si="106">S27*$F27/$E27</f>
        <v>0</v>
      </c>
      <c r="T28" s="227">
        <f t="shared" ref="T28" si="107">T27*$F27/$E27</f>
        <v>0</v>
      </c>
    </row>
    <row r="29" spans="1:20">
      <c r="A29" s="608">
        <v>13</v>
      </c>
      <c r="B29" s="610" t="s">
        <v>213</v>
      </c>
      <c r="C29" s="533" t="s">
        <v>200</v>
      </c>
      <c r="D29" s="535">
        <v>323193</v>
      </c>
      <c r="E29" s="537">
        <v>120</v>
      </c>
      <c r="F29" s="624">
        <v>216.81</v>
      </c>
      <c r="G29" s="223">
        <v>2</v>
      </c>
      <c r="H29" s="350">
        <v>1</v>
      </c>
      <c r="I29" s="350">
        <v>1</v>
      </c>
      <c r="J29" s="350">
        <v>0</v>
      </c>
      <c r="K29" s="350">
        <v>1</v>
      </c>
      <c r="L29" s="350">
        <v>1</v>
      </c>
      <c r="M29" s="350">
        <v>1</v>
      </c>
      <c r="N29" s="350">
        <v>1</v>
      </c>
      <c r="O29" s="350">
        <v>1</v>
      </c>
      <c r="P29" s="351">
        <v>1</v>
      </c>
      <c r="Q29" s="350">
        <v>1</v>
      </c>
      <c r="R29" s="350">
        <v>1</v>
      </c>
      <c r="S29" s="350">
        <v>1</v>
      </c>
      <c r="T29" s="352">
        <v>1</v>
      </c>
    </row>
    <row r="30" spans="1:20" ht="105.75" customHeight="1" thickBot="1">
      <c r="A30" s="609"/>
      <c r="B30" s="611"/>
      <c r="C30" s="543"/>
      <c r="D30" s="544"/>
      <c r="E30" s="545"/>
      <c r="F30" s="625"/>
      <c r="G30" s="319">
        <f t="shared" si="4"/>
        <v>3.61</v>
      </c>
      <c r="H30" s="320">
        <f t="shared" ref="H30" si="108">H29*$F29/$E29</f>
        <v>1.81</v>
      </c>
      <c r="I30" s="320">
        <f t="shared" ref="I30" si="109">I29*$F29/$E29</f>
        <v>1.81</v>
      </c>
      <c r="J30" s="320">
        <f t="shared" ref="J30" si="110">J29*$F29/$E29</f>
        <v>0</v>
      </c>
      <c r="K30" s="320">
        <f t="shared" ref="K30" si="111">K29*$F29/$E29</f>
        <v>1.81</v>
      </c>
      <c r="L30" s="320">
        <f t="shared" ref="L30" si="112">L29*$F29/$E29</f>
        <v>1.81</v>
      </c>
      <c r="M30" s="320">
        <f t="shared" ref="M30" si="113">M29*$F29/$E29</f>
        <v>1.81</v>
      </c>
      <c r="N30" s="320">
        <f t="shared" ref="N30" si="114">N29*$F29/$E29</f>
        <v>1.81</v>
      </c>
      <c r="O30" s="320">
        <f t="shared" ref="O30" si="115">O29*$F29/$E29</f>
        <v>1.81</v>
      </c>
      <c r="P30" s="320">
        <f t="shared" ref="P30" si="116">P29*$F29/$E29</f>
        <v>1.81</v>
      </c>
      <c r="Q30" s="320">
        <f t="shared" ref="Q30" si="117">Q29*$F29/$E29</f>
        <v>1.81</v>
      </c>
      <c r="R30" s="320">
        <f t="shared" ref="R30" si="118">R29*$F29/$E29</f>
        <v>1.81</v>
      </c>
      <c r="S30" s="320">
        <f t="shared" ref="S30" si="119">S29*$F29/$E29</f>
        <v>1.81</v>
      </c>
      <c r="T30" s="321">
        <f t="shared" ref="T30" si="120">T29*$F29/$E29</f>
        <v>1.81</v>
      </c>
    </row>
    <row r="31" spans="1:20">
      <c r="A31" s="614">
        <v>14</v>
      </c>
      <c r="B31" s="612" t="s">
        <v>214</v>
      </c>
      <c r="C31" s="616" t="s">
        <v>200</v>
      </c>
      <c r="D31" s="522">
        <v>456462</v>
      </c>
      <c r="E31" s="524">
        <v>120</v>
      </c>
      <c r="F31" s="516">
        <v>516.66</v>
      </c>
      <c r="G31" s="322">
        <v>1</v>
      </c>
      <c r="H31" s="347">
        <v>0</v>
      </c>
      <c r="I31" s="347">
        <v>0</v>
      </c>
      <c r="J31" s="347">
        <v>0</v>
      </c>
      <c r="K31" s="347">
        <v>1</v>
      </c>
      <c r="L31" s="347">
        <v>1</v>
      </c>
      <c r="M31" s="347">
        <v>1</v>
      </c>
      <c r="N31" s="347">
        <v>1</v>
      </c>
      <c r="O31" s="347">
        <v>1</v>
      </c>
      <c r="P31" s="348">
        <v>0</v>
      </c>
      <c r="Q31" s="347">
        <v>1</v>
      </c>
      <c r="R31" s="347">
        <v>1</v>
      </c>
      <c r="S31" s="347">
        <v>0</v>
      </c>
      <c r="T31" s="349">
        <v>1</v>
      </c>
    </row>
    <row r="32" spans="1:20" ht="149.25" customHeight="1" thickBot="1">
      <c r="A32" s="615"/>
      <c r="B32" s="613"/>
      <c r="C32" s="555"/>
      <c r="D32" s="523"/>
      <c r="E32" s="525"/>
      <c r="F32" s="517"/>
      <c r="G32" s="225">
        <f t="shared" si="4"/>
        <v>4.3099999999999996</v>
      </c>
      <c r="H32" s="226">
        <f t="shared" ref="H32" si="121">H31*$F31/$E31</f>
        <v>0</v>
      </c>
      <c r="I32" s="226">
        <f t="shared" ref="I32" si="122">I31*$F31/$E31</f>
        <v>0</v>
      </c>
      <c r="J32" s="226">
        <f t="shared" ref="J32" si="123">J31*$F31/$E31</f>
        <v>0</v>
      </c>
      <c r="K32" s="226">
        <f t="shared" ref="K32" si="124">K31*$F31/$E31</f>
        <v>4.3099999999999996</v>
      </c>
      <c r="L32" s="226">
        <f t="shared" ref="L32" si="125">L31*$F31/$E31</f>
        <v>4.3099999999999996</v>
      </c>
      <c r="M32" s="226">
        <f t="shared" ref="M32" si="126">M31*$F31/$E31</f>
        <v>4.3099999999999996</v>
      </c>
      <c r="N32" s="226">
        <f t="shared" ref="N32" si="127">N31*$F31/$E31</f>
        <v>4.3099999999999996</v>
      </c>
      <c r="O32" s="226">
        <f t="shared" ref="O32" si="128">O31*$F31/$E31</f>
        <v>4.3099999999999996</v>
      </c>
      <c r="P32" s="226">
        <f t="shared" ref="P32" si="129">P31*$F31/$E31</f>
        <v>0</v>
      </c>
      <c r="Q32" s="226">
        <f t="shared" ref="Q32" si="130">Q31*$F31/$E31</f>
        <v>4.3099999999999996</v>
      </c>
      <c r="R32" s="226">
        <f t="shared" ref="R32" si="131">R31*$F31/$E31</f>
        <v>4.3099999999999996</v>
      </c>
      <c r="S32" s="226">
        <f t="shared" ref="S32" si="132">S31*$F31/$E31</f>
        <v>0</v>
      </c>
      <c r="T32" s="227">
        <f t="shared" ref="T32" si="133">T31*$F31/$E31</f>
        <v>4.3099999999999996</v>
      </c>
    </row>
    <row r="33" spans="1:20">
      <c r="A33" s="518">
        <v>15</v>
      </c>
      <c r="B33" s="593" t="s">
        <v>215</v>
      </c>
      <c r="C33" s="533" t="s">
        <v>200</v>
      </c>
      <c r="D33" s="535">
        <v>448501</v>
      </c>
      <c r="E33" s="537">
        <v>60</v>
      </c>
      <c r="F33" s="624">
        <v>2.2599999999999998</v>
      </c>
      <c r="G33" s="223">
        <v>10</v>
      </c>
      <c r="H33" s="219">
        <v>1</v>
      </c>
      <c r="I33" s="219">
        <v>4</v>
      </c>
      <c r="J33" s="219">
        <v>1</v>
      </c>
      <c r="K33" s="219">
        <v>1</v>
      </c>
      <c r="L33" s="219">
        <v>2</v>
      </c>
      <c r="M33" s="219">
        <v>2</v>
      </c>
      <c r="N33" s="219">
        <v>1</v>
      </c>
      <c r="O33" s="219">
        <v>2</v>
      </c>
      <c r="P33" s="220">
        <v>2</v>
      </c>
      <c r="Q33" s="219">
        <v>4</v>
      </c>
      <c r="R33" s="219">
        <v>1</v>
      </c>
      <c r="S33" s="219">
        <v>0</v>
      </c>
      <c r="T33" s="221">
        <v>2</v>
      </c>
    </row>
    <row r="34" spans="1:20" ht="95.25" customHeight="1" thickBot="1">
      <c r="A34" s="582"/>
      <c r="B34" s="594"/>
      <c r="C34" s="543"/>
      <c r="D34" s="544"/>
      <c r="E34" s="545"/>
      <c r="F34" s="625"/>
      <c r="G34" s="319">
        <f t="shared" si="4"/>
        <v>0.38</v>
      </c>
      <c r="H34" s="320">
        <f t="shared" ref="H34" si="134">H33*$F33/$E33</f>
        <v>0.04</v>
      </c>
      <c r="I34" s="320">
        <f t="shared" ref="I34" si="135">I33*$F33/$E33</f>
        <v>0.15</v>
      </c>
      <c r="J34" s="320">
        <f t="shared" ref="J34" si="136">J33*$F33/$E33</f>
        <v>0.04</v>
      </c>
      <c r="K34" s="320">
        <f t="shared" ref="K34" si="137">K33*$F33/$E33</f>
        <v>0.04</v>
      </c>
      <c r="L34" s="320">
        <f t="shared" ref="L34" si="138">L33*$F33/$E33</f>
        <v>0.08</v>
      </c>
      <c r="M34" s="320">
        <f t="shared" ref="M34" si="139">M33*$F33/$E33</f>
        <v>0.08</v>
      </c>
      <c r="N34" s="320">
        <f t="shared" ref="N34" si="140">N33*$F33/$E33</f>
        <v>0.04</v>
      </c>
      <c r="O34" s="320">
        <f t="shared" ref="O34" si="141">O33*$F33/$E33</f>
        <v>0.08</v>
      </c>
      <c r="P34" s="320">
        <f t="shared" ref="P34" si="142">P33*$F33/$E33</f>
        <v>0.08</v>
      </c>
      <c r="Q34" s="320">
        <f t="shared" ref="Q34" si="143">Q33*$F33/$E33</f>
        <v>0.15</v>
      </c>
      <c r="R34" s="320">
        <f t="shared" ref="R34" si="144">R33*$F33/$E33</f>
        <v>0.04</v>
      </c>
      <c r="S34" s="320">
        <f t="shared" ref="S34" si="145">S33*$F33/$E33</f>
        <v>0</v>
      </c>
      <c r="T34" s="321">
        <f t="shared" ref="T34" si="146">T33*$F33/$E33</f>
        <v>0.08</v>
      </c>
    </row>
    <row r="35" spans="1:20">
      <c r="A35" s="576">
        <v>16</v>
      </c>
      <c r="B35" s="578" t="s">
        <v>216</v>
      </c>
      <c r="C35" s="616" t="s">
        <v>200</v>
      </c>
      <c r="D35" s="522">
        <v>314565</v>
      </c>
      <c r="E35" s="524">
        <v>60</v>
      </c>
      <c r="F35" s="516">
        <v>16.73</v>
      </c>
      <c r="G35" s="322">
        <v>5</v>
      </c>
      <c r="H35" s="327">
        <v>2</v>
      </c>
      <c r="I35" s="327">
        <v>3</v>
      </c>
      <c r="J35" s="327">
        <v>0</v>
      </c>
      <c r="K35" s="327">
        <v>1</v>
      </c>
      <c r="L35" s="327">
        <v>0</v>
      </c>
      <c r="M35" s="327">
        <v>2</v>
      </c>
      <c r="N35" s="327">
        <v>2</v>
      </c>
      <c r="O35" s="327">
        <v>0</v>
      </c>
      <c r="P35" s="328">
        <v>2</v>
      </c>
      <c r="Q35" s="327">
        <v>4</v>
      </c>
      <c r="R35" s="327">
        <v>1</v>
      </c>
      <c r="S35" s="327">
        <v>1</v>
      </c>
      <c r="T35" s="329">
        <v>1</v>
      </c>
    </row>
    <row r="36" spans="1:20" ht="66" customHeight="1" thickBot="1">
      <c r="A36" s="577"/>
      <c r="B36" s="579"/>
      <c r="C36" s="555"/>
      <c r="D36" s="523"/>
      <c r="E36" s="525"/>
      <c r="F36" s="517"/>
      <c r="G36" s="225">
        <f t="shared" si="4"/>
        <v>1.39</v>
      </c>
      <c r="H36" s="226">
        <f t="shared" ref="H36" si="147">H35*$F35/$E35</f>
        <v>0.56000000000000005</v>
      </c>
      <c r="I36" s="226">
        <f t="shared" ref="I36" si="148">I35*$F35/$E35</f>
        <v>0.84</v>
      </c>
      <c r="J36" s="226">
        <f t="shared" ref="J36" si="149">J35*$F35/$E35</f>
        <v>0</v>
      </c>
      <c r="K36" s="226">
        <f t="shared" ref="K36" si="150">K35*$F35/$E35</f>
        <v>0.28000000000000003</v>
      </c>
      <c r="L36" s="226">
        <f t="shared" ref="L36" si="151">L35*$F35/$E35</f>
        <v>0</v>
      </c>
      <c r="M36" s="226">
        <f t="shared" ref="M36" si="152">M35*$F35/$E35</f>
        <v>0.56000000000000005</v>
      </c>
      <c r="N36" s="226">
        <f t="shared" ref="N36" si="153">N35*$F35/$E35</f>
        <v>0.56000000000000005</v>
      </c>
      <c r="O36" s="226">
        <f t="shared" ref="O36" si="154">O35*$F35/$E35</f>
        <v>0</v>
      </c>
      <c r="P36" s="226">
        <f t="shared" ref="P36" si="155">P35*$F35/$E35</f>
        <v>0.56000000000000005</v>
      </c>
      <c r="Q36" s="226">
        <f t="shared" ref="Q36" si="156">Q35*$F35/$E35</f>
        <v>1.1200000000000001</v>
      </c>
      <c r="R36" s="226">
        <f t="shared" ref="R36" si="157">R35*$F35/$E35</f>
        <v>0.28000000000000003</v>
      </c>
      <c r="S36" s="226">
        <f t="shared" ref="S36" si="158">S35*$F35/$E35</f>
        <v>0.28000000000000003</v>
      </c>
      <c r="T36" s="227">
        <f t="shared" ref="T36" si="159">T35*$F35/$E35</f>
        <v>0.28000000000000003</v>
      </c>
    </row>
    <row r="37" spans="1:20" ht="43.5" customHeight="1">
      <c r="A37" s="518">
        <v>17</v>
      </c>
      <c r="B37" s="593" t="s">
        <v>217</v>
      </c>
      <c r="C37" s="533" t="s">
        <v>200</v>
      </c>
      <c r="D37" s="535">
        <v>449541</v>
      </c>
      <c r="E37" s="537">
        <v>120</v>
      </c>
      <c r="F37" s="624">
        <v>8.1300000000000008</v>
      </c>
      <c r="G37" s="223">
        <v>3</v>
      </c>
      <c r="H37" s="219">
        <v>1</v>
      </c>
      <c r="I37" s="219">
        <v>0</v>
      </c>
      <c r="J37" s="219">
        <v>0</v>
      </c>
      <c r="K37" s="219">
        <v>0</v>
      </c>
      <c r="L37" s="219">
        <v>2</v>
      </c>
      <c r="M37" s="219">
        <v>2</v>
      </c>
      <c r="N37" s="219">
        <v>1</v>
      </c>
      <c r="O37" s="219">
        <v>2</v>
      </c>
      <c r="P37" s="220">
        <v>2</v>
      </c>
      <c r="Q37" s="219">
        <v>1</v>
      </c>
      <c r="R37" s="219">
        <v>1</v>
      </c>
      <c r="S37" s="219">
        <v>1</v>
      </c>
      <c r="T37" s="221">
        <v>1</v>
      </c>
    </row>
    <row r="38" spans="1:20" ht="51" customHeight="1" thickBot="1">
      <c r="A38" s="582"/>
      <c r="B38" s="594"/>
      <c r="C38" s="543"/>
      <c r="D38" s="544"/>
      <c r="E38" s="545"/>
      <c r="F38" s="625"/>
      <c r="G38" s="319">
        <f t="shared" si="4"/>
        <v>0.2</v>
      </c>
      <c r="H38" s="320">
        <f t="shared" ref="H38" si="160">H37*$F37/$E37</f>
        <v>7.0000000000000007E-2</v>
      </c>
      <c r="I38" s="320">
        <f t="shared" ref="I38" si="161">I37*$F37/$E37</f>
        <v>0</v>
      </c>
      <c r="J38" s="320">
        <f t="shared" ref="J38" si="162">J37*$F37/$E37</f>
        <v>0</v>
      </c>
      <c r="K38" s="320">
        <f t="shared" ref="K38" si="163">K37*$F37/$E37</f>
        <v>0</v>
      </c>
      <c r="L38" s="320">
        <f t="shared" ref="L38" si="164">L37*$F37/$E37</f>
        <v>0.14000000000000001</v>
      </c>
      <c r="M38" s="320">
        <f t="shared" ref="M38" si="165">M37*$F37/$E37</f>
        <v>0.14000000000000001</v>
      </c>
      <c r="N38" s="320">
        <f t="shared" ref="N38" si="166">N37*$F37/$E37</f>
        <v>7.0000000000000007E-2</v>
      </c>
      <c r="O38" s="320">
        <f t="shared" ref="O38" si="167">O37*$F37/$E37</f>
        <v>0.14000000000000001</v>
      </c>
      <c r="P38" s="320">
        <f t="shared" ref="P38" si="168">P37*$F37/$E37</f>
        <v>0.14000000000000001</v>
      </c>
      <c r="Q38" s="320">
        <f t="shared" ref="Q38" si="169">Q37*$F37/$E37</f>
        <v>7.0000000000000007E-2</v>
      </c>
      <c r="R38" s="320">
        <f t="shared" ref="R38" si="170">R37*$F37/$E37</f>
        <v>7.0000000000000007E-2</v>
      </c>
      <c r="S38" s="320">
        <f t="shared" ref="S38" si="171">S37*$F37/$E37</f>
        <v>7.0000000000000007E-2</v>
      </c>
      <c r="T38" s="321">
        <f t="shared" ref="T38" si="172">T37*$F37/$E37</f>
        <v>7.0000000000000007E-2</v>
      </c>
    </row>
    <row r="39" spans="1:20">
      <c r="A39" s="518">
        <v>18</v>
      </c>
      <c r="B39" s="585" t="s">
        <v>218</v>
      </c>
      <c r="C39" s="533" t="s">
        <v>200</v>
      </c>
      <c r="D39" s="535">
        <v>449983</v>
      </c>
      <c r="E39" s="537">
        <v>120</v>
      </c>
      <c r="F39" s="624">
        <v>911.99</v>
      </c>
      <c r="G39" s="346">
        <v>2</v>
      </c>
      <c r="H39" s="336">
        <v>1</v>
      </c>
      <c r="I39" s="336">
        <v>1</v>
      </c>
      <c r="J39" s="336">
        <v>1</v>
      </c>
      <c r="K39" s="336">
        <v>1</v>
      </c>
      <c r="L39" s="336">
        <v>1</v>
      </c>
      <c r="M39" s="336">
        <v>1</v>
      </c>
      <c r="N39" s="336">
        <v>1</v>
      </c>
      <c r="O39" s="336">
        <v>1</v>
      </c>
      <c r="P39" s="337">
        <v>1</v>
      </c>
      <c r="Q39" s="336">
        <v>1</v>
      </c>
      <c r="R39" s="336">
        <v>1</v>
      </c>
      <c r="S39" s="336">
        <v>1</v>
      </c>
      <c r="T39" s="338">
        <v>1</v>
      </c>
    </row>
    <row r="40" spans="1:20" ht="158.25" customHeight="1" thickBot="1">
      <c r="A40" s="582"/>
      <c r="B40" s="586"/>
      <c r="C40" s="543"/>
      <c r="D40" s="544"/>
      <c r="E40" s="545"/>
      <c r="F40" s="625"/>
      <c r="G40" s="319">
        <f t="shared" si="4"/>
        <v>15.2</v>
      </c>
      <c r="H40" s="320">
        <f t="shared" ref="H40" si="173">H39*$F39/$E39</f>
        <v>7.6</v>
      </c>
      <c r="I40" s="320">
        <f t="shared" ref="I40" si="174">I39*$F39/$E39</f>
        <v>7.6</v>
      </c>
      <c r="J40" s="320">
        <f t="shared" ref="J40" si="175">J39*$F39/$E39</f>
        <v>7.6</v>
      </c>
      <c r="K40" s="320">
        <f t="shared" ref="K40" si="176">K39*$F39/$E39</f>
        <v>7.6</v>
      </c>
      <c r="L40" s="320">
        <f t="shared" ref="L40" si="177">L39*$F39/$E39</f>
        <v>7.6</v>
      </c>
      <c r="M40" s="320">
        <f t="shared" ref="M40" si="178">M39*$F39/$E39</f>
        <v>7.6</v>
      </c>
      <c r="N40" s="320">
        <f t="shared" ref="N40" si="179">N39*$F39/$E39</f>
        <v>7.6</v>
      </c>
      <c r="O40" s="320">
        <f t="shared" ref="O40" si="180">O39*$F39/$E39</f>
        <v>7.6</v>
      </c>
      <c r="P40" s="320">
        <f t="shared" ref="P40" si="181">P39*$F39/$E39</f>
        <v>7.6</v>
      </c>
      <c r="Q40" s="320">
        <f t="shared" ref="Q40" si="182">Q39*$F39/$E39</f>
        <v>7.6</v>
      </c>
      <c r="R40" s="320">
        <f t="shared" ref="R40" si="183">R39*$F39/$E39</f>
        <v>7.6</v>
      </c>
      <c r="S40" s="320">
        <f t="shared" ref="S40" si="184">S39*$F39/$E39</f>
        <v>7.6</v>
      </c>
      <c r="T40" s="321">
        <f t="shared" ref="T40" si="185">T39*$F39/$E39</f>
        <v>7.6</v>
      </c>
    </row>
    <row r="41" spans="1:20">
      <c r="A41" s="576">
        <v>19</v>
      </c>
      <c r="B41" s="578" t="s">
        <v>219</v>
      </c>
      <c r="C41" s="570" t="s">
        <v>220</v>
      </c>
      <c r="D41" s="522">
        <v>397783</v>
      </c>
      <c r="E41" s="524">
        <v>12</v>
      </c>
      <c r="F41" s="626">
        <v>3.89</v>
      </c>
      <c r="G41" s="322">
        <v>35</v>
      </c>
      <c r="H41" s="327">
        <v>4</v>
      </c>
      <c r="I41" s="327">
        <v>4</v>
      </c>
      <c r="J41" s="327">
        <v>0</v>
      </c>
      <c r="K41" s="327">
        <v>2</v>
      </c>
      <c r="L41" s="327">
        <v>6</v>
      </c>
      <c r="M41" s="327">
        <v>6</v>
      </c>
      <c r="N41" s="327">
        <v>5</v>
      </c>
      <c r="O41" s="327">
        <v>6</v>
      </c>
      <c r="P41" s="328">
        <v>0</v>
      </c>
      <c r="Q41" s="327">
        <v>8</v>
      </c>
      <c r="R41" s="327">
        <v>4</v>
      </c>
      <c r="S41" s="327">
        <v>4</v>
      </c>
      <c r="T41" s="329">
        <v>1</v>
      </c>
    </row>
    <row r="42" spans="1:20" ht="108" customHeight="1" thickBot="1">
      <c r="A42" s="577"/>
      <c r="B42" s="579"/>
      <c r="C42" s="571"/>
      <c r="D42" s="523"/>
      <c r="E42" s="525"/>
      <c r="F42" s="626"/>
      <c r="G42" s="225">
        <f t="shared" si="4"/>
        <v>11.35</v>
      </c>
      <c r="H42" s="226">
        <f t="shared" ref="H42" si="186">H41*$F41/$E41</f>
        <v>1.3</v>
      </c>
      <c r="I42" s="226">
        <f t="shared" ref="I42" si="187">I41*$F41/$E41</f>
        <v>1.3</v>
      </c>
      <c r="J42" s="226">
        <f t="shared" ref="J42" si="188">J41*$F41/$E41</f>
        <v>0</v>
      </c>
      <c r="K42" s="226">
        <f t="shared" ref="K42" si="189">K41*$F41/$E41</f>
        <v>0.65</v>
      </c>
      <c r="L42" s="226">
        <f t="shared" ref="L42" si="190">L41*$F41/$E41</f>
        <v>1.95</v>
      </c>
      <c r="M42" s="226">
        <f t="shared" ref="M42" si="191">M41*$F41/$E41</f>
        <v>1.95</v>
      </c>
      <c r="N42" s="226">
        <f t="shared" ref="N42" si="192">N41*$F41/$E41</f>
        <v>1.62</v>
      </c>
      <c r="O42" s="226">
        <f t="shared" ref="O42" si="193">O41*$F41/$E41</f>
        <v>1.95</v>
      </c>
      <c r="P42" s="226">
        <f t="shared" ref="P42" si="194">P41*$F41/$E41</f>
        <v>0</v>
      </c>
      <c r="Q42" s="226">
        <f t="shared" ref="Q42" si="195">Q41*$F41/$E41</f>
        <v>2.59</v>
      </c>
      <c r="R42" s="226">
        <f t="shared" ref="R42" si="196">R41*$F41/$E41</f>
        <v>1.3</v>
      </c>
      <c r="S42" s="226">
        <f t="shared" ref="S42" si="197">S41*$F41/$E41</f>
        <v>1.3</v>
      </c>
      <c r="T42" s="227">
        <f t="shared" ref="T42" si="198">T41*$F41/$E41</f>
        <v>0.32</v>
      </c>
    </row>
    <row r="43" spans="1:20">
      <c r="A43" s="518">
        <v>20</v>
      </c>
      <c r="B43" s="585" t="s">
        <v>221</v>
      </c>
      <c r="C43" s="572" t="s">
        <v>220</v>
      </c>
      <c r="D43" s="535">
        <v>351226</v>
      </c>
      <c r="E43" s="537">
        <v>36</v>
      </c>
      <c r="F43" s="624">
        <v>32.549999999999997</v>
      </c>
      <c r="G43" s="223">
        <v>0</v>
      </c>
      <c r="H43" s="336">
        <v>1</v>
      </c>
      <c r="I43" s="336">
        <v>1</v>
      </c>
      <c r="J43" s="336">
        <v>0</v>
      </c>
      <c r="K43" s="336">
        <v>1</v>
      </c>
      <c r="L43" s="336">
        <v>3</v>
      </c>
      <c r="M43" s="336">
        <v>2</v>
      </c>
      <c r="N43" s="336">
        <v>2</v>
      </c>
      <c r="O43" s="336">
        <v>3</v>
      </c>
      <c r="P43" s="337">
        <v>2</v>
      </c>
      <c r="Q43" s="336">
        <v>5</v>
      </c>
      <c r="R43" s="336">
        <v>3</v>
      </c>
      <c r="S43" s="336">
        <v>2</v>
      </c>
      <c r="T43" s="338">
        <v>1</v>
      </c>
    </row>
    <row r="44" spans="1:20" ht="78.75" customHeight="1" thickBot="1">
      <c r="A44" s="582"/>
      <c r="B44" s="586"/>
      <c r="C44" s="573"/>
      <c r="D44" s="544"/>
      <c r="E44" s="545"/>
      <c r="F44" s="625"/>
      <c r="G44" s="319">
        <f t="shared" si="4"/>
        <v>0</v>
      </c>
      <c r="H44" s="320">
        <f t="shared" ref="H44" si="199">H43*$F43/$E43</f>
        <v>0.9</v>
      </c>
      <c r="I44" s="320">
        <f t="shared" ref="I44" si="200">I43*$F43/$E43</f>
        <v>0.9</v>
      </c>
      <c r="J44" s="320">
        <f t="shared" ref="J44" si="201">J43*$F43/$E43</f>
        <v>0</v>
      </c>
      <c r="K44" s="320">
        <f t="shared" ref="K44" si="202">K43*$F43/$E43</f>
        <v>0.9</v>
      </c>
      <c r="L44" s="320">
        <f t="shared" ref="L44" si="203">L43*$F43/$E43</f>
        <v>2.71</v>
      </c>
      <c r="M44" s="320">
        <f t="shared" ref="M44" si="204">M43*$F43/$E43</f>
        <v>1.81</v>
      </c>
      <c r="N44" s="320">
        <f t="shared" ref="N44" si="205">N43*$F43/$E43</f>
        <v>1.81</v>
      </c>
      <c r="O44" s="320">
        <f t="shared" ref="O44" si="206">O43*$F43/$E43</f>
        <v>2.71</v>
      </c>
      <c r="P44" s="320">
        <f t="shared" ref="P44" si="207">P43*$F43/$E43</f>
        <v>1.81</v>
      </c>
      <c r="Q44" s="320">
        <f t="shared" ref="Q44" si="208">Q43*$F43/$E43</f>
        <v>4.5199999999999996</v>
      </c>
      <c r="R44" s="320">
        <f t="shared" ref="R44" si="209">R43*$F43/$E43</f>
        <v>2.71</v>
      </c>
      <c r="S44" s="320">
        <f t="shared" ref="S44" si="210">S43*$F43/$E43</f>
        <v>1.81</v>
      </c>
      <c r="T44" s="321">
        <f t="shared" ref="T44" si="211">T43*$F43/$E43</f>
        <v>0.9</v>
      </c>
    </row>
    <row r="45" spans="1:20">
      <c r="A45" s="600">
        <v>21</v>
      </c>
      <c r="B45" s="520" t="s">
        <v>222</v>
      </c>
      <c r="C45" s="522" t="s">
        <v>223</v>
      </c>
      <c r="D45" s="522">
        <v>436827</v>
      </c>
      <c r="E45" s="524">
        <v>60</v>
      </c>
      <c r="F45" s="516">
        <v>177.35</v>
      </c>
      <c r="G45" s="322">
        <v>2</v>
      </c>
      <c r="H45" s="343">
        <v>1</v>
      </c>
      <c r="I45" s="343">
        <v>0</v>
      </c>
      <c r="J45" s="343">
        <v>0</v>
      </c>
      <c r="K45" s="343">
        <v>0</v>
      </c>
      <c r="L45" s="343">
        <v>1</v>
      </c>
      <c r="M45" s="343">
        <v>0</v>
      </c>
      <c r="N45" s="343">
        <v>1</v>
      </c>
      <c r="O45" s="343">
        <v>1</v>
      </c>
      <c r="P45" s="344">
        <v>0</v>
      </c>
      <c r="Q45" s="343">
        <v>2</v>
      </c>
      <c r="R45" s="343">
        <v>1</v>
      </c>
      <c r="S45" s="343">
        <v>1</v>
      </c>
      <c r="T45" s="345">
        <v>1</v>
      </c>
    </row>
    <row r="46" spans="1:20" ht="75.75" customHeight="1" thickBot="1">
      <c r="A46" s="601"/>
      <c r="B46" s="521"/>
      <c r="C46" s="523"/>
      <c r="D46" s="523"/>
      <c r="E46" s="525"/>
      <c r="F46" s="517"/>
      <c r="G46" s="225">
        <f t="shared" si="4"/>
        <v>5.91</v>
      </c>
      <c r="H46" s="226">
        <f t="shared" ref="H46" si="212">H45*$F45/$E45</f>
        <v>2.96</v>
      </c>
      <c r="I46" s="226">
        <f t="shared" ref="I46" si="213">I45*$F45/$E45</f>
        <v>0</v>
      </c>
      <c r="J46" s="226">
        <f t="shared" ref="J46" si="214">J45*$F45/$E45</f>
        <v>0</v>
      </c>
      <c r="K46" s="226">
        <f t="shared" ref="K46" si="215">K45*$F45/$E45</f>
        <v>0</v>
      </c>
      <c r="L46" s="226">
        <f t="shared" ref="L46" si="216">L45*$F45/$E45</f>
        <v>2.96</v>
      </c>
      <c r="M46" s="226">
        <f t="shared" ref="M46" si="217">M45*$F45/$E45</f>
        <v>0</v>
      </c>
      <c r="N46" s="226">
        <f t="shared" ref="N46" si="218">N45*$F45/$E45</f>
        <v>2.96</v>
      </c>
      <c r="O46" s="226">
        <f t="shared" ref="O46" si="219">O45*$F45/$E45</f>
        <v>2.96</v>
      </c>
      <c r="P46" s="226">
        <f t="shared" ref="P46" si="220">P45*$F45/$E45</f>
        <v>0</v>
      </c>
      <c r="Q46" s="226">
        <f t="shared" ref="Q46" si="221">Q45*$F45/$E45</f>
        <v>5.91</v>
      </c>
      <c r="R46" s="226">
        <f t="shared" ref="R46" si="222">R45*$F45/$E45</f>
        <v>2.96</v>
      </c>
      <c r="S46" s="226">
        <f t="shared" ref="S46" si="223">S45*$F45/$E45</f>
        <v>2.96</v>
      </c>
      <c r="T46" s="227">
        <f>T45*$F45/$E45</f>
        <v>2.96</v>
      </c>
    </row>
    <row r="47" spans="1:20">
      <c r="A47" s="602">
        <v>22</v>
      </c>
      <c r="B47" s="585" t="s">
        <v>224</v>
      </c>
      <c r="C47" s="535" t="s">
        <v>200</v>
      </c>
      <c r="D47" s="535" t="s">
        <v>225</v>
      </c>
      <c r="E47" s="537">
        <v>36</v>
      </c>
      <c r="F47" s="624">
        <v>18.68</v>
      </c>
      <c r="G47" s="223">
        <v>5</v>
      </c>
      <c r="H47" s="336">
        <v>0</v>
      </c>
      <c r="I47" s="336">
        <v>2</v>
      </c>
      <c r="J47" s="336">
        <v>1</v>
      </c>
      <c r="K47" s="336">
        <v>1</v>
      </c>
      <c r="L47" s="336">
        <v>3</v>
      </c>
      <c r="M47" s="336">
        <v>4</v>
      </c>
      <c r="N47" s="336">
        <v>3</v>
      </c>
      <c r="O47" s="336">
        <v>3</v>
      </c>
      <c r="P47" s="337">
        <v>4</v>
      </c>
      <c r="Q47" s="336">
        <v>5</v>
      </c>
      <c r="R47" s="336">
        <v>2</v>
      </c>
      <c r="S47" s="336">
        <v>3</v>
      </c>
      <c r="T47" s="338">
        <v>1</v>
      </c>
    </row>
    <row r="48" spans="1:20" ht="129" customHeight="1" thickBot="1">
      <c r="A48" s="603"/>
      <c r="B48" s="586"/>
      <c r="C48" s="544"/>
      <c r="D48" s="544"/>
      <c r="E48" s="545"/>
      <c r="F48" s="625"/>
      <c r="G48" s="319">
        <f>G47*$F47/$E47</f>
        <v>2.59</v>
      </c>
      <c r="H48" s="320">
        <f t="shared" ref="H48:S48" si="224">H47*$F47/$E47</f>
        <v>0</v>
      </c>
      <c r="I48" s="320">
        <f t="shared" si="224"/>
        <v>1.04</v>
      </c>
      <c r="J48" s="320">
        <f t="shared" si="224"/>
        <v>0.52</v>
      </c>
      <c r="K48" s="320">
        <f t="shared" si="224"/>
        <v>0.52</v>
      </c>
      <c r="L48" s="320">
        <f t="shared" si="224"/>
        <v>1.56</v>
      </c>
      <c r="M48" s="320">
        <f t="shared" si="224"/>
        <v>2.08</v>
      </c>
      <c r="N48" s="320">
        <f t="shared" si="224"/>
        <v>1.56</v>
      </c>
      <c r="O48" s="320">
        <f t="shared" si="224"/>
        <v>1.56</v>
      </c>
      <c r="P48" s="320">
        <f t="shared" si="224"/>
        <v>2.08</v>
      </c>
      <c r="Q48" s="320">
        <f t="shared" si="224"/>
        <v>2.59</v>
      </c>
      <c r="R48" s="320">
        <f t="shared" si="224"/>
        <v>1.04</v>
      </c>
      <c r="S48" s="320">
        <f t="shared" si="224"/>
        <v>1.56</v>
      </c>
      <c r="T48" s="321">
        <f>T47*$F47/$E47</f>
        <v>0.52</v>
      </c>
    </row>
    <row r="49" spans="1:20">
      <c r="A49" s="576">
        <v>23</v>
      </c>
      <c r="B49" s="578" t="s">
        <v>226</v>
      </c>
      <c r="C49" s="616" t="s">
        <v>200</v>
      </c>
      <c r="D49" s="522">
        <v>229836</v>
      </c>
      <c r="E49" s="524">
        <v>20</v>
      </c>
      <c r="F49" s="516">
        <v>25.65</v>
      </c>
      <c r="G49" s="322">
        <v>10</v>
      </c>
      <c r="H49" s="327">
        <v>2</v>
      </c>
      <c r="I49" s="327">
        <v>4</v>
      </c>
      <c r="J49" s="327">
        <v>1</v>
      </c>
      <c r="K49" s="327">
        <v>2</v>
      </c>
      <c r="L49" s="327">
        <v>3</v>
      </c>
      <c r="M49" s="327">
        <v>2</v>
      </c>
      <c r="N49" s="327">
        <v>4</v>
      </c>
      <c r="O49" s="327">
        <v>3</v>
      </c>
      <c r="P49" s="328">
        <v>2</v>
      </c>
      <c r="Q49" s="327">
        <v>4</v>
      </c>
      <c r="R49" s="327">
        <v>2</v>
      </c>
      <c r="S49" s="327">
        <v>2</v>
      </c>
      <c r="T49" s="329">
        <v>2</v>
      </c>
    </row>
    <row r="50" spans="1:20" ht="137.25" customHeight="1" thickBot="1">
      <c r="A50" s="577"/>
      <c r="B50" s="579"/>
      <c r="C50" s="555"/>
      <c r="D50" s="523"/>
      <c r="E50" s="525"/>
      <c r="F50" s="517"/>
      <c r="G50" s="225">
        <f t="shared" si="4"/>
        <v>12.83</v>
      </c>
      <c r="H50" s="226">
        <f t="shared" ref="H50" si="225">H49*$F49/$E49</f>
        <v>2.57</v>
      </c>
      <c r="I50" s="226">
        <f t="shared" ref="I50" si="226">I49*$F49/$E49</f>
        <v>5.13</v>
      </c>
      <c r="J50" s="226">
        <f t="shared" ref="J50" si="227">J49*$F49/$E49</f>
        <v>1.28</v>
      </c>
      <c r="K50" s="226">
        <f t="shared" ref="K50" si="228">K49*$F49/$E49</f>
        <v>2.57</v>
      </c>
      <c r="L50" s="226">
        <f t="shared" ref="L50" si="229">L49*$F49/$E49</f>
        <v>3.85</v>
      </c>
      <c r="M50" s="226">
        <f t="shared" ref="M50" si="230">M49*$F49/$E49</f>
        <v>2.57</v>
      </c>
      <c r="N50" s="226">
        <f t="shared" ref="N50" si="231">N49*$F49/$E49</f>
        <v>5.13</v>
      </c>
      <c r="O50" s="226">
        <f t="shared" ref="O50" si="232">O49*$F49/$E49</f>
        <v>3.85</v>
      </c>
      <c r="P50" s="226">
        <f t="shared" ref="P50" si="233">P49*$F49/$E49</f>
        <v>2.57</v>
      </c>
      <c r="Q50" s="226">
        <f t="shared" ref="Q50" si="234">Q49*$F49/$E49</f>
        <v>5.13</v>
      </c>
      <c r="R50" s="226">
        <f t="shared" ref="R50" si="235">R49*$F49/$E49</f>
        <v>2.57</v>
      </c>
      <c r="S50" s="226">
        <f t="shared" ref="S50" si="236">S49*$F49/$E49</f>
        <v>2.57</v>
      </c>
      <c r="T50" s="227">
        <f t="shared" ref="T50" si="237">T49*$F49/$E49</f>
        <v>2.57</v>
      </c>
    </row>
    <row r="51" spans="1:20">
      <c r="A51" s="518">
        <v>24</v>
      </c>
      <c r="B51" s="593" t="s">
        <v>227</v>
      </c>
      <c r="C51" s="533" t="s">
        <v>200</v>
      </c>
      <c r="D51" s="535">
        <v>481029</v>
      </c>
      <c r="E51" s="537">
        <v>20</v>
      </c>
      <c r="F51" s="624">
        <v>12.81</v>
      </c>
      <c r="G51" s="223">
        <v>10</v>
      </c>
      <c r="H51" s="219">
        <v>3</v>
      </c>
      <c r="I51" s="219">
        <v>2</v>
      </c>
      <c r="J51" s="219">
        <v>0</v>
      </c>
      <c r="K51" s="219">
        <v>1</v>
      </c>
      <c r="L51" s="219">
        <v>3</v>
      </c>
      <c r="M51" s="219">
        <v>2</v>
      </c>
      <c r="N51" s="219">
        <v>2</v>
      </c>
      <c r="O51" s="219">
        <v>3</v>
      </c>
      <c r="P51" s="220">
        <v>2</v>
      </c>
      <c r="Q51" s="219">
        <v>4</v>
      </c>
      <c r="R51" s="219">
        <v>2</v>
      </c>
      <c r="S51" s="219">
        <v>3</v>
      </c>
      <c r="T51" s="221">
        <v>2</v>
      </c>
    </row>
    <row r="52" spans="1:20" ht="87.75" customHeight="1" thickBot="1">
      <c r="A52" s="582"/>
      <c r="B52" s="594"/>
      <c r="C52" s="543"/>
      <c r="D52" s="544"/>
      <c r="E52" s="545"/>
      <c r="F52" s="625"/>
      <c r="G52" s="319">
        <f t="shared" si="4"/>
        <v>6.41</v>
      </c>
      <c r="H52" s="320">
        <f t="shared" ref="H52" si="238">H51*$F51/$E51</f>
        <v>1.92</v>
      </c>
      <c r="I52" s="320">
        <f t="shared" ref="I52" si="239">I51*$F51/$E51</f>
        <v>1.28</v>
      </c>
      <c r="J52" s="320">
        <f t="shared" ref="J52" si="240">J51*$F51/$E51</f>
        <v>0</v>
      </c>
      <c r="K52" s="320">
        <f t="shared" ref="K52" si="241">K51*$F51/$E51</f>
        <v>0.64</v>
      </c>
      <c r="L52" s="320">
        <f t="shared" ref="L52" si="242">L51*$F51/$E51</f>
        <v>1.92</v>
      </c>
      <c r="M52" s="320">
        <f t="shared" ref="M52" si="243">M51*$F51/$E51</f>
        <v>1.28</v>
      </c>
      <c r="N52" s="320">
        <f t="shared" ref="N52" si="244">N51*$F51/$E51</f>
        <v>1.28</v>
      </c>
      <c r="O52" s="320">
        <f t="shared" ref="O52" si="245">O51*$F51/$E51</f>
        <v>1.92</v>
      </c>
      <c r="P52" s="320">
        <f t="shared" ref="P52" si="246">P51*$F51/$E51</f>
        <v>1.28</v>
      </c>
      <c r="Q52" s="320">
        <f t="shared" ref="Q52" si="247">Q51*$F51/$E51</f>
        <v>2.56</v>
      </c>
      <c r="R52" s="320">
        <f t="shared" ref="R52" si="248">R51*$F51/$E51</f>
        <v>1.28</v>
      </c>
      <c r="S52" s="320">
        <f t="shared" ref="S52" si="249">S51*$F51/$E51</f>
        <v>1.92</v>
      </c>
      <c r="T52" s="321">
        <f t="shared" ref="T52" si="250">T51*$F51/$E51</f>
        <v>1.28</v>
      </c>
    </row>
    <row r="53" spans="1:20">
      <c r="A53" s="576">
        <v>25</v>
      </c>
      <c r="B53" s="578" t="s">
        <v>228</v>
      </c>
      <c r="C53" s="616" t="s">
        <v>200</v>
      </c>
      <c r="D53" s="522">
        <v>446290</v>
      </c>
      <c r="E53" s="524">
        <v>60</v>
      </c>
      <c r="F53" s="516">
        <v>70.260000000000005</v>
      </c>
      <c r="G53" s="322">
        <v>10</v>
      </c>
      <c r="H53" s="327">
        <v>3</v>
      </c>
      <c r="I53" s="327">
        <v>4</v>
      </c>
      <c r="J53" s="327">
        <v>0</v>
      </c>
      <c r="K53" s="327">
        <v>2</v>
      </c>
      <c r="L53" s="327">
        <v>5</v>
      </c>
      <c r="M53" s="327">
        <v>4</v>
      </c>
      <c r="N53" s="327">
        <v>6</v>
      </c>
      <c r="O53" s="327">
        <v>4</v>
      </c>
      <c r="P53" s="328">
        <v>2</v>
      </c>
      <c r="Q53" s="327">
        <v>6</v>
      </c>
      <c r="R53" s="327">
        <v>2</v>
      </c>
      <c r="S53" s="327">
        <v>3</v>
      </c>
      <c r="T53" s="329">
        <v>4</v>
      </c>
    </row>
    <row r="54" spans="1:20" ht="117.75" customHeight="1" thickBot="1">
      <c r="A54" s="577"/>
      <c r="B54" s="579"/>
      <c r="C54" s="555"/>
      <c r="D54" s="523"/>
      <c r="E54" s="525"/>
      <c r="F54" s="517"/>
      <c r="G54" s="225">
        <f t="shared" si="4"/>
        <v>11.71</v>
      </c>
      <c r="H54" s="226">
        <f t="shared" ref="H54" si="251">H53*$F53/$E53</f>
        <v>3.51</v>
      </c>
      <c r="I54" s="226">
        <f t="shared" ref="I54" si="252">I53*$F53/$E53</f>
        <v>4.68</v>
      </c>
      <c r="J54" s="226">
        <f t="shared" ref="J54" si="253">J53*$F53/$E53</f>
        <v>0</v>
      </c>
      <c r="K54" s="226">
        <f t="shared" ref="K54" si="254">K53*$F53/$E53</f>
        <v>2.34</v>
      </c>
      <c r="L54" s="226">
        <f t="shared" ref="L54" si="255">L53*$F53/$E53</f>
        <v>5.86</v>
      </c>
      <c r="M54" s="226">
        <f t="shared" ref="M54" si="256">M53*$F53/$E53</f>
        <v>4.68</v>
      </c>
      <c r="N54" s="226">
        <f t="shared" ref="N54" si="257">N53*$F53/$E53</f>
        <v>7.03</v>
      </c>
      <c r="O54" s="226">
        <f t="shared" ref="O54" si="258">O53*$F53/$E53</f>
        <v>4.68</v>
      </c>
      <c r="P54" s="226">
        <f t="shared" ref="P54" si="259">P53*$F53/$E53</f>
        <v>2.34</v>
      </c>
      <c r="Q54" s="226">
        <f t="shared" ref="Q54" si="260">Q53*$F53/$E53</f>
        <v>7.03</v>
      </c>
      <c r="R54" s="226">
        <f t="shared" ref="R54" si="261">R53*$F53/$E53</f>
        <v>2.34</v>
      </c>
      <c r="S54" s="226">
        <f t="shared" ref="S54" si="262">S53*$F53/$E53</f>
        <v>3.51</v>
      </c>
      <c r="T54" s="227">
        <f t="shared" ref="T54" si="263">T53*$F53/$E53</f>
        <v>4.68</v>
      </c>
    </row>
    <row r="55" spans="1:20">
      <c r="A55" s="518">
        <v>26</v>
      </c>
      <c r="B55" s="593" t="s">
        <v>229</v>
      </c>
      <c r="C55" s="533" t="s">
        <v>200</v>
      </c>
      <c r="D55" s="535">
        <v>278323</v>
      </c>
      <c r="E55" s="537">
        <v>20</v>
      </c>
      <c r="F55" s="624">
        <v>4.1100000000000003</v>
      </c>
      <c r="G55" s="223">
        <v>12</v>
      </c>
      <c r="H55" s="219">
        <v>15</v>
      </c>
      <c r="I55" s="219">
        <v>10</v>
      </c>
      <c r="J55" s="219">
        <v>6</v>
      </c>
      <c r="K55" s="219">
        <v>3</v>
      </c>
      <c r="L55" s="219">
        <v>3</v>
      </c>
      <c r="M55" s="219">
        <v>4</v>
      </c>
      <c r="N55" s="219">
        <v>2</v>
      </c>
      <c r="O55" s="219">
        <v>3</v>
      </c>
      <c r="P55" s="220">
        <v>4</v>
      </c>
      <c r="Q55" s="219">
        <v>5</v>
      </c>
      <c r="R55" s="219">
        <v>5</v>
      </c>
      <c r="S55" s="219">
        <v>2</v>
      </c>
      <c r="T55" s="221">
        <v>2</v>
      </c>
    </row>
    <row r="56" spans="1:20" ht="50.25" customHeight="1" thickBot="1">
      <c r="A56" s="582"/>
      <c r="B56" s="594"/>
      <c r="C56" s="543"/>
      <c r="D56" s="544"/>
      <c r="E56" s="545"/>
      <c r="F56" s="625"/>
      <c r="G56" s="319">
        <f t="shared" si="4"/>
        <v>2.4700000000000002</v>
      </c>
      <c r="H56" s="320">
        <f t="shared" ref="H56" si="264">H55*$F55/$E55</f>
        <v>3.08</v>
      </c>
      <c r="I56" s="320">
        <f t="shared" ref="I56" si="265">I55*$F55/$E55</f>
        <v>2.06</v>
      </c>
      <c r="J56" s="320">
        <f t="shared" ref="J56" si="266">J55*$F55/$E55</f>
        <v>1.23</v>
      </c>
      <c r="K56" s="320">
        <f t="shared" ref="K56" si="267">K55*$F55/$E55</f>
        <v>0.62</v>
      </c>
      <c r="L56" s="320">
        <f t="shared" ref="L56" si="268">L55*$F55/$E55</f>
        <v>0.62</v>
      </c>
      <c r="M56" s="320">
        <f t="shared" ref="M56" si="269">M55*$F55/$E55</f>
        <v>0.82</v>
      </c>
      <c r="N56" s="320">
        <f t="shared" ref="N56" si="270">N55*$F55/$E55</f>
        <v>0.41</v>
      </c>
      <c r="O56" s="320">
        <f t="shared" ref="O56" si="271">O55*$F55/$E55</f>
        <v>0.62</v>
      </c>
      <c r="P56" s="320">
        <f t="shared" ref="P56" si="272">P55*$F55/$E55</f>
        <v>0.82</v>
      </c>
      <c r="Q56" s="320">
        <f t="shared" ref="Q56" si="273">Q55*$F55/$E55</f>
        <v>1.03</v>
      </c>
      <c r="R56" s="320">
        <f t="shared" ref="R56" si="274">R55*$F55/$E55</f>
        <v>1.03</v>
      </c>
      <c r="S56" s="320">
        <f t="shared" ref="S56" si="275">S55*$F55/$E55</f>
        <v>0.41</v>
      </c>
      <c r="T56" s="321">
        <f t="shared" ref="T56" si="276">T55*$F55/$E55</f>
        <v>0.41</v>
      </c>
    </row>
    <row r="57" spans="1:20">
      <c r="A57" s="591">
        <v>27</v>
      </c>
      <c r="B57" s="595" t="s">
        <v>230</v>
      </c>
      <c r="C57" s="616" t="s">
        <v>200</v>
      </c>
      <c r="D57" s="522">
        <v>444427</v>
      </c>
      <c r="E57" s="524">
        <v>20</v>
      </c>
      <c r="F57" s="516">
        <v>10.61</v>
      </c>
      <c r="G57" s="322">
        <v>10</v>
      </c>
      <c r="H57" s="341">
        <v>3</v>
      </c>
      <c r="I57" s="341">
        <v>0</v>
      </c>
      <c r="J57" s="341">
        <v>1</v>
      </c>
      <c r="K57" s="341">
        <v>2</v>
      </c>
      <c r="L57" s="341">
        <v>0</v>
      </c>
      <c r="M57" s="341">
        <v>2</v>
      </c>
      <c r="N57" s="341">
        <v>4</v>
      </c>
      <c r="O57" s="341">
        <v>1</v>
      </c>
      <c r="P57" s="339">
        <v>2</v>
      </c>
      <c r="Q57" s="341">
        <v>4</v>
      </c>
      <c r="R57" s="341">
        <v>0</v>
      </c>
      <c r="S57" s="341">
        <v>0</v>
      </c>
      <c r="T57" s="342">
        <v>2</v>
      </c>
    </row>
    <row r="58" spans="1:20" ht="93" customHeight="1" thickBot="1">
      <c r="A58" s="592"/>
      <c r="B58" s="596"/>
      <c r="C58" s="555"/>
      <c r="D58" s="523"/>
      <c r="E58" s="525"/>
      <c r="F58" s="517"/>
      <c r="G58" s="225">
        <f t="shared" si="4"/>
        <v>5.31</v>
      </c>
      <c r="H58" s="226">
        <f t="shared" ref="H58" si="277">H57*$F57/$E57</f>
        <v>1.59</v>
      </c>
      <c r="I58" s="226">
        <f t="shared" ref="I58" si="278">I57*$F57/$E57</f>
        <v>0</v>
      </c>
      <c r="J58" s="226">
        <f t="shared" ref="J58" si="279">J57*$F57/$E57</f>
        <v>0.53</v>
      </c>
      <c r="K58" s="226">
        <f t="shared" ref="K58" si="280">K57*$F57/$E57</f>
        <v>1.06</v>
      </c>
      <c r="L58" s="226">
        <f t="shared" ref="L58" si="281">L57*$F57/$E57</f>
        <v>0</v>
      </c>
      <c r="M58" s="226">
        <f t="shared" ref="M58" si="282">M57*$F57/$E57</f>
        <v>1.06</v>
      </c>
      <c r="N58" s="226">
        <f t="shared" ref="N58" si="283">N57*$F57/$E57</f>
        <v>2.12</v>
      </c>
      <c r="O58" s="226">
        <f t="shared" ref="O58" si="284">O57*$F57/$E57</f>
        <v>0.53</v>
      </c>
      <c r="P58" s="226">
        <f t="shared" ref="P58" si="285">P57*$F57/$E57</f>
        <v>1.06</v>
      </c>
      <c r="Q58" s="226">
        <f t="shared" ref="Q58" si="286">Q57*$F57/$E57</f>
        <v>2.12</v>
      </c>
      <c r="R58" s="226">
        <f t="shared" ref="R58" si="287">R57*$F57/$E57</f>
        <v>0</v>
      </c>
      <c r="S58" s="226">
        <f t="shared" ref="S58" si="288">S57*$F57/$E57</f>
        <v>0</v>
      </c>
      <c r="T58" s="227">
        <f t="shared" ref="T58" si="289">T57*$F57/$E57</f>
        <v>1.06</v>
      </c>
    </row>
    <row r="59" spans="1:20">
      <c r="A59" s="518">
        <v>28</v>
      </c>
      <c r="B59" s="593" t="s">
        <v>231</v>
      </c>
      <c r="C59" s="533" t="s">
        <v>200</v>
      </c>
      <c r="D59" s="535">
        <v>406214</v>
      </c>
      <c r="E59" s="537">
        <v>20</v>
      </c>
      <c r="F59" s="624">
        <v>7.53</v>
      </c>
      <c r="G59" s="223">
        <v>10</v>
      </c>
      <c r="H59" s="219">
        <v>4</v>
      </c>
      <c r="I59" s="219">
        <v>4</v>
      </c>
      <c r="J59" s="219">
        <v>1</v>
      </c>
      <c r="K59" s="219">
        <v>2</v>
      </c>
      <c r="L59" s="219">
        <v>2</v>
      </c>
      <c r="M59" s="219">
        <v>4</v>
      </c>
      <c r="N59" s="219">
        <v>4</v>
      </c>
      <c r="O59" s="219">
        <v>2</v>
      </c>
      <c r="P59" s="220">
        <v>4</v>
      </c>
      <c r="Q59" s="219">
        <v>4</v>
      </c>
      <c r="R59" s="219">
        <v>4</v>
      </c>
      <c r="S59" s="219">
        <v>2</v>
      </c>
      <c r="T59" s="221">
        <v>2</v>
      </c>
    </row>
    <row r="60" spans="1:20" ht="85.5" customHeight="1" thickBot="1">
      <c r="A60" s="582"/>
      <c r="B60" s="594"/>
      <c r="C60" s="543"/>
      <c r="D60" s="544"/>
      <c r="E60" s="545"/>
      <c r="F60" s="625"/>
      <c r="G60" s="319">
        <f t="shared" si="4"/>
        <v>3.77</v>
      </c>
      <c r="H60" s="320">
        <f t="shared" ref="H60" si="290">H59*$F59/$E59</f>
        <v>1.51</v>
      </c>
      <c r="I60" s="320">
        <f t="shared" ref="I60" si="291">I59*$F59/$E59</f>
        <v>1.51</v>
      </c>
      <c r="J60" s="320">
        <f t="shared" ref="J60" si="292">J59*$F59/$E59</f>
        <v>0.38</v>
      </c>
      <c r="K60" s="320">
        <f t="shared" ref="K60" si="293">K59*$F59/$E59</f>
        <v>0.75</v>
      </c>
      <c r="L60" s="320">
        <f t="shared" ref="L60" si="294">L59*$F59/$E59</f>
        <v>0.75</v>
      </c>
      <c r="M60" s="320">
        <f t="shared" ref="M60" si="295">M59*$F59/$E59</f>
        <v>1.51</v>
      </c>
      <c r="N60" s="320">
        <f t="shared" ref="N60" si="296">N59*$F59/$E59</f>
        <v>1.51</v>
      </c>
      <c r="O60" s="320">
        <f t="shared" ref="O60" si="297">O59*$F59/$E59</f>
        <v>0.75</v>
      </c>
      <c r="P60" s="320">
        <f t="shared" ref="P60" si="298">P59*$F59/$E59</f>
        <v>1.51</v>
      </c>
      <c r="Q60" s="320">
        <f t="shared" ref="Q60" si="299">Q59*$F59/$E59</f>
        <v>1.51</v>
      </c>
      <c r="R60" s="320">
        <f t="shared" ref="R60" si="300">R59*$F59/$E59</f>
        <v>1.51</v>
      </c>
      <c r="S60" s="320">
        <f t="shared" ref="S60" si="301">S59*$F59/$E59</f>
        <v>0.75</v>
      </c>
      <c r="T60" s="321">
        <f t="shared" ref="T60" si="302">T59*$F59/$E59</f>
        <v>0.75</v>
      </c>
    </row>
    <row r="61" spans="1:20">
      <c r="A61" s="518">
        <v>29</v>
      </c>
      <c r="B61" s="585" t="s">
        <v>232</v>
      </c>
      <c r="C61" s="533" t="s">
        <v>200</v>
      </c>
      <c r="D61" s="535">
        <v>295951</v>
      </c>
      <c r="E61" s="537">
        <v>20</v>
      </c>
      <c r="F61" s="624">
        <v>9.9</v>
      </c>
      <c r="G61" s="223">
        <v>0</v>
      </c>
      <c r="H61" s="336">
        <v>0</v>
      </c>
      <c r="I61" s="336">
        <v>0</v>
      </c>
      <c r="J61" s="336">
        <v>0</v>
      </c>
      <c r="K61" s="336">
        <v>0</v>
      </c>
      <c r="L61" s="336">
        <v>2</v>
      </c>
      <c r="M61" s="336">
        <v>1</v>
      </c>
      <c r="N61" s="336">
        <v>4</v>
      </c>
      <c r="O61" s="336">
        <v>2</v>
      </c>
      <c r="P61" s="337">
        <v>1</v>
      </c>
      <c r="Q61" s="336">
        <v>3</v>
      </c>
      <c r="R61" s="336">
        <v>0</v>
      </c>
      <c r="S61" s="336">
        <v>0</v>
      </c>
      <c r="T61" s="338">
        <v>1</v>
      </c>
    </row>
    <row r="62" spans="1:20" ht="141" customHeight="1" thickBot="1">
      <c r="A62" s="582"/>
      <c r="B62" s="586"/>
      <c r="C62" s="543"/>
      <c r="D62" s="544"/>
      <c r="E62" s="545"/>
      <c r="F62" s="625"/>
      <c r="G62" s="319">
        <f t="shared" si="4"/>
        <v>0</v>
      </c>
      <c r="H62" s="320">
        <f t="shared" ref="H62" si="303">H61*$F61/$E61</f>
        <v>0</v>
      </c>
      <c r="I62" s="320">
        <f t="shared" ref="I62" si="304">I61*$F61/$E61</f>
        <v>0</v>
      </c>
      <c r="J62" s="320">
        <f t="shared" ref="J62" si="305">J61*$F61/$E61</f>
        <v>0</v>
      </c>
      <c r="K62" s="320">
        <f t="shared" ref="K62" si="306">K61*$F61/$E61</f>
        <v>0</v>
      </c>
      <c r="L62" s="320">
        <f t="shared" ref="L62" si="307">L61*$F61/$E61</f>
        <v>0.99</v>
      </c>
      <c r="M62" s="320">
        <f t="shared" ref="M62" si="308">M61*$F61/$E61</f>
        <v>0.5</v>
      </c>
      <c r="N62" s="320">
        <f t="shared" ref="N62" si="309">N61*$F61/$E61</f>
        <v>1.98</v>
      </c>
      <c r="O62" s="320">
        <f t="shared" ref="O62" si="310">O61*$F61/$E61</f>
        <v>0.99</v>
      </c>
      <c r="P62" s="320">
        <f t="shared" ref="P62" si="311">P61*$F61/$E61</f>
        <v>0.5</v>
      </c>
      <c r="Q62" s="320">
        <f t="shared" ref="Q62" si="312">Q61*$F61/$E61</f>
        <v>1.49</v>
      </c>
      <c r="R62" s="320">
        <f t="shared" ref="R62" si="313">R61*$F61/$E61</f>
        <v>0</v>
      </c>
      <c r="S62" s="320">
        <f t="shared" ref="S62" si="314">S61*$F61/$E61</f>
        <v>0</v>
      </c>
      <c r="T62" s="321">
        <f t="shared" ref="T62" si="315">T61*$F61/$E61</f>
        <v>0.5</v>
      </c>
    </row>
    <row r="63" spans="1:20">
      <c r="A63" s="587">
        <v>30</v>
      </c>
      <c r="B63" s="564" t="s">
        <v>233</v>
      </c>
      <c r="C63" s="533" t="s">
        <v>200</v>
      </c>
      <c r="D63" s="559">
        <v>324614</v>
      </c>
      <c r="E63" s="561">
        <v>80</v>
      </c>
      <c r="F63" s="624">
        <v>33.03</v>
      </c>
      <c r="G63" s="404">
        <f>68+113</f>
        <v>181</v>
      </c>
      <c r="H63" s="337">
        <f>8+15</f>
        <v>23</v>
      </c>
      <c r="I63" s="337">
        <v>38</v>
      </c>
      <c r="J63" s="337">
        <v>24</v>
      </c>
      <c r="K63" s="337">
        <v>27</v>
      </c>
      <c r="L63" s="337"/>
      <c r="M63" s="337">
        <v>40</v>
      </c>
      <c r="N63" s="337">
        <v>30</v>
      </c>
      <c r="O63" s="400">
        <v>20</v>
      </c>
      <c r="P63" s="400">
        <v>50</v>
      </c>
      <c r="Q63" s="400">
        <v>60</v>
      </c>
      <c r="R63" s="400"/>
      <c r="S63" s="400"/>
      <c r="T63" s="402"/>
    </row>
    <row r="64" spans="1:20" ht="15.75" thickBot="1">
      <c r="A64" s="588"/>
      <c r="B64" s="565"/>
      <c r="C64" s="543"/>
      <c r="D64" s="560"/>
      <c r="E64" s="562"/>
      <c r="F64" s="625"/>
      <c r="G64" s="319">
        <f>G63*$F63/$E63</f>
        <v>74.73</v>
      </c>
      <c r="H64" s="320">
        <f t="shared" ref="H64:T64" si="316">H63*$F63/$E63</f>
        <v>9.5</v>
      </c>
      <c r="I64" s="320">
        <f t="shared" si="316"/>
        <v>15.69</v>
      </c>
      <c r="J64" s="320">
        <f t="shared" si="316"/>
        <v>9.91</v>
      </c>
      <c r="K64" s="320">
        <f t="shared" si="316"/>
        <v>11.15</v>
      </c>
      <c r="L64" s="320">
        <f t="shared" si="316"/>
        <v>0</v>
      </c>
      <c r="M64" s="320">
        <f t="shared" si="316"/>
        <v>16.52</v>
      </c>
      <c r="N64" s="320">
        <f t="shared" si="316"/>
        <v>12.39</v>
      </c>
      <c r="O64" s="320">
        <f t="shared" si="316"/>
        <v>8.26</v>
      </c>
      <c r="P64" s="320">
        <f t="shared" si="316"/>
        <v>20.64</v>
      </c>
      <c r="Q64" s="320">
        <f t="shared" si="316"/>
        <v>24.77</v>
      </c>
      <c r="R64" s="320">
        <f t="shared" si="316"/>
        <v>0</v>
      </c>
      <c r="S64" s="320">
        <f t="shared" si="316"/>
        <v>0</v>
      </c>
      <c r="T64" s="321">
        <f t="shared" si="316"/>
        <v>0</v>
      </c>
    </row>
    <row r="65" spans="1:20">
      <c r="A65" s="589">
        <v>31</v>
      </c>
      <c r="B65" s="564" t="s">
        <v>234</v>
      </c>
      <c r="C65" s="616" t="s">
        <v>200</v>
      </c>
      <c r="D65" s="512">
        <v>443329</v>
      </c>
      <c r="E65" s="514">
        <v>80</v>
      </c>
      <c r="F65" s="516">
        <v>94.32</v>
      </c>
      <c r="G65" s="405">
        <f>17+17</f>
        <v>34</v>
      </c>
      <c r="H65" s="339">
        <v>3</v>
      </c>
      <c r="I65" s="339"/>
      <c r="J65" s="339">
        <v>6</v>
      </c>
      <c r="K65" s="339">
        <v>12</v>
      </c>
      <c r="L65" s="339">
        <v>14</v>
      </c>
      <c r="M65" s="339">
        <v>4</v>
      </c>
      <c r="N65" s="339"/>
      <c r="O65" s="340"/>
      <c r="P65" s="401">
        <v>16</v>
      </c>
      <c r="Q65" s="401">
        <v>2</v>
      </c>
      <c r="R65" s="401">
        <v>13</v>
      </c>
      <c r="S65" s="401">
        <v>6</v>
      </c>
      <c r="T65" s="403">
        <v>11</v>
      </c>
    </row>
    <row r="66" spans="1:20" ht="15.75" thickBot="1">
      <c r="A66" s="590"/>
      <c r="B66" s="565"/>
      <c r="C66" s="555"/>
      <c r="D66" s="513"/>
      <c r="E66" s="515"/>
      <c r="F66" s="517"/>
      <c r="G66" s="225">
        <f>G65*$F65/$E65</f>
        <v>40.090000000000003</v>
      </c>
      <c r="H66" s="226">
        <f t="shared" ref="H66:T66" si="317">H65*$F65/$E65</f>
        <v>3.54</v>
      </c>
      <c r="I66" s="226">
        <f t="shared" si="317"/>
        <v>0</v>
      </c>
      <c r="J66" s="226">
        <f t="shared" si="317"/>
        <v>7.07</v>
      </c>
      <c r="K66" s="226">
        <f t="shared" si="317"/>
        <v>14.15</v>
      </c>
      <c r="L66" s="226">
        <f t="shared" si="317"/>
        <v>16.510000000000002</v>
      </c>
      <c r="M66" s="226">
        <f t="shared" si="317"/>
        <v>4.72</v>
      </c>
      <c r="N66" s="226">
        <f t="shared" si="317"/>
        <v>0</v>
      </c>
      <c r="O66" s="226">
        <f t="shared" si="317"/>
        <v>0</v>
      </c>
      <c r="P66" s="226">
        <f t="shared" si="317"/>
        <v>18.86</v>
      </c>
      <c r="Q66" s="226">
        <f t="shared" si="317"/>
        <v>2.36</v>
      </c>
      <c r="R66" s="226">
        <f t="shared" si="317"/>
        <v>15.33</v>
      </c>
      <c r="S66" s="226">
        <f t="shared" si="317"/>
        <v>7.07</v>
      </c>
      <c r="T66" s="227">
        <f t="shared" si="317"/>
        <v>12.97</v>
      </c>
    </row>
    <row r="67" spans="1:20">
      <c r="A67" s="518">
        <v>32</v>
      </c>
      <c r="B67" s="585" t="s">
        <v>235</v>
      </c>
      <c r="C67" s="533" t="s">
        <v>200</v>
      </c>
      <c r="D67" s="535">
        <v>245629</v>
      </c>
      <c r="E67" s="537">
        <v>20</v>
      </c>
      <c r="F67" s="624">
        <v>13.7</v>
      </c>
      <c r="G67" s="223">
        <v>5</v>
      </c>
      <c r="H67" s="336">
        <v>1</v>
      </c>
      <c r="I67" s="336">
        <v>0</v>
      </c>
      <c r="J67" s="336">
        <v>0</v>
      </c>
      <c r="K67" s="336">
        <v>1</v>
      </c>
      <c r="L67" s="336">
        <v>1</v>
      </c>
      <c r="M67" s="336">
        <v>1</v>
      </c>
      <c r="N67" s="336">
        <v>1</v>
      </c>
      <c r="O67" s="336">
        <v>0</v>
      </c>
      <c r="P67" s="337">
        <v>1</v>
      </c>
      <c r="Q67" s="336">
        <v>4</v>
      </c>
      <c r="R67" s="336">
        <v>1</v>
      </c>
      <c r="S67" s="336">
        <v>1</v>
      </c>
      <c r="T67" s="338">
        <v>1</v>
      </c>
    </row>
    <row r="68" spans="1:20" ht="81.75" customHeight="1" thickBot="1">
      <c r="A68" s="582"/>
      <c r="B68" s="586"/>
      <c r="C68" s="543"/>
      <c r="D68" s="544"/>
      <c r="E68" s="545"/>
      <c r="F68" s="625"/>
      <c r="G68" s="319">
        <f t="shared" si="4"/>
        <v>3.43</v>
      </c>
      <c r="H68" s="320">
        <f t="shared" ref="H68" si="318">H67*$F67/$E67</f>
        <v>0.69</v>
      </c>
      <c r="I68" s="320">
        <f t="shared" ref="I68" si="319">I67*$F67/$E67</f>
        <v>0</v>
      </c>
      <c r="J68" s="320">
        <f t="shared" ref="J68" si="320">J67*$F67/$E67</f>
        <v>0</v>
      </c>
      <c r="K68" s="320">
        <f t="shared" ref="K68" si="321">K67*$F67/$E67</f>
        <v>0.69</v>
      </c>
      <c r="L68" s="320">
        <f t="shared" ref="L68" si="322">L67*$F67/$E67</f>
        <v>0.69</v>
      </c>
      <c r="M68" s="320">
        <f t="shared" ref="M68" si="323">M67*$F67/$E67</f>
        <v>0.69</v>
      </c>
      <c r="N68" s="320">
        <f t="shared" ref="N68" si="324">N67*$F67/$E67</f>
        <v>0.69</v>
      </c>
      <c r="O68" s="320">
        <f t="shared" ref="O68" si="325">O67*$F67/$E67</f>
        <v>0</v>
      </c>
      <c r="P68" s="320">
        <f t="shared" ref="P68" si="326">P67*$F67/$E67</f>
        <v>0.69</v>
      </c>
      <c r="Q68" s="320">
        <f t="shared" ref="Q68" si="327">Q67*$F67/$E67</f>
        <v>2.74</v>
      </c>
      <c r="R68" s="320">
        <f t="shared" ref="R68" si="328">R67*$F67/$E67</f>
        <v>0.69</v>
      </c>
      <c r="S68" s="320">
        <f t="shared" ref="S68" si="329">S67*$F67/$E67</f>
        <v>0.69</v>
      </c>
      <c r="T68" s="321">
        <f t="shared" ref="T68" si="330">T67*$F67/$E67</f>
        <v>0.69</v>
      </c>
    </row>
    <row r="69" spans="1:20">
      <c r="A69" s="576">
        <v>33</v>
      </c>
      <c r="B69" s="578" t="s">
        <v>236</v>
      </c>
      <c r="C69" s="616" t="s">
        <v>200</v>
      </c>
      <c r="D69" s="522">
        <v>337490</v>
      </c>
      <c r="E69" s="524">
        <v>36</v>
      </c>
      <c r="F69" s="516">
        <v>74.52</v>
      </c>
      <c r="G69" s="322">
        <v>12</v>
      </c>
      <c r="H69" s="327">
        <v>2</v>
      </c>
      <c r="I69" s="327">
        <v>2</v>
      </c>
      <c r="J69" s="327">
        <v>0</v>
      </c>
      <c r="K69" s="327">
        <v>0</v>
      </c>
      <c r="L69" s="327">
        <v>2</v>
      </c>
      <c r="M69" s="327">
        <v>2</v>
      </c>
      <c r="N69" s="327">
        <v>1</v>
      </c>
      <c r="O69" s="327">
        <v>0</v>
      </c>
      <c r="P69" s="328">
        <v>2</v>
      </c>
      <c r="Q69" s="327">
        <v>4</v>
      </c>
      <c r="R69" s="327">
        <v>1</v>
      </c>
      <c r="S69" s="327">
        <v>2</v>
      </c>
      <c r="T69" s="329">
        <v>1</v>
      </c>
    </row>
    <row r="70" spans="1:20" ht="93" customHeight="1" thickBot="1">
      <c r="A70" s="577"/>
      <c r="B70" s="579"/>
      <c r="C70" s="555"/>
      <c r="D70" s="523"/>
      <c r="E70" s="525"/>
      <c r="F70" s="517"/>
      <c r="G70" s="225">
        <f t="shared" si="4"/>
        <v>24.84</v>
      </c>
      <c r="H70" s="226">
        <f t="shared" ref="H70" si="331">H69*$F69/$E69</f>
        <v>4.1399999999999997</v>
      </c>
      <c r="I70" s="226">
        <f t="shared" ref="I70" si="332">I69*$F69/$E69</f>
        <v>4.1399999999999997</v>
      </c>
      <c r="J70" s="226">
        <f t="shared" ref="J70" si="333">J69*$F69/$E69</f>
        <v>0</v>
      </c>
      <c r="K70" s="226">
        <f t="shared" ref="K70" si="334">K69*$F69/$E69</f>
        <v>0</v>
      </c>
      <c r="L70" s="226">
        <f t="shared" ref="L70" si="335">L69*$F69/$E69</f>
        <v>4.1399999999999997</v>
      </c>
      <c r="M70" s="226">
        <f t="shared" ref="M70" si="336">M69*$F69/$E69</f>
        <v>4.1399999999999997</v>
      </c>
      <c r="N70" s="226">
        <f t="shared" ref="N70" si="337">N69*$F69/$E69</f>
        <v>2.0699999999999998</v>
      </c>
      <c r="O70" s="226">
        <f t="shared" ref="O70" si="338">O69*$F69/$E69</f>
        <v>0</v>
      </c>
      <c r="P70" s="226">
        <f t="shared" ref="P70" si="339">P69*$F69/$E69</f>
        <v>4.1399999999999997</v>
      </c>
      <c r="Q70" s="226">
        <f t="shared" ref="Q70" si="340">Q69*$F69/$E69</f>
        <v>8.2799999999999994</v>
      </c>
      <c r="R70" s="226">
        <f t="shared" ref="R70" si="341">R69*$F69/$E69</f>
        <v>2.0699999999999998</v>
      </c>
      <c r="S70" s="226">
        <f t="shared" ref="S70" si="342">S69*$F69/$E69</f>
        <v>4.1399999999999997</v>
      </c>
      <c r="T70" s="227">
        <f t="shared" ref="T70" si="343">T69*$F69/$E69</f>
        <v>2.0699999999999998</v>
      </c>
    </row>
    <row r="71" spans="1:20">
      <c r="A71" s="518">
        <v>34</v>
      </c>
      <c r="B71" s="580" t="s">
        <v>237</v>
      </c>
      <c r="C71" s="533" t="s">
        <v>200</v>
      </c>
      <c r="D71" s="535">
        <v>407481</v>
      </c>
      <c r="E71" s="537">
        <v>120</v>
      </c>
      <c r="F71" s="624">
        <v>227</v>
      </c>
      <c r="G71" s="223">
        <v>2</v>
      </c>
      <c r="H71" s="219">
        <v>2</v>
      </c>
      <c r="I71" s="219">
        <v>1</v>
      </c>
      <c r="J71" s="219">
        <v>0</v>
      </c>
      <c r="K71" s="219">
        <v>1</v>
      </c>
      <c r="L71" s="219">
        <v>1</v>
      </c>
      <c r="M71" s="219">
        <v>1</v>
      </c>
      <c r="N71" s="219">
        <v>1</v>
      </c>
      <c r="O71" s="219">
        <v>1</v>
      </c>
      <c r="P71" s="220">
        <v>1</v>
      </c>
      <c r="Q71" s="219">
        <v>4</v>
      </c>
      <c r="R71" s="219">
        <v>1</v>
      </c>
      <c r="S71" s="219">
        <v>1</v>
      </c>
      <c r="T71" s="221">
        <v>1</v>
      </c>
    </row>
    <row r="72" spans="1:20" ht="91.5" customHeight="1" thickBot="1">
      <c r="A72" s="582"/>
      <c r="B72" s="581"/>
      <c r="C72" s="543"/>
      <c r="D72" s="544"/>
      <c r="E72" s="545"/>
      <c r="F72" s="625"/>
      <c r="G72" s="319">
        <f t="shared" si="4"/>
        <v>3.78</v>
      </c>
      <c r="H72" s="320">
        <f t="shared" ref="H72" si="344">H71*$F71/$E71</f>
        <v>3.78</v>
      </c>
      <c r="I72" s="320">
        <f t="shared" ref="I72" si="345">I71*$F71/$E71</f>
        <v>1.89</v>
      </c>
      <c r="J72" s="320">
        <f t="shared" ref="J72" si="346">J71*$F71/$E71</f>
        <v>0</v>
      </c>
      <c r="K72" s="320">
        <f t="shared" ref="K72" si="347">K71*$F71/$E71</f>
        <v>1.89</v>
      </c>
      <c r="L72" s="320">
        <f t="shared" ref="L72" si="348">L71*$F71/$E71</f>
        <v>1.89</v>
      </c>
      <c r="M72" s="320">
        <f t="shared" ref="M72" si="349">M71*$F71/$E71</f>
        <v>1.89</v>
      </c>
      <c r="N72" s="320">
        <f t="shared" ref="N72" si="350">N71*$F71/$E71</f>
        <v>1.89</v>
      </c>
      <c r="O72" s="320">
        <f t="shared" ref="O72" si="351">O71*$F71/$E71</f>
        <v>1.89</v>
      </c>
      <c r="P72" s="320">
        <f t="shared" ref="P72" si="352">P71*$F71/$E71</f>
        <v>1.89</v>
      </c>
      <c r="Q72" s="320">
        <f t="shared" ref="Q72" si="353">Q71*$F71/$E71</f>
        <v>7.57</v>
      </c>
      <c r="R72" s="320">
        <f t="shared" ref="R72" si="354">R71*$F71/$E71</f>
        <v>1.89</v>
      </c>
      <c r="S72" s="320">
        <f t="shared" ref="S72" si="355">S71*$F71/$E71</f>
        <v>1.89</v>
      </c>
      <c r="T72" s="321">
        <f t="shared" ref="T72" si="356">T71*$F71/$E71</f>
        <v>1.89</v>
      </c>
    </row>
    <row r="73" spans="1:20">
      <c r="A73" s="576">
        <v>35</v>
      </c>
      <c r="B73" s="583" t="s">
        <v>238</v>
      </c>
      <c r="C73" s="616" t="s">
        <v>200</v>
      </c>
      <c r="D73" s="522">
        <v>303150</v>
      </c>
      <c r="E73" s="622">
        <v>60</v>
      </c>
      <c r="F73" s="516">
        <v>3.08</v>
      </c>
      <c r="G73" s="322">
        <v>62</v>
      </c>
      <c r="H73" s="327">
        <v>16</v>
      </c>
      <c r="I73" s="327">
        <v>10</v>
      </c>
      <c r="J73" s="327">
        <v>0</v>
      </c>
      <c r="K73" s="327">
        <v>8</v>
      </c>
      <c r="L73" s="327">
        <v>14</v>
      </c>
      <c r="M73" s="327">
        <v>10</v>
      </c>
      <c r="N73" s="327">
        <v>10</v>
      </c>
      <c r="O73" s="327">
        <v>10</v>
      </c>
      <c r="P73" s="328">
        <v>0</v>
      </c>
      <c r="Q73" s="327">
        <v>16</v>
      </c>
      <c r="R73" s="327">
        <v>10</v>
      </c>
      <c r="S73" s="327">
        <v>8</v>
      </c>
      <c r="T73" s="329">
        <v>10</v>
      </c>
    </row>
    <row r="74" spans="1:20" ht="97.5" customHeight="1" thickBot="1">
      <c r="A74" s="577"/>
      <c r="B74" s="584"/>
      <c r="C74" s="555"/>
      <c r="D74" s="523"/>
      <c r="E74" s="623"/>
      <c r="F74" s="517"/>
      <c r="G74" s="225">
        <f t="shared" ref="G74:G108" si="357">G73*$F73/$E73</f>
        <v>3.18</v>
      </c>
      <c r="H74" s="226">
        <f t="shared" ref="H74" si="358">H73*$F73/$E73</f>
        <v>0.82</v>
      </c>
      <c r="I74" s="226">
        <f t="shared" ref="I74" si="359">I73*$F73/$E73</f>
        <v>0.51</v>
      </c>
      <c r="J74" s="226">
        <f t="shared" ref="J74" si="360">J73*$F73/$E73</f>
        <v>0</v>
      </c>
      <c r="K74" s="226">
        <f t="shared" ref="K74" si="361">K73*$F73/$E73</f>
        <v>0.41</v>
      </c>
      <c r="L74" s="226">
        <f t="shared" ref="L74" si="362">L73*$F73/$E73</f>
        <v>0.72</v>
      </c>
      <c r="M74" s="226">
        <f t="shared" ref="M74" si="363">M73*$F73/$E73</f>
        <v>0.51</v>
      </c>
      <c r="N74" s="226">
        <f t="shared" ref="N74" si="364">N73*$F73/$E73</f>
        <v>0.51</v>
      </c>
      <c r="O74" s="226">
        <f t="shared" ref="O74" si="365">O73*$F73/$E73</f>
        <v>0.51</v>
      </c>
      <c r="P74" s="226">
        <f t="shared" ref="P74" si="366">P73*$F73/$E73</f>
        <v>0</v>
      </c>
      <c r="Q74" s="226">
        <f t="shared" ref="Q74" si="367">Q73*$F73/$E73</f>
        <v>0.82</v>
      </c>
      <c r="R74" s="226">
        <f t="shared" ref="R74" si="368">R73*$F73/$E73</f>
        <v>0.51</v>
      </c>
      <c r="S74" s="226">
        <f t="shared" ref="S74" si="369">S73*$F73/$E73</f>
        <v>0.41</v>
      </c>
      <c r="T74" s="227">
        <f t="shared" ref="T74" si="370">T73*$F73/$E73</f>
        <v>0.51</v>
      </c>
    </row>
    <row r="75" spans="1:20">
      <c r="A75" s="574">
        <v>36</v>
      </c>
      <c r="B75" s="548" t="s">
        <v>239</v>
      </c>
      <c r="C75" s="550" t="s">
        <v>200</v>
      </c>
      <c r="D75" s="550">
        <v>449916</v>
      </c>
      <c r="E75" s="552">
        <v>120</v>
      </c>
      <c r="F75" s="624">
        <v>1967.16</v>
      </c>
      <c r="G75" s="223">
        <v>1</v>
      </c>
      <c r="H75" s="330">
        <v>0</v>
      </c>
      <c r="I75" s="219">
        <v>0</v>
      </c>
      <c r="J75" s="219">
        <v>1</v>
      </c>
      <c r="K75" s="330">
        <v>1</v>
      </c>
      <c r="L75" s="330">
        <v>1</v>
      </c>
      <c r="M75" s="330">
        <v>1</v>
      </c>
      <c r="N75" s="330">
        <v>1</v>
      </c>
      <c r="O75" s="330">
        <v>1</v>
      </c>
      <c r="P75" s="331">
        <v>0</v>
      </c>
      <c r="Q75" s="330">
        <v>1</v>
      </c>
      <c r="R75" s="330">
        <v>1</v>
      </c>
      <c r="S75" s="330">
        <v>1</v>
      </c>
      <c r="T75" s="332">
        <v>0</v>
      </c>
    </row>
    <row r="76" spans="1:20" ht="15.75" thickBot="1">
      <c r="A76" s="575"/>
      <c r="B76" s="549"/>
      <c r="C76" s="551"/>
      <c r="D76" s="551"/>
      <c r="E76" s="553"/>
      <c r="F76" s="625"/>
      <c r="G76" s="319">
        <f t="shared" si="357"/>
        <v>16.39</v>
      </c>
      <c r="H76" s="320">
        <f t="shared" ref="H76" si="371">H75*$F75/$E75</f>
        <v>0</v>
      </c>
      <c r="I76" s="320">
        <f t="shared" ref="I76" si="372">I75*$F75/$E75</f>
        <v>0</v>
      </c>
      <c r="J76" s="320">
        <f t="shared" ref="J76" si="373">J75*$F75/$E75</f>
        <v>16.39</v>
      </c>
      <c r="K76" s="320">
        <f t="shared" ref="K76" si="374">K75*$F75/$E75</f>
        <v>16.39</v>
      </c>
      <c r="L76" s="320">
        <f t="shared" ref="L76" si="375">L75*$F75/$E75</f>
        <v>16.39</v>
      </c>
      <c r="M76" s="320">
        <f t="shared" ref="M76" si="376">M75*$F75/$E75</f>
        <v>16.39</v>
      </c>
      <c r="N76" s="320">
        <f t="shared" ref="N76" si="377">N75*$F75/$E75</f>
        <v>16.39</v>
      </c>
      <c r="O76" s="320">
        <f t="shared" ref="O76" si="378">O75*$F75/$E75</f>
        <v>16.39</v>
      </c>
      <c r="P76" s="320">
        <f t="shared" ref="P76" si="379">P75*$F75/$E75</f>
        <v>0</v>
      </c>
      <c r="Q76" s="320">
        <f t="shared" ref="Q76" si="380">Q75*$F75/$E75</f>
        <v>16.39</v>
      </c>
      <c r="R76" s="320">
        <f t="shared" ref="R76" si="381">R75*$F75/$E75</f>
        <v>16.39</v>
      </c>
      <c r="S76" s="320">
        <f t="shared" ref="S76" si="382">S75*$F75/$E75</f>
        <v>16.39</v>
      </c>
      <c r="T76" s="321">
        <f t="shared" ref="T76" si="383">T75*$F75/$E75</f>
        <v>0</v>
      </c>
    </row>
    <row r="77" spans="1:20">
      <c r="A77" s="574">
        <v>37</v>
      </c>
      <c r="B77" s="548" t="s">
        <v>240</v>
      </c>
      <c r="C77" s="550" t="s">
        <v>200</v>
      </c>
      <c r="D77" s="550">
        <v>468666</v>
      </c>
      <c r="E77" s="552">
        <v>120</v>
      </c>
      <c r="F77" s="624">
        <v>1484.01</v>
      </c>
      <c r="G77" s="223">
        <v>1</v>
      </c>
      <c r="H77" s="330">
        <v>0</v>
      </c>
      <c r="I77" s="219">
        <v>0</v>
      </c>
      <c r="J77" s="219">
        <v>0</v>
      </c>
      <c r="K77" s="330">
        <v>1</v>
      </c>
      <c r="L77" s="330">
        <v>1</v>
      </c>
      <c r="M77" s="330">
        <v>0</v>
      </c>
      <c r="N77" s="330">
        <v>0</v>
      </c>
      <c r="O77" s="330">
        <v>1</v>
      </c>
      <c r="P77" s="331">
        <v>0</v>
      </c>
      <c r="Q77" s="330">
        <v>1</v>
      </c>
      <c r="R77" s="330">
        <v>0</v>
      </c>
      <c r="S77" s="330">
        <v>1</v>
      </c>
      <c r="T77" s="332">
        <v>1</v>
      </c>
    </row>
    <row r="78" spans="1:20" ht="15.75" thickBot="1">
      <c r="A78" s="575"/>
      <c r="B78" s="549"/>
      <c r="C78" s="551"/>
      <c r="D78" s="551"/>
      <c r="E78" s="553"/>
      <c r="F78" s="625"/>
      <c r="G78" s="319">
        <f t="shared" si="357"/>
        <v>12.37</v>
      </c>
      <c r="H78" s="320">
        <f t="shared" ref="H78" si="384">H77*$F77/$E77</f>
        <v>0</v>
      </c>
      <c r="I78" s="320">
        <f t="shared" ref="I78" si="385">I77*$F77/$E77</f>
        <v>0</v>
      </c>
      <c r="J78" s="320">
        <f t="shared" ref="J78" si="386">J77*$F77/$E77</f>
        <v>0</v>
      </c>
      <c r="K78" s="320">
        <f t="shared" ref="K78" si="387">K77*$F77/$E77</f>
        <v>12.37</v>
      </c>
      <c r="L78" s="320">
        <f t="shared" ref="L78" si="388">L77*$F77/$E77</f>
        <v>12.37</v>
      </c>
      <c r="M78" s="320">
        <f t="shared" ref="M78" si="389">M77*$F77/$E77</f>
        <v>0</v>
      </c>
      <c r="N78" s="320">
        <f t="shared" ref="N78" si="390">N77*$F77/$E77</f>
        <v>0</v>
      </c>
      <c r="O78" s="320">
        <f t="shared" ref="O78" si="391">O77*$F77/$E77</f>
        <v>12.37</v>
      </c>
      <c r="P78" s="320">
        <f t="shared" ref="P78" si="392">P77*$F77/$E77</f>
        <v>0</v>
      </c>
      <c r="Q78" s="320">
        <f t="shared" ref="Q78" si="393">Q77*$F77/$E77</f>
        <v>12.37</v>
      </c>
      <c r="R78" s="320">
        <f t="shared" ref="R78" si="394">R77*$F77/$E77</f>
        <v>0</v>
      </c>
      <c r="S78" s="320">
        <f t="shared" ref="S78" si="395">S77*$F77/$E77</f>
        <v>12.37</v>
      </c>
      <c r="T78" s="321">
        <f t="shared" ref="T78" si="396">T77*$F77/$E77</f>
        <v>12.37</v>
      </c>
    </row>
    <row r="79" spans="1:20">
      <c r="A79" s="566">
        <v>38</v>
      </c>
      <c r="B79" s="568" t="s">
        <v>241</v>
      </c>
      <c r="C79" s="618" t="s">
        <v>200</v>
      </c>
      <c r="D79" s="618">
        <v>453350</v>
      </c>
      <c r="E79" s="620">
        <v>120</v>
      </c>
      <c r="F79" s="516">
        <v>1832.89</v>
      </c>
      <c r="G79" s="322">
        <v>1</v>
      </c>
      <c r="H79" s="333">
        <v>1</v>
      </c>
      <c r="I79" s="327">
        <v>0</v>
      </c>
      <c r="J79" s="327">
        <v>0</v>
      </c>
      <c r="K79" s="333">
        <v>1</v>
      </c>
      <c r="L79" s="333">
        <v>1</v>
      </c>
      <c r="M79" s="333">
        <v>0</v>
      </c>
      <c r="N79" s="333">
        <v>1</v>
      </c>
      <c r="O79" s="333">
        <v>1</v>
      </c>
      <c r="P79" s="334">
        <v>0</v>
      </c>
      <c r="Q79" s="333">
        <v>1</v>
      </c>
      <c r="R79" s="333">
        <v>1</v>
      </c>
      <c r="S79" s="333">
        <v>1</v>
      </c>
      <c r="T79" s="335">
        <v>1</v>
      </c>
    </row>
    <row r="80" spans="1:20" ht="15.75" thickBot="1">
      <c r="A80" s="567"/>
      <c r="B80" s="569"/>
      <c r="C80" s="619"/>
      <c r="D80" s="619"/>
      <c r="E80" s="621"/>
      <c r="F80" s="517"/>
      <c r="G80" s="225">
        <f t="shared" si="357"/>
        <v>15.27</v>
      </c>
      <c r="H80" s="226">
        <f t="shared" ref="H80" si="397">H79*$F79/$E79</f>
        <v>15.27</v>
      </c>
      <c r="I80" s="226">
        <f t="shared" ref="I80" si="398">I79*$F79/$E79</f>
        <v>0</v>
      </c>
      <c r="J80" s="226">
        <f t="shared" ref="J80" si="399">J79*$F79/$E79</f>
        <v>0</v>
      </c>
      <c r="K80" s="226">
        <f t="shared" ref="K80" si="400">K79*$F79/$E79</f>
        <v>15.27</v>
      </c>
      <c r="L80" s="226">
        <f t="shared" ref="L80" si="401">L79*$F79/$E79</f>
        <v>15.27</v>
      </c>
      <c r="M80" s="226">
        <f t="shared" ref="M80" si="402">M79*$F79/$E79</f>
        <v>0</v>
      </c>
      <c r="N80" s="226">
        <f t="shared" ref="N80" si="403">N79*$F79/$E79</f>
        <v>15.27</v>
      </c>
      <c r="O80" s="226">
        <f t="shared" ref="O80" si="404">O79*$F79/$E79</f>
        <v>15.27</v>
      </c>
      <c r="P80" s="226">
        <f t="shared" ref="P80" si="405">P79*$F79/$E79</f>
        <v>0</v>
      </c>
      <c r="Q80" s="226">
        <f t="shared" ref="Q80" si="406">Q79*$F79/$E79</f>
        <v>15.27</v>
      </c>
      <c r="R80" s="226">
        <f t="shared" ref="R80" si="407">R79*$F79/$E79</f>
        <v>15.27</v>
      </c>
      <c r="S80" s="226">
        <f t="shared" ref="S80" si="408">S79*$F79/$E79</f>
        <v>15.27</v>
      </c>
      <c r="T80" s="227">
        <f t="shared" ref="T80" si="409">T79*$F79/$E79</f>
        <v>15.27</v>
      </c>
    </row>
    <row r="81" spans="1:20">
      <c r="A81" s="518">
        <v>39</v>
      </c>
      <c r="B81" s="593" t="s">
        <v>242</v>
      </c>
      <c r="C81" s="533" t="s">
        <v>200</v>
      </c>
      <c r="D81" s="535">
        <v>246966</v>
      </c>
      <c r="E81" s="537">
        <v>120</v>
      </c>
      <c r="F81" s="624">
        <v>41.67</v>
      </c>
      <c r="G81" s="223">
        <v>2</v>
      </c>
      <c r="H81" s="330">
        <v>1</v>
      </c>
      <c r="I81" s="219">
        <v>0</v>
      </c>
      <c r="J81" s="219">
        <v>1</v>
      </c>
      <c r="K81" s="330">
        <v>1</v>
      </c>
      <c r="L81" s="330">
        <v>2</v>
      </c>
      <c r="M81" s="219">
        <v>1</v>
      </c>
      <c r="N81" s="330">
        <v>1</v>
      </c>
      <c r="O81" s="330">
        <v>2</v>
      </c>
      <c r="P81" s="331">
        <v>1</v>
      </c>
      <c r="Q81" s="330">
        <v>1</v>
      </c>
      <c r="R81" s="330">
        <v>1</v>
      </c>
      <c r="S81" s="330">
        <v>1</v>
      </c>
      <c r="T81" s="332">
        <v>2</v>
      </c>
    </row>
    <row r="82" spans="1:20" ht="132" customHeight="1" thickBot="1">
      <c r="A82" s="446"/>
      <c r="B82" s="605"/>
      <c r="C82" s="543"/>
      <c r="D82" s="544"/>
      <c r="E82" s="545"/>
      <c r="F82" s="625"/>
      <c r="G82" s="319">
        <f t="shared" si="357"/>
        <v>0.69</v>
      </c>
      <c r="H82" s="320">
        <f t="shared" ref="H82" si="410">H81*$F81/$E81</f>
        <v>0.35</v>
      </c>
      <c r="I82" s="320">
        <f t="shared" ref="I82" si="411">I81*$F81/$E81</f>
        <v>0</v>
      </c>
      <c r="J82" s="320">
        <f t="shared" ref="J82" si="412">J81*$F81/$E81</f>
        <v>0.35</v>
      </c>
      <c r="K82" s="320">
        <f t="shared" ref="K82" si="413">K81*$F81/$E81</f>
        <v>0.35</v>
      </c>
      <c r="L82" s="320">
        <f t="shared" ref="L82" si="414">L81*$F81/$E81</f>
        <v>0.69</v>
      </c>
      <c r="M82" s="320">
        <f t="shared" ref="M82" si="415">M81*$F81/$E81</f>
        <v>0.35</v>
      </c>
      <c r="N82" s="320">
        <f t="shared" ref="N82" si="416">N81*$F81/$E81</f>
        <v>0.35</v>
      </c>
      <c r="O82" s="320">
        <f t="shared" ref="O82" si="417">O81*$F81/$E81</f>
        <v>0.69</v>
      </c>
      <c r="P82" s="320">
        <f t="shared" ref="P82" si="418">P81*$F81/$E81</f>
        <v>0.35</v>
      </c>
      <c r="Q82" s="320">
        <f t="shared" ref="Q82" si="419">Q81*$F81/$E81</f>
        <v>0.35</v>
      </c>
      <c r="R82" s="320">
        <f t="shared" ref="R82" si="420">R81*$F81/$E81</f>
        <v>0.35</v>
      </c>
      <c r="S82" s="320">
        <f t="shared" ref="S82:T82" si="421">S81*$F81/$E81</f>
        <v>0.35</v>
      </c>
      <c r="T82" s="321">
        <f t="shared" si="421"/>
        <v>0.69</v>
      </c>
    </row>
    <row r="83" spans="1:20" ht="50.25" customHeight="1">
      <c r="A83" s="576">
        <v>40</v>
      </c>
      <c r="B83" s="598" t="s">
        <v>243</v>
      </c>
      <c r="C83" s="616" t="s">
        <v>200</v>
      </c>
      <c r="D83" s="522">
        <v>231772</v>
      </c>
      <c r="E83" s="524">
        <v>120</v>
      </c>
      <c r="F83" s="516">
        <v>28.91</v>
      </c>
      <c r="G83" s="322">
        <v>2</v>
      </c>
      <c r="H83" s="333">
        <v>1</v>
      </c>
      <c r="I83" s="327">
        <v>0</v>
      </c>
      <c r="J83" s="327">
        <v>0</v>
      </c>
      <c r="K83" s="333">
        <v>1</v>
      </c>
      <c r="L83" s="333">
        <v>1</v>
      </c>
      <c r="M83" s="327">
        <v>1</v>
      </c>
      <c r="N83" s="333">
        <v>1</v>
      </c>
      <c r="O83" s="333">
        <v>0</v>
      </c>
      <c r="P83" s="334">
        <v>1</v>
      </c>
      <c r="Q83" s="333">
        <v>1</v>
      </c>
      <c r="R83" s="333">
        <v>1</v>
      </c>
      <c r="S83" s="333">
        <v>1</v>
      </c>
      <c r="T83" s="335">
        <v>2</v>
      </c>
    </row>
    <row r="84" spans="1:20" ht="50.25" customHeight="1" thickBot="1">
      <c r="A84" s="604"/>
      <c r="B84" s="554"/>
      <c r="C84" s="555"/>
      <c r="D84" s="523"/>
      <c r="E84" s="525"/>
      <c r="F84" s="517"/>
      <c r="G84" s="225">
        <f t="shared" si="357"/>
        <v>0.48</v>
      </c>
      <c r="H84" s="226">
        <f t="shared" ref="H84" si="422">H83*$F83/$E83</f>
        <v>0.24</v>
      </c>
      <c r="I84" s="226">
        <f t="shared" ref="I84" si="423">I83*$F83/$E83</f>
        <v>0</v>
      </c>
      <c r="J84" s="226">
        <f t="shared" ref="J84" si="424">J83*$F83/$E83</f>
        <v>0</v>
      </c>
      <c r="K84" s="226">
        <f t="shared" ref="K84" si="425">K83*$F83/$E83</f>
        <v>0.24</v>
      </c>
      <c r="L84" s="226">
        <f t="shared" ref="L84" si="426">L83*$F83/$E83</f>
        <v>0.24</v>
      </c>
      <c r="M84" s="226">
        <f t="shared" ref="M84" si="427">M83*$F83/$E83</f>
        <v>0.24</v>
      </c>
      <c r="N84" s="226">
        <f t="shared" ref="N84" si="428">N83*$F83/$E83</f>
        <v>0.24</v>
      </c>
      <c r="O84" s="226">
        <f t="shared" ref="O84" si="429">O83*$F83/$E83</f>
        <v>0</v>
      </c>
      <c r="P84" s="226">
        <f t="shared" ref="P84" si="430">P83*$F83/$E83</f>
        <v>0.24</v>
      </c>
      <c r="Q84" s="226">
        <f t="shared" ref="Q84" si="431">Q83*$F83/$E83</f>
        <v>0.24</v>
      </c>
      <c r="R84" s="226">
        <f t="shared" ref="R84" si="432">R83*$F83/$E83</f>
        <v>0.24</v>
      </c>
      <c r="S84" s="226">
        <f t="shared" ref="S84" si="433">S83*$F83/$E83</f>
        <v>0.24</v>
      </c>
      <c r="T84" s="227">
        <f t="shared" ref="T84" si="434">T83*$F83/$E83</f>
        <v>0.48</v>
      </c>
    </row>
    <row r="85" spans="1:20">
      <c r="A85" s="518">
        <v>41</v>
      </c>
      <c r="B85" s="531" t="s">
        <v>244</v>
      </c>
      <c r="C85" s="533" t="s">
        <v>200</v>
      </c>
      <c r="D85" s="535">
        <v>452487</v>
      </c>
      <c r="E85" s="537">
        <v>60</v>
      </c>
      <c r="F85" s="624">
        <v>27.16</v>
      </c>
      <c r="G85" s="223">
        <v>2</v>
      </c>
      <c r="H85" s="330">
        <v>2</v>
      </c>
      <c r="I85" s="219">
        <v>0</v>
      </c>
      <c r="J85" s="219">
        <v>0</v>
      </c>
      <c r="K85" s="330">
        <v>1</v>
      </c>
      <c r="L85" s="330">
        <v>2</v>
      </c>
      <c r="M85" s="219">
        <v>1</v>
      </c>
      <c r="N85" s="330">
        <v>1</v>
      </c>
      <c r="O85" s="330">
        <v>2</v>
      </c>
      <c r="P85" s="331">
        <v>1</v>
      </c>
      <c r="Q85" s="330">
        <v>1</v>
      </c>
      <c r="R85" s="330">
        <v>1</v>
      </c>
      <c r="S85" s="330">
        <v>1</v>
      </c>
      <c r="T85" s="332">
        <v>1</v>
      </c>
    </row>
    <row r="86" spans="1:20" ht="97.5" customHeight="1" thickBot="1">
      <c r="A86" s="446"/>
      <c r="B86" s="617"/>
      <c r="C86" s="543"/>
      <c r="D86" s="544"/>
      <c r="E86" s="545"/>
      <c r="F86" s="625"/>
      <c r="G86" s="319">
        <f t="shared" si="357"/>
        <v>0.91</v>
      </c>
      <c r="H86" s="320">
        <f t="shared" ref="H86" si="435">H85*$F85/$E85</f>
        <v>0.91</v>
      </c>
      <c r="I86" s="320">
        <f t="shared" ref="I86" si="436">I85*$F85/$E85</f>
        <v>0</v>
      </c>
      <c r="J86" s="320">
        <f t="shared" ref="J86" si="437">J85*$F85/$E85</f>
        <v>0</v>
      </c>
      <c r="K86" s="320">
        <f t="shared" ref="K86" si="438">K85*$F85/$E85</f>
        <v>0.45</v>
      </c>
      <c r="L86" s="320">
        <f t="shared" ref="L86" si="439">L85*$F85/$E85</f>
        <v>0.91</v>
      </c>
      <c r="M86" s="320">
        <f t="shared" ref="M86" si="440">M85*$F85/$E85</f>
        <v>0.45</v>
      </c>
      <c r="N86" s="320">
        <f t="shared" ref="N86" si="441">N85*$F85/$E85</f>
        <v>0.45</v>
      </c>
      <c r="O86" s="320">
        <f t="shared" ref="O86" si="442">O85*$F85/$E85</f>
        <v>0.91</v>
      </c>
      <c r="P86" s="320">
        <f t="shared" ref="P86" si="443">P85*$F85/$E85</f>
        <v>0.45</v>
      </c>
      <c r="Q86" s="320">
        <f t="shared" ref="Q86" si="444">Q85*$F85/$E85</f>
        <v>0.45</v>
      </c>
      <c r="R86" s="320">
        <f t="shared" ref="R86" si="445">R85*$F85/$E85</f>
        <v>0.45</v>
      </c>
      <c r="S86" s="320">
        <f t="shared" ref="S86" si="446">S85*$F85/$E85</f>
        <v>0.45</v>
      </c>
      <c r="T86" s="321">
        <f t="shared" ref="T86" si="447">T85*$F85/$E85</f>
        <v>0.45</v>
      </c>
    </row>
    <row r="87" spans="1:20">
      <c r="A87" s="576">
        <v>42</v>
      </c>
      <c r="B87" s="598" t="s">
        <v>245</v>
      </c>
      <c r="C87" s="616" t="s">
        <v>200</v>
      </c>
      <c r="D87" s="522">
        <v>450643</v>
      </c>
      <c r="E87" s="524">
        <v>36</v>
      </c>
      <c r="F87" s="516">
        <v>19.71</v>
      </c>
      <c r="G87" s="322">
        <v>3</v>
      </c>
      <c r="H87" s="333">
        <v>2</v>
      </c>
      <c r="I87" s="327">
        <v>0</v>
      </c>
      <c r="J87" s="327">
        <v>1</v>
      </c>
      <c r="K87" s="333">
        <v>1</v>
      </c>
      <c r="L87" s="333">
        <v>3</v>
      </c>
      <c r="M87" s="327">
        <v>2</v>
      </c>
      <c r="N87" s="333">
        <v>1</v>
      </c>
      <c r="O87" s="333">
        <v>3</v>
      </c>
      <c r="P87" s="334">
        <v>2</v>
      </c>
      <c r="Q87" s="333">
        <v>1</v>
      </c>
      <c r="R87" s="333">
        <v>1</v>
      </c>
      <c r="S87" s="333">
        <v>1</v>
      </c>
      <c r="T87" s="335">
        <v>1</v>
      </c>
    </row>
    <row r="88" spans="1:20" ht="64.5" customHeight="1" thickBot="1">
      <c r="A88" s="604"/>
      <c r="B88" s="554"/>
      <c r="C88" s="555"/>
      <c r="D88" s="523"/>
      <c r="E88" s="525"/>
      <c r="F88" s="517"/>
      <c r="G88" s="225">
        <f t="shared" si="357"/>
        <v>1.64</v>
      </c>
      <c r="H88" s="226">
        <f t="shared" ref="H88" si="448">H87*$F87/$E87</f>
        <v>1.1000000000000001</v>
      </c>
      <c r="I88" s="226">
        <f t="shared" ref="I88" si="449">I87*$F87/$E87</f>
        <v>0</v>
      </c>
      <c r="J88" s="226">
        <f t="shared" ref="J88" si="450">J87*$F87/$E87</f>
        <v>0.55000000000000004</v>
      </c>
      <c r="K88" s="226">
        <f t="shared" ref="K88" si="451">K87*$F87/$E87</f>
        <v>0.55000000000000004</v>
      </c>
      <c r="L88" s="226">
        <f t="shared" ref="L88" si="452">L87*$F87/$E87</f>
        <v>1.64</v>
      </c>
      <c r="M88" s="226">
        <f t="shared" ref="M88" si="453">M87*$F87/$E87</f>
        <v>1.1000000000000001</v>
      </c>
      <c r="N88" s="226">
        <f t="shared" ref="N88" si="454">N87*$F87/$E87</f>
        <v>0.55000000000000004</v>
      </c>
      <c r="O88" s="226">
        <f t="shared" ref="O88" si="455">O87*$F87/$E87</f>
        <v>1.64</v>
      </c>
      <c r="P88" s="226">
        <f t="shared" ref="P88" si="456">P87*$F87/$E87</f>
        <v>1.1000000000000001</v>
      </c>
      <c r="Q88" s="226">
        <f t="shared" ref="Q88" si="457">Q87*$F87/$E87</f>
        <v>0.55000000000000004</v>
      </c>
      <c r="R88" s="226">
        <f t="shared" ref="R88" si="458">R87*$F87/$E87</f>
        <v>0.55000000000000004</v>
      </c>
      <c r="S88" s="226">
        <f t="shared" ref="S88" si="459">S87*$F87/$E87</f>
        <v>0.55000000000000004</v>
      </c>
      <c r="T88" s="227">
        <f t="shared" ref="T88" si="460">T87*$F87/$E87</f>
        <v>0.55000000000000004</v>
      </c>
    </row>
    <row r="89" spans="1:20">
      <c r="A89" s="518">
        <v>43</v>
      </c>
      <c r="B89" s="531" t="s">
        <v>246</v>
      </c>
      <c r="C89" s="533" t="s">
        <v>200</v>
      </c>
      <c r="D89" s="535">
        <v>468637</v>
      </c>
      <c r="E89" s="537">
        <v>60</v>
      </c>
      <c r="F89" s="624">
        <v>28.67</v>
      </c>
      <c r="G89" s="223">
        <v>2</v>
      </c>
      <c r="H89" s="330">
        <v>0</v>
      </c>
      <c r="I89" s="219">
        <v>0</v>
      </c>
      <c r="J89" s="219">
        <v>0</v>
      </c>
      <c r="K89" s="330">
        <v>0</v>
      </c>
      <c r="L89" s="330">
        <v>0</v>
      </c>
      <c r="M89" s="219">
        <v>0</v>
      </c>
      <c r="N89" s="330">
        <v>1</v>
      </c>
      <c r="O89" s="330">
        <v>0</v>
      </c>
      <c r="P89" s="331">
        <v>1</v>
      </c>
      <c r="Q89" s="330">
        <v>1</v>
      </c>
      <c r="R89" s="330">
        <v>0</v>
      </c>
      <c r="S89" s="330">
        <v>0</v>
      </c>
      <c r="T89" s="332">
        <v>1</v>
      </c>
    </row>
    <row r="90" spans="1:20" ht="72.75" customHeight="1" thickBot="1">
      <c r="A90" s="446"/>
      <c r="B90" s="617"/>
      <c r="C90" s="543"/>
      <c r="D90" s="544"/>
      <c r="E90" s="545"/>
      <c r="F90" s="625"/>
      <c r="G90" s="319">
        <f t="shared" si="357"/>
        <v>0.96</v>
      </c>
      <c r="H90" s="320">
        <f t="shared" ref="H90" si="461">H89*$F89/$E89</f>
        <v>0</v>
      </c>
      <c r="I90" s="320">
        <f t="shared" ref="I90" si="462">I89*$F89/$E89</f>
        <v>0</v>
      </c>
      <c r="J90" s="320">
        <f t="shared" ref="J90" si="463">J89*$F89/$E89</f>
        <v>0</v>
      </c>
      <c r="K90" s="320">
        <f t="shared" ref="K90" si="464">K89*$F89/$E89</f>
        <v>0</v>
      </c>
      <c r="L90" s="320">
        <f t="shared" ref="L90" si="465">L89*$F89/$E89</f>
        <v>0</v>
      </c>
      <c r="M90" s="320">
        <f t="shared" ref="M90" si="466">M89*$F89/$E89</f>
        <v>0</v>
      </c>
      <c r="N90" s="320">
        <f t="shared" ref="N90" si="467">N89*$F89/$E89</f>
        <v>0.48</v>
      </c>
      <c r="O90" s="320">
        <f t="shared" ref="O90" si="468">O89*$F89/$E89</f>
        <v>0</v>
      </c>
      <c r="P90" s="320">
        <f t="shared" ref="P90" si="469">P89*$F89/$E89</f>
        <v>0.48</v>
      </c>
      <c r="Q90" s="320">
        <f t="shared" ref="Q90" si="470">Q89*$F89/$E89</f>
        <v>0.48</v>
      </c>
      <c r="R90" s="320">
        <f t="shared" ref="R90" si="471">R89*$F89/$E89</f>
        <v>0</v>
      </c>
      <c r="S90" s="320">
        <f t="shared" ref="S90" si="472">S89*$F89/$E89</f>
        <v>0</v>
      </c>
      <c r="T90" s="321">
        <f t="shared" ref="T90" si="473">T89*$F89/$E89</f>
        <v>0.48</v>
      </c>
    </row>
    <row r="91" spans="1:20">
      <c r="A91" s="576">
        <v>44</v>
      </c>
      <c r="B91" s="598" t="s">
        <v>247</v>
      </c>
      <c r="C91" s="616" t="s">
        <v>200</v>
      </c>
      <c r="D91" s="522">
        <v>239391</v>
      </c>
      <c r="E91" s="524">
        <v>120</v>
      </c>
      <c r="F91" s="516">
        <v>36.9</v>
      </c>
      <c r="G91" s="322">
        <v>2</v>
      </c>
      <c r="H91" s="333">
        <v>0</v>
      </c>
      <c r="I91" s="327">
        <v>0</v>
      </c>
      <c r="J91" s="327">
        <v>1</v>
      </c>
      <c r="K91" s="333">
        <v>1</v>
      </c>
      <c r="L91" s="333">
        <v>1</v>
      </c>
      <c r="M91" s="327">
        <v>1</v>
      </c>
      <c r="N91" s="333">
        <v>0</v>
      </c>
      <c r="O91" s="333">
        <v>1</v>
      </c>
      <c r="P91" s="334">
        <v>1</v>
      </c>
      <c r="Q91" s="333">
        <v>1</v>
      </c>
      <c r="R91" s="333">
        <v>1</v>
      </c>
      <c r="S91" s="333">
        <v>1</v>
      </c>
      <c r="T91" s="335">
        <v>1</v>
      </c>
    </row>
    <row r="92" spans="1:20" ht="65.25" customHeight="1" thickBot="1">
      <c r="A92" s="604"/>
      <c r="B92" s="554"/>
      <c r="C92" s="555"/>
      <c r="D92" s="523"/>
      <c r="E92" s="525"/>
      <c r="F92" s="517"/>
      <c r="G92" s="225">
        <f t="shared" si="357"/>
        <v>0.62</v>
      </c>
      <c r="H92" s="226">
        <f t="shared" ref="H92" si="474">H91*$F91/$E91</f>
        <v>0</v>
      </c>
      <c r="I92" s="226">
        <f t="shared" ref="I92" si="475">I91*$F91/$E91</f>
        <v>0</v>
      </c>
      <c r="J92" s="226">
        <f t="shared" ref="J92" si="476">J91*$F91/$E91</f>
        <v>0.31</v>
      </c>
      <c r="K92" s="226">
        <f t="shared" ref="K92" si="477">K91*$F91/$E91</f>
        <v>0.31</v>
      </c>
      <c r="L92" s="226">
        <f t="shared" ref="L92" si="478">L91*$F91/$E91</f>
        <v>0.31</v>
      </c>
      <c r="M92" s="226">
        <f t="shared" ref="M92" si="479">M91*$F91/$E91</f>
        <v>0.31</v>
      </c>
      <c r="N92" s="226">
        <f t="shared" ref="N92" si="480">N91*$F91/$E91</f>
        <v>0</v>
      </c>
      <c r="O92" s="226">
        <f t="shared" ref="O92" si="481">O91*$F91/$E91</f>
        <v>0.31</v>
      </c>
      <c r="P92" s="226">
        <f t="shared" ref="P92" si="482">P91*$F91/$E91</f>
        <v>0.31</v>
      </c>
      <c r="Q92" s="226">
        <f t="shared" ref="Q92" si="483">Q91*$F91/$E91</f>
        <v>0.31</v>
      </c>
      <c r="R92" s="226">
        <f t="shared" ref="R92" si="484">R91*$F91/$E91</f>
        <v>0.31</v>
      </c>
      <c r="S92" s="226">
        <f t="shared" ref="S92" si="485">S91*$F91/$E91</f>
        <v>0.31</v>
      </c>
      <c r="T92" s="227">
        <f t="shared" ref="T92" si="486">T91*$F91/$E91</f>
        <v>0.31</v>
      </c>
    </row>
    <row r="93" spans="1:20">
      <c r="A93" s="518">
        <v>45</v>
      </c>
      <c r="B93" s="531" t="s">
        <v>248</v>
      </c>
      <c r="C93" s="533" t="s">
        <v>200</v>
      </c>
      <c r="D93" s="535">
        <v>71145</v>
      </c>
      <c r="E93" s="537">
        <v>80</v>
      </c>
      <c r="F93" s="624">
        <v>52.41</v>
      </c>
      <c r="G93" s="223">
        <v>10</v>
      </c>
      <c r="H93" s="325"/>
      <c r="I93" s="325"/>
      <c r="J93" s="325"/>
      <c r="K93" s="325"/>
      <c r="L93" s="325"/>
      <c r="M93" s="325"/>
      <c r="N93" s="325"/>
      <c r="O93" s="325"/>
      <c r="P93" s="325"/>
      <c r="Q93" s="325"/>
      <c r="R93" s="325"/>
      <c r="S93" s="325"/>
      <c r="T93" s="326"/>
    </row>
    <row r="94" spans="1:20" ht="15.75" thickBot="1">
      <c r="A94" s="582"/>
      <c r="B94" s="597"/>
      <c r="C94" s="543"/>
      <c r="D94" s="544"/>
      <c r="E94" s="545"/>
      <c r="F94" s="625"/>
      <c r="G94" s="319">
        <f t="shared" si="357"/>
        <v>6.55</v>
      </c>
      <c r="H94" s="320"/>
      <c r="I94" s="320"/>
      <c r="J94" s="320"/>
      <c r="K94" s="320"/>
      <c r="L94" s="320"/>
      <c r="M94" s="320"/>
      <c r="N94" s="320"/>
      <c r="O94" s="320"/>
      <c r="P94" s="320"/>
      <c r="Q94" s="320"/>
      <c r="R94" s="320"/>
      <c r="S94" s="320"/>
      <c r="T94" s="321"/>
    </row>
    <row r="95" spans="1:20">
      <c r="A95" s="634">
        <v>46</v>
      </c>
      <c r="B95" s="636" t="s">
        <v>249</v>
      </c>
      <c r="C95" s="616" t="s">
        <v>200</v>
      </c>
      <c r="D95" s="522">
        <v>437878</v>
      </c>
      <c r="E95" s="524">
        <v>12</v>
      </c>
      <c r="F95" s="516">
        <v>124</v>
      </c>
      <c r="G95" s="322">
        <v>12</v>
      </c>
      <c r="H95" s="323"/>
      <c r="I95" s="323"/>
      <c r="J95" s="323"/>
      <c r="K95" s="323"/>
      <c r="L95" s="323"/>
      <c r="M95" s="323"/>
      <c r="N95" s="323"/>
      <c r="O95" s="323"/>
      <c r="P95" s="323"/>
      <c r="Q95" s="323"/>
      <c r="R95" s="323"/>
      <c r="S95" s="323"/>
      <c r="T95" s="324"/>
    </row>
    <row r="96" spans="1:20" ht="26.25" customHeight="1" thickBot="1">
      <c r="A96" s="634"/>
      <c r="B96" s="637"/>
      <c r="C96" s="555"/>
      <c r="D96" s="523"/>
      <c r="E96" s="525"/>
      <c r="F96" s="517"/>
      <c r="G96" s="225">
        <f t="shared" si="357"/>
        <v>124</v>
      </c>
      <c r="H96" s="226"/>
      <c r="I96" s="226"/>
      <c r="J96" s="226"/>
      <c r="K96" s="226"/>
      <c r="L96" s="226"/>
      <c r="M96" s="226"/>
      <c r="N96" s="226"/>
      <c r="O96" s="226"/>
      <c r="P96" s="226"/>
      <c r="Q96" s="226"/>
      <c r="R96" s="226"/>
      <c r="S96" s="226"/>
      <c r="T96" s="227"/>
    </row>
    <row r="97" spans="1:20">
      <c r="A97" s="518">
        <v>47</v>
      </c>
      <c r="B97" s="531" t="s">
        <v>250</v>
      </c>
      <c r="C97" s="533" t="s">
        <v>200</v>
      </c>
      <c r="D97" s="535">
        <v>376174</v>
      </c>
      <c r="E97" s="537">
        <v>12</v>
      </c>
      <c r="F97" s="624">
        <v>32.96</v>
      </c>
      <c r="G97" s="223">
        <v>12</v>
      </c>
      <c r="H97" s="325"/>
      <c r="I97" s="325"/>
      <c r="J97" s="325"/>
      <c r="K97" s="325"/>
      <c r="L97" s="325"/>
      <c r="M97" s="325"/>
      <c r="N97" s="325"/>
      <c r="O97" s="325"/>
      <c r="P97" s="325"/>
      <c r="Q97" s="325"/>
      <c r="R97" s="325"/>
      <c r="S97" s="325"/>
      <c r="T97" s="326"/>
    </row>
    <row r="98" spans="1:20" ht="30.75" customHeight="1" thickBot="1">
      <c r="A98" s="582"/>
      <c r="B98" s="597"/>
      <c r="C98" s="543"/>
      <c r="D98" s="544"/>
      <c r="E98" s="545"/>
      <c r="F98" s="625"/>
      <c r="G98" s="319">
        <f t="shared" si="357"/>
        <v>32.96</v>
      </c>
      <c r="H98" s="320"/>
      <c r="I98" s="320"/>
      <c r="J98" s="320"/>
      <c r="K98" s="320"/>
      <c r="L98" s="320"/>
      <c r="M98" s="320"/>
      <c r="N98" s="320"/>
      <c r="O98" s="320"/>
      <c r="P98" s="320"/>
      <c r="Q98" s="320"/>
      <c r="R98" s="320"/>
      <c r="S98" s="320"/>
      <c r="T98" s="321"/>
    </row>
    <row r="99" spans="1:20">
      <c r="A99" s="634">
        <v>48</v>
      </c>
      <c r="B99" s="635" t="s">
        <v>251</v>
      </c>
      <c r="C99" s="616" t="s">
        <v>200</v>
      </c>
      <c r="D99" s="522">
        <v>335113</v>
      </c>
      <c r="E99" s="524">
        <v>80</v>
      </c>
      <c r="F99" s="516">
        <v>85.43</v>
      </c>
      <c r="G99" s="322">
        <v>5</v>
      </c>
      <c r="H99" s="323"/>
      <c r="I99" s="323"/>
      <c r="J99" s="323"/>
      <c r="K99" s="323"/>
      <c r="L99" s="323"/>
      <c r="M99" s="323"/>
      <c r="N99" s="323"/>
      <c r="O99" s="323"/>
      <c r="P99" s="323"/>
      <c r="Q99" s="323"/>
      <c r="R99" s="323"/>
      <c r="S99" s="323"/>
      <c r="T99" s="324"/>
    </row>
    <row r="100" spans="1:20" ht="15.75" thickBot="1">
      <c r="A100" s="634"/>
      <c r="B100" s="635"/>
      <c r="C100" s="555"/>
      <c r="D100" s="523"/>
      <c r="E100" s="525"/>
      <c r="F100" s="517"/>
      <c r="G100" s="225">
        <f t="shared" si="357"/>
        <v>5.34</v>
      </c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  <c r="R100" s="226"/>
      <c r="S100" s="226"/>
      <c r="T100" s="227"/>
    </row>
    <row r="101" spans="1:20">
      <c r="A101" s="518">
        <v>49</v>
      </c>
      <c r="B101" s="531" t="s">
        <v>252</v>
      </c>
      <c r="C101" s="533" t="s">
        <v>200</v>
      </c>
      <c r="D101" s="535">
        <v>240322</v>
      </c>
      <c r="E101" s="537">
        <v>120</v>
      </c>
      <c r="F101" s="624">
        <v>12.18</v>
      </c>
      <c r="G101" s="223">
        <v>5</v>
      </c>
      <c r="H101" s="325"/>
      <c r="I101" s="325"/>
      <c r="J101" s="325"/>
      <c r="K101" s="325"/>
      <c r="L101" s="325"/>
      <c r="M101" s="325"/>
      <c r="N101" s="325"/>
      <c r="O101" s="325"/>
      <c r="P101" s="325"/>
      <c r="Q101" s="325"/>
      <c r="R101" s="325"/>
      <c r="S101" s="325"/>
      <c r="T101" s="326"/>
    </row>
    <row r="102" spans="1:20" ht="15.75" thickBot="1">
      <c r="A102" s="582"/>
      <c r="B102" s="597"/>
      <c r="C102" s="543"/>
      <c r="D102" s="544"/>
      <c r="E102" s="545"/>
      <c r="F102" s="625"/>
      <c r="G102" s="319">
        <f t="shared" si="357"/>
        <v>0.51</v>
      </c>
      <c r="H102" s="320"/>
      <c r="I102" s="320"/>
      <c r="J102" s="320"/>
      <c r="K102" s="320"/>
      <c r="L102" s="320"/>
      <c r="M102" s="320"/>
      <c r="N102" s="320"/>
      <c r="O102" s="320"/>
      <c r="P102" s="320"/>
      <c r="Q102" s="320"/>
      <c r="R102" s="320"/>
      <c r="S102" s="320"/>
      <c r="T102" s="321"/>
    </row>
    <row r="103" spans="1:20">
      <c r="A103" s="518">
        <v>50</v>
      </c>
      <c r="B103" s="580" t="s">
        <v>253</v>
      </c>
      <c r="C103" s="533" t="s">
        <v>200</v>
      </c>
      <c r="D103" s="535">
        <v>373903</v>
      </c>
      <c r="E103" s="537">
        <v>24</v>
      </c>
      <c r="F103" s="624">
        <v>9.1300000000000008</v>
      </c>
      <c r="G103" s="223">
        <v>10</v>
      </c>
      <c r="H103" s="325"/>
      <c r="I103" s="325"/>
      <c r="J103" s="325"/>
      <c r="K103" s="325"/>
      <c r="L103" s="325"/>
      <c r="M103" s="325"/>
      <c r="N103" s="325"/>
      <c r="O103" s="325"/>
      <c r="P103" s="325"/>
      <c r="Q103" s="325"/>
      <c r="R103" s="325"/>
      <c r="S103" s="325"/>
      <c r="T103" s="326"/>
    </row>
    <row r="104" spans="1:20" ht="15.75" thickBot="1">
      <c r="A104" s="582"/>
      <c r="B104" s="581"/>
      <c r="C104" s="543"/>
      <c r="D104" s="544"/>
      <c r="E104" s="545"/>
      <c r="F104" s="625"/>
      <c r="G104" s="225">
        <f t="shared" si="357"/>
        <v>3.8</v>
      </c>
      <c r="H104" s="226"/>
      <c r="I104" s="226"/>
      <c r="J104" s="226"/>
      <c r="K104" s="226"/>
      <c r="L104" s="226"/>
      <c r="M104" s="226"/>
      <c r="N104" s="226"/>
      <c r="O104" s="226"/>
      <c r="P104" s="226"/>
      <c r="Q104" s="226"/>
      <c r="R104" s="226"/>
      <c r="S104" s="226"/>
      <c r="T104" s="227"/>
    </row>
    <row r="105" spans="1:20">
      <c r="A105" s="518">
        <v>51</v>
      </c>
      <c r="B105" s="580" t="s">
        <v>254</v>
      </c>
      <c r="C105" s="533" t="s">
        <v>255</v>
      </c>
      <c r="D105" s="535">
        <v>251235</v>
      </c>
      <c r="E105" s="537">
        <v>80</v>
      </c>
      <c r="F105" s="624">
        <v>32.83</v>
      </c>
      <c r="G105" s="223">
        <v>27</v>
      </c>
      <c r="H105" s="325"/>
      <c r="I105" s="325"/>
      <c r="J105" s="325"/>
      <c r="K105" s="325"/>
      <c r="L105" s="325"/>
      <c r="M105" s="325"/>
      <c r="N105" s="325"/>
      <c r="O105" s="325"/>
      <c r="P105" s="325"/>
      <c r="Q105" s="325"/>
      <c r="R105" s="325"/>
      <c r="S105" s="325"/>
      <c r="T105" s="326"/>
    </row>
    <row r="106" spans="1:20" ht="15.75" thickBot="1">
      <c r="A106" s="582"/>
      <c r="B106" s="581"/>
      <c r="C106" s="543"/>
      <c r="D106" s="544"/>
      <c r="E106" s="545"/>
      <c r="F106" s="625"/>
      <c r="G106" s="225">
        <f t="shared" si="357"/>
        <v>11.08</v>
      </c>
      <c r="H106" s="226"/>
      <c r="I106" s="226"/>
      <c r="J106" s="226"/>
      <c r="K106" s="226"/>
      <c r="L106" s="226"/>
      <c r="M106" s="226"/>
      <c r="N106" s="226"/>
      <c r="O106" s="226"/>
      <c r="P106" s="226"/>
      <c r="Q106" s="226"/>
      <c r="R106" s="226"/>
      <c r="S106" s="226"/>
      <c r="T106" s="227"/>
    </row>
    <row r="107" spans="1:20">
      <c r="A107" s="518">
        <v>52</v>
      </c>
      <c r="B107" s="580" t="s">
        <v>256</v>
      </c>
      <c r="C107" s="533" t="s">
        <v>200</v>
      </c>
      <c r="D107" s="535" t="s">
        <v>257</v>
      </c>
      <c r="E107" s="537">
        <v>80</v>
      </c>
      <c r="F107" s="624">
        <v>912.89</v>
      </c>
      <c r="G107" s="223">
        <v>2</v>
      </c>
      <c r="H107" s="325"/>
      <c r="I107" s="325"/>
      <c r="J107" s="325"/>
      <c r="K107" s="325"/>
      <c r="L107" s="325"/>
      <c r="M107" s="325"/>
      <c r="N107" s="325"/>
      <c r="O107" s="325"/>
      <c r="P107" s="325"/>
      <c r="Q107" s="325"/>
      <c r="R107" s="325"/>
      <c r="S107" s="325"/>
      <c r="T107" s="326"/>
    </row>
    <row r="108" spans="1:20" ht="24.75" customHeight="1" thickBot="1">
      <c r="A108" s="582"/>
      <c r="B108" s="581"/>
      <c r="C108" s="543"/>
      <c r="D108" s="544"/>
      <c r="E108" s="545"/>
      <c r="F108" s="625"/>
      <c r="G108" s="225">
        <f t="shared" si="357"/>
        <v>22.82</v>
      </c>
      <c r="H108" s="226"/>
      <c r="I108" s="226"/>
      <c r="J108" s="226"/>
      <c r="K108" s="226"/>
      <c r="L108" s="226"/>
      <c r="M108" s="226"/>
      <c r="N108" s="226"/>
      <c r="O108" s="226"/>
      <c r="P108" s="226"/>
      <c r="Q108" s="226"/>
      <c r="R108" s="226"/>
      <c r="S108" s="226"/>
      <c r="T108" s="227"/>
    </row>
    <row r="109" spans="1:20" ht="15.75" thickBot="1">
      <c r="E109" s="480" t="s">
        <v>172</v>
      </c>
      <c r="F109" s="481"/>
      <c r="G109" s="224">
        <f>G6+G8+G10+G12+G14+G16+G18+G20+G22+G24+G26+G28+G30+G32+G34+G36+G38+G40+G42+G44+G46+G48+G50+G52+G54+G56+G58+G60+G62+G64+G66+G68+G70+G72+G74+G76+G78+G80+G82+G84+G86+G88+G90+G92+G94+G96+G98+G100+G102+G104+G106+G108</f>
        <v>742.74</v>
      </c>
      <c r="H109" s="224">
        <f t="shared" ref="H109:T109" si="487">H6+H8+H10+H12+H14+H16+H18+H20+H22+H24+H26+H28+H30+H32+H34+H36+H38+H40+H42+H44+H46+H48+H50+H52+H54+H56+H58+H60+H62+H64+H66+H68+H70+H72+H74+H76+H78+H80+H82+H84+H86+H88+H90+H92+H94+H96+H98+H100+H102+H104+H106+H108</f>
        <v>82.2</v>
      </c>
      <c r="I109" s="224">
        <f t="shared" si="487"/>
        <v>62.73</v>
      </c>
      <c r="J109" s="224">
        <f t="shared" si="487"/>
        <v>57.84</v>
      </c>
      <c r="K109" s="224">
        <f t="shared" si="487"/>
        <v>122.53</v>
      </c>
      <c r="L109" s="224">
        <f t="shared" si="487"/>
        <v>134.79</v>
      </c>
      <c r="M109" s="224">
        <f t="shared" si="487"/>
        <v>106.81</v>
      </c>
      <c r="N109" s="224">
        <f t="shared" si="487"/>
        <v>169.22</v>
      </c>
      <c r="O109" s="224">
        <f t="shared" si="487"/>
        <v>110.2</v>
      </c>
      <c r="P109" s="224">
        <f t="shared" si="487"/>
        <v>88.05</v>
      </c>
      <c r="Q109" s="224">
        <f t="shared" si="487"/>
        <v>204.25</v>
      </c>
      <c r="R109" s="224">
        <f t="shared" si="487"/>
        <v>107.75</v>
      </c>
      <c r="S109" s="224">
        <f t="shared" si="487"/>
        <v>113.43</v>
      </c>
      <c r="T109" s="224">
        <f t="shared" si="487"/>
        <v>101.64</v>
      </c>
    </row>
    <row r="110" spans="1:20" ht="15.75" thickBot="1">
      <c r="E110" s="482" t="s">
        <v>173</v>
      </c>
      <c r="F110" s="483"/>
      <c r="G110" s="204">
        <f>MATERIAIS!F108</f>
        <v>17</v>
      </c>
      <c r="H110" s="205">
        <f>MATERIAIS!G108</f>
        <v>2</v>
      </c>
      <c r="I110" s="205">
        <f>MATERIAIS!H108</f>
        <v>2</v>
      </c>
      <c r="J110" s="205">
        <f>MATERIAIS!I108</f>
        <v>3</v>
      </c>
      <c r="K110" s="205">
        <f>MATERIAIS!J108</f>
        <v>2</v>
      </c>
      <c r="L110" s="205">
        <f>MATERIAIS!K108</f>
        <v>4</v>
      </c>
      <c r="M110" s="205">
        <f>MATERIAIS!L108</f>
        <v>3</v>
      </c>
      <c r="N110" s="205">
        <f>MATERIAIS!M108</f>
        <v>3</v>
      </c>
      <c r="O110" s="205">
        <f>MATERIAIS!N108</f>
        <v>3</v>
      </c>
      <c r="P110" s="205">
        <f>MATERIAIS!O108</f>
        <v>2</v>
      </c>
      <c r="Q110" s="205">
        <f>MATERIAIS!P108</f>
        <v>4</v>
      </c>
      <c r="R110" s="205">
        <f>MATERIAIS!Q108</f>
        <v>2</v>
      </c>
      <c r="S110" s="205">
        <f>MATERIAIS!R108</f>
        <v>2</v>
      </c>
      <c r="T110" s="206">
        <f>MATERIAIS!S108</f>
        <v>3</v>
      </c>
    </row>
    <row r="111" spans="1:20" ht="15.75" thickBot="1">
      <c r="E111" s="476" t="s">
        <v>174</v>
      </c>
      <c r="F111" s="477"/>
      <c r="G111" s="207">
        <f>G109/G110</f>
        <v>43.69</v>
      </c>
      <c r="H111" s="208">
        <f t="shared" ref="H111:T111" si="488">H109/H110</f>
        <v>41.1</v>
      </c>
      <c r="I111" s="208">
        <f t="shared" si="488"/>
        <v>31.37</v>
      </c>
      <c r="J111" s="208">
        <f t="shared" si="488"/>
        <v>19.28</v>
      </c>
      <c r="K111" s="208">
        <f t="shared" si="488"/>
        <v>61.27</v>
      </c>
      <c r="L111" s="208">
        <f t="shared" si="488"/>
        <v>33.700000000000003</v>
      </c>
      <c r="M111" s="208">
        <f t="shared" si="488"/>
        <v>35.6</v>
      </c>
      <c r="N111" s="208">
        <f t="shared" si="488"/>
        <v>56.41</v>
      </c>
      <c r="O111" s="208">
        <f t="shared" si="488"/>
        <v>36.729999999999997</v>
      </c>
      <c r="P111" s="208">
        <f t="shared" si="488"/>
        <v>44.03</v>
      </c>
      <c r="Q111" s="208">
        <f t="shared" si="488"/>
        <v>51.06</v>
      </c>
      <c r="R111" s="208">
        <f t="shared" si="488"/>
        <v>53.88</v>
      </c>
      <c r="S111" s="208">
        <f t="shared" si="488"/>
        <v>56.72</v>
      </c>
      <c r="T111" s="209">
        <f t="shared" si="488"/>
        <v>33.880000000000003</v>
      </c>
    </row>
    <row r="112" spans="1:20" ht="49.5" customHeight="1" thickBot="1"/>
    <row r="113" spans="1:7" ht="15.75" thickBot="1">
      <c r="A113" s="528" t="s">
        <v>258</v>
      </c>
      <c r="B113" s="529"/>
      <c r="C113" s="529"/>
      <c r="D113" s="529"/>
      <c r="E113" s="529"/>
      <c r="F113" s="529"/>
      <c r="G113" s="530"/>
    </row>
    <row r="114" spans="1:7" ht="54.75" customHeight="1" thickBot="1">
      <c r="A114" s="364" t="s">
        <v>108</v>
      </c>
      <c r="B114" s="365" t="s">
        <v>194</v>
      </c>
      <c r="C114" s="364" t="s">
        <v>195</v>
      </c>
      <c r="D114" s="364" t="s">
        <v>60</v>
      </c>
      <c r="E114" s="364" t="s">
        <v>64</v>
      </c>
      <c r="F114" s="364" t="s">
        <v>196</v>
      </c>
      <c r="G114" s="364" t="s">
        <v>113</v>
      </c>
    </row>
    <row r="115" spans="1:7">
      <c r="A115" s="518">
        <v>1</v>
      </c>
      <c r="B115" s="531" t="s">
        <v>199</v>
      </c>
      <c r="C115" s="533" t="s">
        <v>200</v>
      </c>
      <c r="D115" s="535">
        <v>451680</v>
      </c>
      <c r="E115" s="537">
        <v>120</v>
      </c>
      <c r="F115" s="539">
        <f>F5</f>
        <v>360.71</v>
      </c>
      <c r="G115" s="315">
        <v>2</v>
      </c>
    </row>
    <row r="116" spans="1:7" ht="41.25" customHeight="1">
      <c r="A116" s="519"/>
      <c r="B116" s="532"/>
      <c r="C116" s="534"/>
      <c r="D116" s="536"/>
      <c r="E116" s="538"/>
      <c r="F116" s="540"/>
      <c r="G116" s="316">
        <f>G115*F115/E115</f>
        <v>6.01</v>
      </c>
    </row>
    <row r="117" spans="1:7">
      <c r="A117" s="519">
        <v>2</v>
      </c>
      <c r="B117" s="563" t="s">
        <v>218</v>
      </c>
      <c r="C117" s="534" t="s">
        <v>200</v>
      </c>
      <c r="D117" s="536">
        <v>449983</v>
      </c>
      <c r="E117" s="538">
        <v>120</v>
      </c>
      <c r="F117" s="540">
        <f>F39</f>
        <v>911.99</v>
      </c>
      <c r="G117" s="317">
        <v>2</v>
      </c>
    </row>
    <row r="118" spans="1:7" ht="99.75" customHeight="1" thickBot="1">
      <c r="A118" s="519"/>
      <c r="B118" s="563"/>
      <c r="C118" s="534"/>
      <c r="D118" s="536"/>
      <c r="E118" s="538"/>
      <c r="F118" s="540"/>
      <c r="G118" s="316">
        <f>G117*F117/E117</f>
        <v>15.2</v>
      </c>
    </row>
    <row r="119" spans="1:7" ht="15.75" thickBot="1">
      <c r="E119" s="480" t="s">
        <v>172</v>
      </c>
      <c r="F119" s="481"/>
      <c r="G119" s="376">
        <f>G116+G118</f>
        <v>21.21</v>
      </c>
    </row>
    <row r="120" spans="1:7" ht="15.75" thickBot="1">
      <c r="E120" s="482" t="s">
        <v>173</v>
      </c>
      <c r="F120" s="483"/>
      <c r="G120" s="318">
        <f>MATERIAIS!G127</f>
        <v>1</v>
      </c>
    </row>
    <row r="121" spans="1:7" ht="15.75" thickBot="1">
      <c r="E121" s="476" t="s">
        <v>174</v>
      </c>
      <c r="F121" s="477"/>
      <c r="G121" s="377">
        <f>G119/G120</f>
        <v>21.21</v>
      </c>
    </row>
    <row r="123" spans="1:7" ht="15.75" thickBot="1"/>
    <row r="124" spans="1:7" ht="15.75" thickBot="1">
      <c r="A124" s="528" t="s">
        <v>259</v>
      </c>
      <c r="B124" s="529"/>
      <c r="C124" s="529"/>
      <c r="D124" s="529"/>
      <c r="E124" s="529"/>
      <c r="F124" s="529"/>
      <c r="G124" s="530"/>
    </row>
    <row r="125" spans="1:7" ht="41.25" thickBot="1">
      <c r="A125" s="364" t="s">
        <v>108</v>
      </c>
      <c r="B125" s="365" t="s">
        <v>194</v>
      </c>
      <c r="C125" s="364" t="s">
        <v>195</v>
      </c>
      <c r="D125" s="364" t="s">
        <v>60</v>
      </c>
      <c r="E125" s="364" t="s">
        <v>64</v>
      </c>
      <c r="F125" s="364" t="s">
        <v>196</v>
      </c>
      <c r="G125" s="364" t="s">
        <v>260</v>
      </c>
    </row>
    <row r="126" spans="1:7">
      <c r="A126" s="518">
        <v>1</v>
      </c>
      <c r="B126" s="531" t="s">
        <v>199</v>
      </c>
      <c r="C126" s="533" t="s">
        <v>200</v>
      </c>
      <c r="D126" s="535">
        <v>451680</v>
      </c>
      <c r="E126" s="537">
        <v>120</v>
      </c>
      <c r="F126" s="539">
        <f>F115</f>
        <v>360.71</v>
      </c>
      <c r="G126" s="315">
        <v>1</v>
      </c>
    </row>
    <row r="127" spans="1:7" ht="23.25" customHeight="1" thickBot="1">
      <c r="A127" s="519"/>
      <c r="B127" s="532"/>
      <c r="C127" s="534"/>
      <c r="D127" s="536"/>
      <c r="E127" s="538"/>
      <c r="F127" s="540"/>
      <c r="G127" s="316">
        <f>G126*F126/E126</f>
        <v>3.01</v>
      </c>
    </row>
    <row r="128" spans="1:7" ht="15" customHeight="1">
      <c r="A128" s="519">
        <v>2</v>
      </c>
      <c r="B128" s="541" t="s">
        <v>206</v>
      </c>
      <c r="C128" s="533" t="s">
        <v>200</v>
      </c>
      <c r="D128" s="535">
        <v>268235</v>
      </c>
      <c r="E128" s="537">
        <v>80</v>
      </c>
      <c r="F128" s="546">
        <f>F17</f>
        <v>162.72999999999999</v>
      </c>
      <c r="G128" s="317">
        <v>1</v>
      </c>
    </row>
    <row r="129" spans="1:7" ht="35.25" customHeight="1" thickBot="1">
      <c r="A129" s="519"/>
      <c r="B129" s="542"/>
      <c r="C129" s="543"/>
      <c r="D129" s="544"/>
      <c r="E129" s="545"/>
      <c r="F129" s="547"/>
      <c r="G129" s="316">
        <f>G128*F128/E128</f>
        <v>2.0299999999999998</v>
      </c>
    </row>
    <row r="130" spans="1:7">
      <c r="A130" s="518">
        <v>3</v>
      </c>
      <c r="B130" s="520" t="s">
        <v>222</v>
      </c>
      <c r="C130" s="522" t="s">
        <v>223</v>
      </c>
      <c r="D130" s="522">
        <v>436827</v>
      </c>
      <c r="E130" s="524">
        <v>60</v>
      </c>
      <c r="F130" s="526">
        <f>F45</f>
        <v>177.35</v>
      </c>
      <c r="G130" s="315">
        <v>1</v>
      </c>
    </row>
    <row r="131" spans="1:7" ht="23.25" customHeight="1" thickBot="1">
      <c r="A131" s="519"/>
      <c r="B131" s="521"/>
      <c r="C131" s="523"/>
      <c r="D131" s="523"/>
      <c r="E131" s="525"/>
      <c r="F131" s="527"/>
      <c r="G131" s="316">
        <f>G130*F130/E130</f>
        <v>2.96</v>
      </c>
    </row>
    <row r="132" spans="1:7">
      <c r="A132" s="519">
        <v>4</v>
      </c>
      <c r="B132" s="548" t="s">
        <v>239</v>
      </c>
      <c r="C132" s="550" t="s">
        <v>200</v>
      </c>
      <c r="D132" s="550">
        <v>449916</v>
      </c>
      <c r="E132" s="552">
        <v>120</v>
      </c>
      <c r="F132" s="546">
        <v>1967.16</v>
      </c>
      <c r="G132" s="317">
        <v>1</v>
      </c>
    </row>
    <row r="133" spans="1:7" ht="35.25" customHeight="1" thickBot="1">
      <c r="A133" s="519"/>
      <c r="B133" s="549"/>
      <c r="C133" s="551"/>
      <c r="D133" s="551"/>
      <c r="E133" s="553"/>
      <c r="F133" s="547"/>
      <c r="G133" s="316">
        <f>G132*F132/E132</f>
        <v>16.39</v>
      </c>
    </row>
    <row r="134" spans="1:7" ht="39" customHeight="1">
      <c r="A134" s="518">
        <v>5</v>
      </c>
      <c r="B134" s="531" t="s">
        <v>244</v>
      </c>
      <c r="C134" s="533" t="s">
        <v>200</v>
      </c>
      <c r="D134" s="535">
        <v>452487</v>
      </c>
      <c r="E134" s="537">
        <v>60</v>
      </c>
      <c r="F134" s="546">
        <f>F85</f>
        <v>27.16</v>
      </c>
      <c r="G134" s="315">
        <v>1</v>
      </c>
    </row>
    <row r="135" spans="1:7" ht="42" customHeight="1" thickBot="1">
      <c r="A135" s="519"/>
      <c r="B135" s="554"/>
      <c r="C135" s="555"/>
      <c r="D135" s="523"/>
      <c r="E135" s="525"/>
      <c r="F135" s="527"/>
      <c r="G135" s="406">
        <f>G134*F134/E134</f>
        <v>0.45</v>
      </c>
    </row>
    <row r="136" spans="1:7">
      <c r="A136" s="556">
        <v>6</v>
      </c>
      <c r="B136" s="557" t="s">
        <v>234</v>
      </c>
      <c r="C136" s="533" t="s">
        <v>200</v>
      </c>
      <c r="D136" s="559">
        <v>443329</v>
      </c>
      <c r="E136" s="561">
        <v>80</v>
      </c>
      <c r="F136" s="546">
        <v>94.32</v>
      </c>
      <c r="G136" s="315">
        <v>1</v>
      </c>
    </row>
    <row r="137" spans="1:7" ht="35.25" customHeight="1" thickBot="1">
      <c r="A137" s="556"/>
      <c r="B137" s="558"/>
      <c r="C137" s="543"/>
      <c r="D137" s="560"/>
      <c r="E137" s="562"/>
      <c r="F137" s="547"/>
      <c r="G137" s="408">
        <f>G136*F136/E136</f>
        <v>1.18</v>
      </c>
    </row>
    <row r="138" spans="1:7" ht="15.75" thickBot="1">
      <c r="E138" s="480" t="s">
        <v>172</v>
      </c>
      <c r="F138" s="481"/>
      <c r="G138" s="407">
        <f>G127+G129+G131+G133+G135+G137</f>
        <v>26.02</v>
      </c>
    </row>
    <row r="139" spans="1:7" ht="15.75" thickBot="1">
      <c r="E139" s="482" t="s">
        <v>173</v>
      </c>
      <c r="F139" s="483"/>
      <c r="G139" s="318">
        <f>'SR - Tratador'!C11</f>
        <v>1</v>
      </c>
    </row>
    <row r="140" spans="1:7" ht="15.75" thickBot="1">
      <c r="E140" s="476" t="s">
        <v>174</v>
      </c>
      <c r="F140" s="477"/>
      <c r="G140" s="377">
        <f>G138/G139</f>
        <v>26.02</v>
      </c>
    </row>
  </sheetData>
  <protectedRanges>
    <protectedRange sqref="F115:F118 F5:F40 F43:F108 F126:F137" name="Intervalo1_1"/>
    <protectedRange sqref="F41:F42" name="Intervalo1_1_1"/>
  </protectedRanges>
  <mergeCells count="378">
    <mergeCell ref="A93:A94"/>
    <mergeCell ref="B93:B94"/>
    <mergeCell ref="C93:C94"/>
    <mergeCell ref="D93:D94"/>
    <mergeCell ref="E93:E94"/>
    <mergeCell ref="F93:F94"/>
    <mergeCell ref="A95:A96"/>
    <mergeCell ref="B95:B96"/>
    <mergeCell ref="C95:C96"/>
    <mergeCell ref="D95:D96"/>
    <mergeCell ref="E95:E96"/>
    <mergeCell ref="F95:F96"/>
    <mergeCell ref="A101:A102"/>
    <mergeCell ref="B101:B102"/>
    <mergeCell ref="C101:C102"/>
    <mergeCell ref="D101:D102"/>
    <mergeCell ref="E101:E102"/>
    <mergeCell ref="F101:F102"/>
    <mergeCell ref="A107:A108"/>
    <mergeCell ref="B107:B108"/>
    <mergeCell ref="C107:C108"/>
    <mergeCell ref="D107:D108"/>
    <mergeCell ref="E107:E108"/>
    <mergeCell ref="F107:F108"/>
    <mergeCell ref="A103:A104"/>
    <mergeCell ref="B103:B104"/>
    <mergeCell ref="C103:C104"/>
    <mergeCell ref="D103:D104"/>
    <mergeCell ref="E103:E104"/>
    <mergeCell ref="F103:F104"/>
    <mergeCell ref="A105:A106"/>
    <mergeCell ref="B105:B106"/>
    <mergeCell ref="C105:C106"/>
    <mergeCell ref="D105:D106"/>
    <mergeCell ref="E105:E106"/>
    <mergeCell ref="F105:F106"/>
    <mergeCell ref="A97:A98"/>
    <mergeCell ref="B97:B98"/>
    <mergeCell ref="C97:C98"/>
    <mergeCell ref="D97:D98"/>
    <mergeCell ref="E97:E98"/>
    <mergeCell ref="F97:F98"/>
    <mergeCell ref="A99:A100"/>
    <mergeCell ref="B99:B100"/>
    <mergeCell ref="C99:C100"/>
    <mergeCell ref="D99:D100"/>
    <mergeCell ref="E99:E100"/>
    <mergeCell ref="F99:F100"/>
    <mergeCell ref="A11:A12"/>
    <mergeCell ref="A3:A4"/>
    <mergeCell ref="G3:T3"/>
    <mergeCell ref="C3:C4"/>
    <mergeCell ref="D3:D4"/>
    <mergeCell ref="A5:A6"/>
    <mergeCell ref="B5:B6"/>
    <mergeCell ref="C5:C6"/>
    <mergeCell ref="D5:D6"/>
    <mergeCell ref="E5:E6"/>
    <mergeCell ref="B3:B4"/>
    <mergeCell ref="F3:F4"/>
    <mergeCell ref="E3:E4"/>
    <mergeCell ref="F5:F6"/>
    <mergeCell ref="A7:A8"/>
    <mergeCell ref="B7:B8"/>
    <mergeCell ref="C7:C8"/>
    <mergeCell ref="D7:D8"/>
    <mergeCell ref="E7:E8"/>
    <mergeCell ref="F7:F8"/>
    <mergeCell ref="F9:F10"/>
    <mergeCell ref="A9:A10"/>
    <mergeCell ref="B9:B10"/>
    <mergeCell ref="C9:C10"/>
    <mergeCell ref="F61:F62"/>
    <mergeCell ref="F63:F64"/>
    <mergeCell ref="F67:F68"/>
    <mergeCell ref="F41:F42"/>
    <mergeCell ref="F43:F44"/>
    <mergeCell ref="F45:F46"/>
    <mergeCell ref="F47:F48"/>
    <mergeCell ref="F25:F26"/>
    <mergeCell ref="F27:F28"/>
    <mergeCell ref="F29:F30"/>
    <mergeCell ref="F49:F50"/>
    <mergeCell ref="F51:F52"/>
    <mergeCell ref="F53:F54"/>
    <mergeCell ref="F55:F56"/>
    <mergeCell ref="F57:F58"/>
    <mergeCell ref="F59:F60"/>
    <mergeCell ref="F31:F32"/>
    <mergeCell ref="F33:F34"/>
    <mergeCell ref="F35:F36"/>
    <mergeCell ref="F37:F38"/>
    <mergeCell ref="F39:F40"/>
    <mergeCell ref="D9:D10"/>
    <mergeCell ref="E9:E10"/>
    <mergeCell ref="E13:E14"/>
    <mergeCell ref="D13:D14"/>
    <mergeCell ref="D15:D16"/>
    <mergeCell ref="D17:D18"/>
    <mergeCell ref="D19:D20"/>
    <mergeCell ref="D21:D22"/>
    <mergeCell ref="B11:B12"/>
    <mergeCell ref="C11:C12"/>
    <mergeCell ref="D11:D12"/>
    <mergeCell ref="E11:E12"/>
    <mergeCell ref="C13:C14"/>
    <mergeCell ref="C15:C16"/>
    <mergeCell ref="C17:C18"/>
    <mergeCell ref="C19:C20"/>
    <mergeCell ref="C21:C22"/>
    <mergeCell ref="E15:E16"/>
    <mergeCell ref="E17:E18"/>
    <mergeCell ref="E19:E20"/>
    <mergeCell ref="E21:E22"/>
    <mergeCell ref="D89:D90"/>
    <mergeCell ref="D91:D92"/>
    <mergeCell ref="D77:D78"/>
    <mergeCell ref="D79:D80"/>
    <mergeCell ref="D81:D82"/>
    <mergeCell ref="D83:D84"/>
    <mergeCell ref="D67:D68"/>
    <mergeCell ref="D69:D70"/>
    <mergeCell ref="D71:D72"/>
    <mergeCell ref="D73:D74"/>
    <mergeCell ref="D75:D76"/>
    <mergeCell ref="F11:F12"/>
    <mergeCell ref="F13:F14"/>
    <mergeCell ref="F15:F16"/>
    <mergeCell ref="F17:F18"/>
    <mergeCell ref="F19:F20"/>
    <mergeCell ref="F21:F22"/>
    <mergeCell ref="F23:F24"/>
    <mergeCell ref="D85:D86"/>
    <mergeCell ref="D87:D88"/>
    <mergeCell ref="D55:D56"/>
    <mergeCell ref="D57:D58"/>
    <mergeCell ref="D59:D60"/>
    <mergeCell ref="D61:D62"/>
    <mergeCell ref="D63:D64"/>
    <mergeCell ref="D43:D44"/>
    <mergeCell ref="D45:D46"/>
    <mergeCell ref="D47:D48"/>
    <mergeCell ref="D49:D50"/>
    <mergeCell ref="D51:D52"/>
    <mergeCell ref="D53:D54"/>
    <mergeCell ref="D39:D40"/>
    <mergeCell ref="D41:D42"/>
    <mergeCell ref="D23:D24"/>
    <mergeCell ref="D25:D26"/>
    <mergeCell ref="F91:F92"/>
    <mergeCell ref="F79:F80"/>
    <mergeCell ref="F81:F82"/>
    <mergeCell ref="F83:F84"/>
    <mergeCell ref="F69:F70"/>
    <mergeCell ref="F71:F72"/>
    <mergeCell ref="F73:F74"/>
    <mergeCell ref="F75:F76"/>
    <mergeCell ref="F77:F78"/>
    <mergeCell ref="F85:F86"/>
    <mergeCell ref="F87:F88"/>
    <mergeCell ref="F89:F90"/>
    <mergeCell ref="E81:E82"/>
    <mergeCell ref="E79:E80"/>
    <mergeCell ref="E77:E78"/>
    <mergeCell ref="E75:E76"/>
    <mergeCell ref="E73:E74"/>
    <mergeCell ref="E85:E86"/>
    <mergeCell ref="E83:E84"/>
    <mergeCell ref="E91:E92"/>
    <mergeCell ref="E89:E90"/>
    <mergeCell ref="E87:E88"/>
    <mergeCell ref="E59:E60"/>
    <mergeCell ref="E57:E58"/>
    <mergeCell ref="E55:E56"/>
    <mergeCell ref="E53:E54"/>
    <mergeCell ref="E51:E52"/>
    <mergeCell ref="E49:E50"/>
    <mergeCell ref="E71:E72"/>
    <mergeCell ref="E69:E70"/>
    <mergeCell ref="E67:E68"/>
    <mergeCell ref="E63:E64"/>
    <mergeCell ref="E61:E62"/>
    <mergeCell ref="C23:C24"/>
    <mergeCell ref="C25:C26"/>
    <mergeCell ref="E47:E48"/>
    <mergeCell ref="E45:E46"/>
    <mergeCell ref="E43:E44"/>
    <mergeCell ref="E41:E42"/>
    <mergeCell ref="E39:E40"/>
    <mergeCell ref="E27:E28"/>
    <mergeCell ref="E29:E30"/>
    <mergeCell ref="E31:E32"/>
    <mergeCell ref="E23:E24"/>
    <mergeCell ref="E25:E26"/>
    <mergeCell ref="D33:D34"/>
    <mergeCell ref="D27:D28"/>
    <mergeCell ref="D29:D30"/>
    <mergeCell ref="C27:C28"/>
    <mergeCell ref="C29:C30"/>
    <mergeCell ref="C31:C32"/>
    <mergeCell ref="C33:C34"/>
    <mergeCell ref="C35:C36"/>
    <mergeCell ref="E37:E38"/>
    <mergeCell ref="E35:E36"/>
    <mergeCell ref="E33:E34"/>
    <mergeCell ref="D35:D36"/>
    <mergeCell ref="D37:D38"/>
    <mergeCell ref="D31:D32"/>
    <mergeCell ref="C53:C54"/>
    <mergeCell ref="C55:C56"/>
    <mergeCell ref="C57:C58"/>
    <mergeCell ref="C59:C60"/>
    <mergeCell ref="C61:C62"/>
    <mergeCell ref="C37:C38"/>
    <mergeCell ref="C39:C40"/>
    <mergeCell ref="C45:C46"/>
    <mergeCell ref="C47:C48"/>
    <mergeCell ref="C49:C50"/>
    <mergeCell ref="C51:C52"/>
    <mergeCell ref="C77:C78"/>
    <mergeCell ref="C79:C80"/>
    <mergeCell ref="C81:C82"/>
    <mergeCell ref="C83:C84"/>
    <mergeCell ref="C63:C64"/>
    <mergeCell ref="C67:C68"/>
    <mergeCell ref="C69:C70"/>
    <mergeCell ref="C71:C72"/>
    <mergeCell ref="C73:C74"/>
    <mergeCell ref="C75:C76"/>
    <mergeCell ref="C65:C66"/>
    <mergeCell ref="A87:A88"/>
    <mergeCell ref="A85:A86"/>
    <mergeCell ref="C85:C86"/>
    <mergeCell ref="C87:C88"/>
    <mergeCell ref="C89:C90"/>
    <mergeCell ref="C91:C92"/>
    <mergeCell ref="B89:B90"/>
    <mergeCell ref="B91:B92"/>
    <mergeCell ref="A91:A92"/>
    <mergeCell ref="A89:A90"/>
    <mergeCell ref="B85:B86"/>
    <mergeCell ref="B87:B88"/>
    <mergeCell ref="A83:A84"/>
    <mergeCell ref="B83:B84"/>
    <mergeCell ref="B81:B82"/>
    <mergeCell ref="A81:A82"/>
    <mergeCell ref="A25:A26"/>
    <mergeCell ref="B25:B26"/>
    <mergeCell ref="A27:A28"/>
    <mergeCell ref="B27:B28"/>
    <mergeCell ref="A19:A20"/>
    <mergeCell ref="B19:B20"/>
    <mergeCell ref="B21:B22"/>
    <mergeCell ref="A21:A22"/>
    <mergeCell ref="B23:B24"/>
    <mergeCell ref="A23:A24"/>
    <mergeCell ref="B35:B36"/>
    <mergeCell ref="A35:A36"/>
    <mergeCell ref="A37:A38"/>
    <mergeCell ref="B37:B38"/>
    <mergeCell ref="A29:A30"/>
    <mergeCell ref="B29:B30"/>
    <mergeCell ref="B31:B32"/>
    <mergeCell ref="A31:A32"/>
    <mergeCell ref="A33:A34"/>
    <mergeCell ref="B33:B34"/>
    <mergeCell ref="A13:A14"/>
    <mergeCell ref="A15:A16"/>
    <mergeCell ref="B13:B14"/>
    <mergeCell ref="B15:B16"/>
    <mergeCell ref="B17:B18"/>
    <mergeCell ref="A17:A18"/>
    <mergeCell ref="B45:B46"/>
    <mergeCell ref="A45:A46"/>
    <mergeCell ref="A47:A48"/>
    <mergeCell ref="B47:B48"/>
    <mergeCell ref="B49:B50"/>
    <mergeCell ref="A49:A50"/>
    <mergeCell ref="A39:A40"/>
    <mergeCell ref="B39:B40"/>
    <mergeCell ref="B41:B42"/>
    <mergeCell ref="A41:A42"/>
    <mergeCell ref="A43:A44"/>
    <mergeCell ref="B43:B44"/>
    <mergeCell ref="A59:A60"/>
    <mergeCell ref="B59:B60"/>
    <mergeCell ref="B51:B52"/>
    <mergeCell ref="A51:A52"/>
    <mergeCell ref="A53:A54"/>
    <mergeCell ref="B53:B54"/>
    <mergeCell ref="B55:B56"/>
    <mergeCell ref="A55:A56"/>
    <mergeCell ref="B57:B58"/>
    <mergeCell ref="B65:B66"/>
    <mergeCell ref="A79:A80"/>
    <mergeCell ref="B79:B80"/>
    <mergeCell ref="C41:C42"/>
    <mergeCell ref="C43:C44"/>
    <mergeCell ref="E109:F109"/>
    <mergeCell ref="A75:A76"/>
    <mergeCell ref="B75:B76"/>
    <mergeCell ref="B77:B78"/>
    <mergeCell ref="A77:A78"/>
    <mergeCell ref="A69:A70"/>
    <mergeCell ref="B69:B70"/>
    <mergeCell ref="B71:B72"/>
    <mergeCell ref="A71:A72"/>
    <mergeCell ref="B73:B74"/>
    <mergeCell ref="A73:A74"/>
    <mergeCell ref="A61:A62"/>
    <mergeCell ref="B61:B62"/>
    <mergeCell ref="B63:B64"/>
    <mergeCell ref="A63:A64"/>
    <mergeCell ref="A67:A68"/>
    <mergeCell ref="A65:A66"/>
    <mergeCell ref="B67:B68"/>
    <mergeCell ref="A57:A58"/>
    <mergeCell ref="E120:F120"/>
    <mergeCell ref="E121:F121"/>
    <mergeCell ref="A113:G113"/>
    <mergeCell ref="A117:A118"/>
    <mergeCell ref="B117:B118"/>
    <mergeCell ref="C117:C118"/>
    <mergeCell ref="D117:D118"/>
    <mergeCell ref="E117:E118"/>
    <mergeCell ref="F117:F118"/>
    <mergeCell ref="E119:F119"/>
    <mergeCell ref="A115:A116"/>
    <mergeCell ref="B115:B116"/>
    <mergeCell ref="C115:C116"/>
    <mergeCell ref="D115:D116"/>
    <mergeCell ref="E115:E116"/>
    <mergeCell ref="F115:F116"/>
    <mergeCell ref="E138:F138"/>
    <mergeCell ref="E139:F139"/>
    <mergeCell ref="E140:F140"/>
    <mergeCell ref="A134:A135"/>
    <mergeCell ref="A136:A137"/>
    <mergeCell ref="B136:B137"/>
    <mergeCell ref="C136:C137"/>
    <mergeCell ref="D136:D137"/>
    <mergeCell ref="E136:E137"/>
    <mergeCell ref="F136:F137"/>
    <mergeCell ref="A132:A133"/>
    <mergeCell ref="B132:B133"/>
    <mergeCell ref="C132:C133"/>
    <mergeCell ref="D132:D133"/>
    <mergeCell ref="E132:E133"/>
    <mergeCell ref="F132:F133"/>
    <mergeCell ref="F134:F135"/>
    <mergeCell ref="B134:B135"/>
    <mergeCell ref="C134:C135"/>
    <mergeCell ref="D134:D135"/>
    <mergeCell ref="E134:E135"/>
    <mergeCell ref="D65:D66"/>
    <mergeCell ref="E65:E66"/>
    <mergeCell ref="F65:F66"/>
    <mergeCell ref="A130:A131"/>
    <mergeCell ref="B130:B131"/>
    <mergeCell ref="C130:C131"/>
    <mergeCell ref="D130:D131"/>
    <mergeCell ref="E130:E131"/>
    <mergeCell ref="F130:F131"/>
    <mergeCell ref="A124:G124"/>
    <mergeCell ref="A126:A127"/>
    <mergeCell ref="B126:B127"/>
    <mergeCell ref="C126:C127"/>
    <mergeCell ref="D126:D127"/>
    <mergeCell ref="E126:E127"/>
    <mergeCell ref="F126:F127"/>
    <mergeCell ref="A128:A129"/>
    <mergeCell ref="B128:B129"/>
    <mergeCell ref="C128:C129"/>
    <mergeCell ref="D128:D129"/>
    <mergeCell ref="E128:E129"/>
    <mergeCell ref="F128:F129"/>
    <mergeCell ref="E110:F110"/>
    <mergeCell ref="E111:F1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F2362-F458-4D23-9F2E-B8FABB34316F}">
  <sheetPr>
    <tabColor theme="5" tint="0.59999389629810485"/>
    <pageSetUpPr fitToPage="1"/>
  </sheetPr>
  <dimension ref="A1:G44"/>
  <sheetViews>
    <sheetView view="pageBreakPreview" zoomScaleNormal="100" zoomScaleSheetLayoutView="100" workbookViewId="0">
      <selection activeCell="F34" sqref="F34"/>
    </sheetView>
  </sheetViews>
  <sheetFormatPr defaultRowHeight="15"/>
  <cols>
    <col min="1" max="1" width="5.7109375" bestFit="1" customWidth="1"/>
    <col min="2" max="2" width="72.28515625" customWidth="1"/>
    <col min="3" max="3" width="9.42578125" bestFit="1" customWidth="1"/>
    <col min="4" max="4" width="13.7109375" bestFit="1" customWidth="1"/>
    <col min="6" max="6" width="12.5703125" bestFit="1" customWidth="1"/>
    <col min="7" max="7" width="27.85546875" bestFit="1" customWidth="1"/>
  </cols>
  <sheetData>
    <row r="1" spans="1:7" ht="15.75" customHeight="1">
      <c r="A1" s="640" t="s">
        <v>261</v>
      </c>
      <c r="B1" s="640"/>
      <c r="C1" s="640"/>
      <c r="D1" s="640"/>
      <c r="E1" s="640"/>
      <c r="F1" s="640"/>
      <c r="G1" s="640"/>
    </row>
    <row r="2" spans="1:7">
      <c r="A2" s="642" t="s">
        <v>108</v>
      </c>
      <c r="B2" s="642" t="s">
        <v>262</v>
      </c>
      <c r="C2" s="642" t="s">
        <v>110</v>
      </c>
      <c r="D2" s="644" t="s">
        <v>263</v>
      </c>
      <c r="E2" s="642" t="s">
        <v>60</v>
      </c>
      <c r="F2" s="388" t="s">
        <v>264</v>
      </c>
      <c r="G2" s="388" t="s">
        <v>265</v>
      </c>
    </row>
    <row r="3" spans="1:7">
      <c r="A3" s="643"/>
      <c r="B3" s="643"/>
      <c r="C3" s="643"/>
      <c r="D3" s="645"/>
      <c r="E3" s="643"/>
      <c r="F3" s="389" t="s">
        <v>266</v>
      </c>
      <c r="G3" s="389" t="s">
        <v>267</v>
      </c>
    </row>
    <row r="4" spans="1:7">
      <c r="A4" s="390">
        <v>1</v>
      </c>
      <c r="B4" s="391" t="s">
        <v>268</v>
      </c>
      <c r="C4" s="391" t="s">
        <v>269</v>
      </c>
      <c r="D4" s="396">
        <v>10</v>
      </c>
      <c r="E4" s="391">
        <v>310507</v>
      </c>
      <c r="F4" s="397">
        <v>7.11</v>
      </c>
      <c r="G4" s="392">
        <f>F4*D4</f>
        <v>71.099999999999994</v>
      </c>
    </row>
    <row r="5" spans="1:7" ht="25.5">
      <c r="A5" s="390">
        <v>2</v>
      </c>
      <c r="B5" s="391" t="s">
        <v>270</v>
      </c>
      <c r="C5" s="391" t="s">
        <v>269</v>
      </c>
      <c r="D5" s="396">
        <v>5</v>
      </c>
      <c r="E5" s="391">
        <v>7930</v>
      </c>
      <c r="F5" s="397">
        <v>4.83</v>
      </c>
      <c r="G5" s="392">
        <f t="shared" ref="G5:G16" si="0">F5*D5</f>
        <v>24.15</v>
      </c>
    </row>
    <row r="6" spans="1:7">
      <c r="A6" s="390">
        <v>3</v>
      </c>
      <c r="B6" s="391" t="s">
        <v>271</v>
      </c>
      <c r="C6" s="391" t="s">
        <v>269</v>
      </c>
      <c r="D6" s="396">
        <v>10</v>
      </c>
      <c r="E6" s="391">
        <v>453373</v>
      </c>
      <c r="F6" s="397">
        <v>2.08</v>
      </c>
      <c r="G6" s="392">
        <f t="shared" si="0"/>
        <v>20.8</v>
      </c>
    </row>
    <row r="7" spans="1:7" ht="25.5">
      <c r="A7" s="390">
        <v>4</v>
      </c>
      <c r="B7" s="391" t="s">
        <v>272</v>
      </c>
      <c r="C7" s="391" t="s">
        <v>273</v>
      </c>
      <c r="D7" s="396">
        <v>1</v>
      </c>
      <c r="E7" s="391">
        <v>419326</v>
      </c>
      <c r="F7" s="397">
        <v>1.24</v>
      </c>
      <c r="G7" s="392">
        <f t="shared" si="0"/>
        <v>1.24</v>
      </c>
    </row>
    <row r="8" spans="1:7">
      <c r="A8" s="390">
        <v>5</v>
      </c>
      <c r="B8" s="391" t="s">
        <v>274</v>
      </c>
      <c r="C8" s="391" t="s">
        <v>273</v>
      </c>
      <c r="D8" s="396">
        <v>1</v>
      </c>
      <c r="E8" s="391">
        <v>420505</v>
      </c>
      <c r="F8" s="397">
        <v>2.93</v>
      </c>
      <c r="G8" s="392">
        <f t="shared" si="0"/>
        <v>2.93</v>
      </c>
    </row>
    <row r="9" spans="1:7">
      <c r="A9" s="390">
        <v>6</v>
      </c>
      <c r="B9" s="391" t="s">
        <v>275</v>
      </c>
      <c r="C9" s="391" t="s">
        <v>269</v>
      </c>
      <c r="D9" s="396">
        <v>1</v>
      </c>
      <c r="E9" s="391">
        <v>293351</v>
      </c>
      <c r="F9" s="397">
        <v>15.16</v>
      </c>
      <c r="G9" s="392">
        <f t="shared" si="0"/>
        <v>15.16</v>
      </c>
    </row>
    <row r="10" spans="1:7">
      <c r="A10" s="390">
        <v>7</v>
      </c>
      <c r="B10" s="390" t="s">
        <v>276</v>
      </c>
      <c r="C10" s="391" t="s">
        <v>277</v>
      </c>
      <c r="D10" s="396">
        <v>1</v>
      </c>
      <c r="E10" s="391">
        <v>481018</v>
      </c>
      <c r="F10" s="397">
        <v>2.6</v>
      </c>
      <c r="G10" s="392">
        <f t="shared" si="0"/>
        <v>2.6</v>
      </c>
    </row>
    <row r="11" spans="1:7">
      <c r="A11" s="390">
        <v>8</v>
      </c>
      <c r="B11" s="391" t="s">
        <v>278</v>
      </c>
      <c r="C11" s="391" t="s">
        <v>273</v>
      </c>
      <c r="D11" s="396">
        <v>1</v>
      </c>
      <c r="E11" s="391">
        <v>352424</v>
      </c>
      <c r="F11" s="397">
        <v>8.2799999999999994</v>
      </c>
      <c r="G11" s="392">
        <f t="shared" si="0"/>
        <v>8.2799999999999994</v>
      </c>
    </row>
    <row r="12" spans="1:7" ht="25.5">
      <c r="A12" s="390">
        <v>9</v>
      </c>
      <c r="B12" s="391" t="s">
        <v>279</v>
      </c>
      <c r="C12" s="391" t="s">
        <v>277</v>
      </c>
      <c r="D12" s="396">
        <v>1</v>
      </c>
      <c r="E12" s="391">
        <v>277830</v>
      </c>
      <c r="F12" s="397">
        <v>8.57</v>
      </c>
      <c r="G12" s="392">
        <f t="shared" si="0"/>
        <v>8.57</v>
      </c>
    </row>
    <row r="13" spans="1:7">
      <c r="A13" s="390">
        <v>10</v>
      </c>
      <c r="B13" s="391" t="s">
        <v>280</v>
      </c>
      <c r="C13" s="391" t="s">
        <v>200</v>
      </c>
      <c r="D13" s="396">
        <v>1</v>
      </c>
      <c r="E13" s="391">
        <v>444433</v>
      </c>
      <c r="F13" s="397">
        <v>4.9800000000000004</v>
      </c>
      <c r="G13" s="392">
        <f t="shared" si="0"/>
        <v>4.9800000000000004</v>
      </c>
    </row>
    <row r="14" spans="1:7">
      <c r="A14" s="390">
        <v>11</v>
      </c>
      <c r="B14" s="391" t="s">
        <v>281</v>
      </c>
      <c r="C14" s="391" t="s">
        <v>200</v>
      </c>
      <c r="D14" s="396">
        <v>1</v>
      </c>
      <c r="E14" s="391">
        <v>481090</v>
      </c>
      <c r="F14" s="397">
        <v>27.88</v>
      </c>
      <c r="G14" s="392">
        <f t="shared" si="0"/>
        <v>27.88</v>
      </c>
    </row>
    <row r="15" spans="1:7">
      <c r="A15" s="390">
        <v>12</v>
      </c>
      <c r="B15" s="391" t="s">
        <v>282</v>
      </c>
      <c r="C15" s="391" t="s">
        <v>200</v>
      </c>
      <c r="D15" s="396">
        <v>1</v>
      </c>
      <c r="E15" s="391">
        <v>470832</v>
      </c>
      <c r="F15" s="397">
        <v>25.06</v>
      </c>
      <c r="G15" s="392">
        <f t="shared" si="0"/>
        <v>25.06</v>
      </c>
    </row>
    <row r="16" spans="1:7">
      <c r="A16" s="390">
        <v>13</v>
      </c>
      <c r="B16" s="391" t="s">
        <v>283</v>
      </c>
      <c r="C16" s="391" t="s">
        <v>277</v>
      </c>
      <c r="D16" s="396">
        <v>4</v>
      </c>
      <c r="E16" s="391">
        <v>224638</v>
      </c>
      <c r="F16" s="397">
        <v>9.41</v>
      </c>
      <c r="G16" s="392">
        <f t="shared" si="0"/>
        <v>37.64</v>
      </c>
    </row>
    <row r="17" spans="1:7">
      <c r="A17" s="390"/>
      <c r="B17" s="391"/>
      <c r="C17" s="391"/>
      <c r="D17" s="391"/>
      <c r="E17" s="391"/>
      <c r="F17" s="393" t="s">
        <v>172</v>
      </c>
      <c r="G17" s="394">
        <f>SUM(G4:G16)</f>
        <v>250.39</v>
      </c>
    </row>
    <row r="18" spans="1:7">
      <c r="A18" s="387"/>
      <c r="B18" s="395"/>
      <c r="C18" s="395"/>
      <c r="D18" s="395"/>
      <c r="E18" s="395"/>
      <c r="F18" s="395"/>
      <c r="G18" s="395"/>
    </row>
    <row r="19" spans="1:7">
      <c r="A19" s="641" t="s">
        <v>284</v>
      </c>
      <c r="B19" s="641"/>
      <c r="C19" s="641"/>
      <c r="D19" s="641"/>
      <c r="E19" s="641"/>
      <c r="F19" s="641"/>
      <c r="G19" s="641"/>
    </row>
    <row r="20" spans="1:7">
      <c r="A20" s="642" t="s">
        <v>108</v>
      </c>
      <c r="B20" s="642" t="s">
        <v>262</v>
      </c>
      <c r="C20" s="642" t="s">
        <v>110</v>
      </c>
      <c r="D20" s="644" t="s">
        <v>285</v>
      </c>
      <c r="E20" s="642" t="s">
        <v>60</v>
      </c>
      <c r="F20" s="388" t="s">
        <v>264</v>
      </c>
      <c r="G20" s="388" t="s">
        <v>265</v>
      </c>
    </row>
    <row r="21" spans="1:7">
      <c r="A21" s="643"/>
      <c r="B21" s="643"/>
      <c r="C21" s="643"/>
      <c r="D21" s="645"/>
      <c r="E21" s="643"/>
      <c r="F21" s="389" t="s">
        <v>266</v>
      </c>
      <c r="G21" s="389" t="s">
        <v>286</v>
      </c>
    </row>
    <row r="22" spans="1:7">
      <c r="A22" s="390">
        <v>1</v>
      </c>
      <c r="B22" s="391" t="s">
        <v>287</v>
      </c>
      <c r="C22" s="391" t="s">
        <v>273</v>
      </c>
      <c r="D22" s="396">
        <v>6</v>
      </c>
      <c r="E22" s="391">
        <v>386905</v>
      </c>
      <c r="F22" s="397">
        <v>10.43</v>
      </c>
      <c r="G22" s="392">
        <f>F22*D22/12</f>
        <v>5.22</v>
      </c>
    </row>
    <row r="23" spans="1:7">
      <c r="A23" s="390">
        <v>2</v>
      </c>
      <c r="B23" s="391" t="s">
        <v>288</v>
      </c>
      <c r="C23" s="391" t="s">
        <v>273</v>
      </c>
      <c r="D23" s="396">
        <v>1</v>
      </c>
      <c r="E23" s="391">
        <v>283660</v>
      </c>
      <c r="F23" s="397">
        <v>13</v>
      </c>
      <c r="G23" s="392">
        <f t="shared" ref="G23:G40" si="1">F23*D23/12</f>
        <v>1.08</v>
      </c>
    </row>
    <row r="24" spans="1:7" ht="25.5">
      <c r="A24" s="390">
        <v>3</v>
      </c>
      <c r="B24" s="391" t="s">
        <v>289</v>
      </c>
      <c r="C24" s="391" t="s">
        <v>273</v>
      </c>
      <c r="D24" s="396">
        <v>1</v>
      </c>
      <c r="E24" s="391">
        <v>321573</v>
      </c>
      <c r="F24" s="397">
        <v>13.68</v>
      </c>
      <c r="G24" s="392">
        <f t="shared" si="1"/>
        <v>1.1399999999999999</v>
      </c>
    </row>
    <row r="25" spans="1:7" ht="25.5">
      <c r="A25" s="390">
        <v>4</v>
      </c>
      <c r="B25" s="391" t="s">
        <v>290</v>
      </c>
      <c r="C25" s="391" t="s">
        <v>269</v>
      </c>
      <c r="D25" s="396">
        <v>3</v>
      </c>
      <c r="E25" s="391">
        <v>381409</v>
      </c>
      <c r="F25" s="397">
        <v>29.93</v>
      </c>
      <c r="G25" s="392">
        <f t="shared" si="1"/>
        <v>7.48</v>
      </c>
    </row>
    <row r="26" spans="1:7">
      <c r="A26" s="390">
        <v>5</v>
      </c>
      <c r="B26" s="391" t="s">
        <v>291</v>
      </c>
      <c r="C26" s="391" t="s">
        <v>292</v>
      </c>
      <c r="D26" s="396">
        <v>2</v>
      </c>
      <c r="E26" s="391">
        <v>461517</v>
      </c>
      <c r="F26" s="397">
        <v>120.01</v>
      </c>
      <c r="G26" s="392">
        <f t="shared" si="1"/>
        <v>20</v>
      </c>
    </row>
    <row r="27" spans="1:7">
      <c r="A27" s="390">
        <v>6</v>
      </c>
      <c r="B27" s="391" t="s">
        <v>293</v>
      </c>
      <c r="C27" s="391" t="s">
        <v>220</v>
      </c>
      <c r="D27" s="396">
        <v>3</v>
      </c>
      <c r="E27" s="391">
        <v>397783</v>
      </c>
      <c r="F27" s="397">
        <v>3.75</v>
      </c>
      <c r="G27" s="392">
        <f t="shared" si="1"/>
        <v>0.94</v>
      </c>
    </row>
    <row r="28" spans="1:7" ht="25.5">
      <c r="A28" s="390">
        <v>7</v>
      </c>
      <c r="B28" s="391" t="s">
        <v>294</v>
      </c>
      <c r="C28" s="391" t="s">
        <v>295</v>
      </c>
      <c r="D28" s="396">
        <v>2</v>
      </c>
      <c r="E28" s="391">
        <v>443397</v>
      </c>
      <c r="F28" s="397">
        <v>26.39</v>
      </c>
      <c r="G28" s="392">
        <f t="shared" si="1"/>
        <v>4.4000000000000004</v>
      </c>
    </row>
    <row r="29" spans="1:7">
      <c r="A29" s="390">
        <v>8</v>
      </c>
      <c r="B29" s="391" t="s">
        <v>296</v>
      </c>
      <c r="C29" s="391" t="s">
        <v>295</v>
      </c>
      <c r="D29" s="396">
        <v>1</v>
      </c>
      <c r="E29" s="391">
        <v>485315</v>
      </c>
      <c r="F29" s="397">
        <v>13.37</v>
      </c>
      <c r="G29" s="392">
        <f t="shared" si="1"/>
        <v>1.1100000000000001</v>
      </c>
    </row>
    <row r="30" spans="1:7">
      <c r="A30" s="390">
        <v>9</v>
      </c>
      <c r="B30" s="391" t="s">
        <v>297</v>
      </c>
      <c r="C30" s="391" t="s">
        <v>273</v>
      </c>
      <c r="D30" s="396">
        <v>3</v>
      </c>
      <c r="E30" s="391">
        <v>357900</v>
      </c>
      <c r="F30" s="397">
        <v>13.59</v>
      </c>
      <c r="G30" s="392">
        <f t="shared" si="1"/>
        <v>3.4</v>
      </c>
    </row>
    <row r="31" spans="1:7">
      <c r="A31" s="390">
        <v>10</v>
      </c>
      <c r="B31" s="391" t="s">
        <v>298</v>
      </c>
      <c r="C31" s="391" t="s">
        <v>273</v>
      </c>
      <c r="D31" s="396">
        <v>3</v>
      </c>
      <c r="E31" s="391">
        <v>471300</v>
      </c>
      <c r="F31" s="397">
        <v>23.46</v>
      </c>
      <c r="G31" s="392">
        <f t="shared" si="1"/>
        <v>5.87</v>
      </c>
    </row>
    <row r="32" spans="1:7">
      <c r="A32" s="390">
        <v>11</v>
      </c>
      <c r="B32" s="391" t="s">
        <v>299</v>
      </c>
      <c r="C32" s="391" t="s">
        <v>269</v>
      </c>
      <c r="D32" s="396">
        <v>15</v>
      </c>
      <c r="E32" s="391">
        <v>472191</v>
      </c>
      <c r="F32" s="397">
        <v>16.96</v>
      </c>
      <c r="G32" s="392">
        <f t="shared" si="1"/>
        <v>21.2</v>
      </c>
    </row>
    <row r="33" spans="1:7">
      <c r="A33" s="390">
        <v>12</v>
      </c>
      <c r="B33" s="391" t="s">
        <v>300</v>
      </c>
      <c r="C33" s="391" t="s">
        <v>277</v>
      </c>
      <c r="D33" s="396">
        <v>2</v>
      </c>
      <c r="E33" s="391">
        <v>226795</v>
      </c>
      <c r="F33" s="397">
        <v>7.35</v>
      </c>
      <c r="G33" s="392">
        <f t="shared" si="1"/>
        <v>1.23</v>
      </c>
    </row>
    <row r="34" spans="1:7">
      <c r="A34" s="390">
        <v>13</v>
      </c>
      <c r="B34" s="391" t="s">
        <v>301</v>
      </c>
      <c r="C34" s="391" t="s">
        <v>269</v>
      </c>
      <c r="D34" s="396">
        <v>3</v>
      </c>
      <c r="E34" s="391">
        <v>415888</v>
      </c>
      <c r="F34" s="397">
        <v>18.41</v>
      </c>
      <c r="G34" s="392">
        <f t="shared" si="1"/>
        <v>4.5999999999999996</v>
      </c>
    </row>
    <row r="35" spans="1:7">
      <c r="A35" s="390">
        <v>14</v>
      </c>
      <c r="B35" s="391" t="s">
        <v>302</v>
      </c>
      <c r="C35" s="391" t="s">
        <v>200</v>
      </c>
      <c r="D35" s="396">
        <v>3</v>
      </c>
      <c r="E35" s="391">
        <v>466615</v>
      </c>
      <c r="F35" s="397">
        <v>15.22</v>
      </c>
      <c r="G35" s="392">
        <f t="shared" si="1"/>
        <v>3.81</v>
      </c>
    </row>
    <row r="36" spans="1:7">
      <c r="A36" s="390">
        <v>15</v>
      </c>
      <c r="B36" s="391" t="s">
        <v>303</v>
      </c>
      <c r="C36" s="391" t="s">
        <v>200</v>
      </c>
      <c r="D36" s="396">
        <v>3</v>
      </c>
      <c r="E36" s="391">
        <v>446269</v>
      </c>
      <c r="F36" s="397">
        <v>13.7</v>
      </c>
      <c r="G36" s="392">
        <f t="shared" si="1"/>
        <v>3.43</v>
      </c>
    </row>
    <row r="37" spans="1:7">
      <c r="A37" s="390">
        <v>16</v>
      </c>
      <c r="B37" s="391" t="s">
        <v>304</v>
      </c>
      <c r="C37" s="391" t="s">
        <v>200</v>
      </c>
      <c r="D37" s="396">
        <v>2</v>
      </c>
      <c r="E37" s="391" t="s">
        <v>305</v>
      </c>
      <c r="F37" s="397">
        <v>9.2200000000000006</v>
      </c>
      <c r="G37" s="392">
        <f t="shared" si="1"/>
        <v>1.54</v>
      </c>
    </row>
    <row r="38" spans="1:7">
      <c r="A38" s="390">
        <v>17</v>
      </c>
      <c r="B38" s="391" t="s">
        <v>306</v>
      </c>
      <c r="C38" s="391" t="s">
        <v>200</v>
      </c>
      <c r="D38" s="396">
        <v>1</v>
      </c>
      <c r="E38" s="391">
        <v>422804</v>
      </c>
      <c r="F38" s="397">
        <v>24.43</v>
      </c>
      <c r="G38" s="392">
        <f t="shared" si="1"/>
        <v>2.04</v>
      </c>
    </row>
    <row r="39" spans="1:7">
      <c r="A39" s="390">
        <v>18</v>
      </c>
      <c r="B39" s="391" t="s">
        <v>307</v>
      </c>
      <c r="C39" s="391" t="s">
        <v>273</v>
      </c>
      <c r="D39" s="396">
        <v>2</v>
      </c>
      <c r="E39" s="391">
        <v>373528</v>
      </c>
      <c r="F39" s="397">
        <v>5.73</v>
      </c>
      <c r="G39" s="392">
        <f t="shared" si="1"/>
        <v>0.96</v>
      </c>
    </row>
    <row r="40" spans="1:7">
      <c r="A40" s="390">
        <v>19</v>
      </c>
      <c r="B40" s="391" t="s">
        <v>308</v>
      </c>
      <c r="C40" s="391" t="s">
        <v>273</v>
      </c>
      <c r="D40" s="396">
        <v>2</v>
      </c>
      <c r="E40" s="391">
        <v>345659</v>
      </c>
      <c r="F40" s="397">
        <v>11.66</v>
      </c>
      <c r="G40" s="392">
        <f t="shared" si="1"/>
        <v>1.94</v>
      </c>
    </row>
    <row r="41" spans="1:7">
      <c r="A41" s="390">
        <v>20</v>
      </c>
      <c r="B41" s="391" t="s">
        <v>309</v>
      </c>
      <c r="C41" s="391" t="s">
        <v>220</v>
      </c>
      <c r="D41" s="396">
        <v>2</v>
      </c>
      <c r="E41" s="391">
        <v>483485</v>
      </c>
      <c r="F41" s="397">
        <v>8.26</v>
      </c>
      <c r="G41" s="392">
        <f>F41*D41/12</f>
        <v>1.38</v>
      </c>
    </row>
    <row r="42" spans="1:7">
      <c r="A42" s="390"/>
      <c r="B42" s="391"/>
      <c r="C42" s="391"/>
      <c r="D42" s="391"/>
      <c r="E42" s="391"/>
      <c r="F42" s="393" t="s">
        <v>172</v>
      </c>
      <c r="G42" s="394">
        <f>SUM(G22:G41)</f>
        <v>92.77</v>
      </c>
    </row>
    <row r="43" spans="1:7">
      <c r="A43" s="638" t="s">
        <v>310</v>
      </c>
      <c r="B43" s="638"/>
      <c r="C43" s="638"/>
      <c r="D43" s="638"/>
      <c r="E43" s="638"/>
      <c r="F43" s="639"/>
      <c r="G43" s="398">
        <f>G42+G17</f>
        <v>343.16</v>
      </c>
    </row>
    <row r="44" spans="1:7">
      <c r="A44" s="386"/>
    </row>
  </sheetData>
  <mergeCells count="13">
    <mergeCell ref="A43:F43"/>
    <mergeCell ref="A1:G1"/>
    <mergeCell ref="A19:G19"/>
    <mergeCell ref="A2:A3"/>
    <mergeCell ref="B2:B3"/>
    <mergeCell ref="C2:C3"/>
    <mergeCell ref="D2:D3"/>
    <mergeCell ref="E2:E3"/>
    <mergeCell ref="A20:A21"/>
    <mergeCell ref="B20:B21"/>
    <mergeCell ref="C20:C21"/>
    <mergeCell ref="D20:D21"/>
    <mergeCell ref="E20:E21"/>
  </mergeCells>
  <pageMargins left="0.51181102362204722" right="0.51181102362204722" top="0.78740157480314965" bottom="0.78740157480314965" header="0.31496062992125984" footer="0.31496062992125984"/>
  <pageSetup scale="63" orientation="portrait" horizont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0558D-3E06-4DB2-ABDB-11AD07A91558}">
  <dimension ref="B1:Q26"/>
  <sheetViews>
    <sheetView topLeftCell="A9" workbookViewId="0">
      <selection activeCell="D32" sqref="D32"/>
    </sheetView>
  </sheetViews>
  <sheetFormatPr defaultRowHeight="15"/>
  <cols>
    <col min="2" max="2" width="10.42578125" bestFit="1" customWidth="1"/>
    <col min="3" max="3" width="12.28515625" bestFit="1" customWidth="1"/>
    <col min="4" max="4" width="15.28515625" customWidth="1"/>
    <col min="5" max="6" width="12.28515625" bestFit="1" customWidth="1"/>
    <col min="7" max="9" width="10.7109375" bestFit="1" customWidth="1"/>
    <col min="10" max="11" width="12.28515625" bestFit="1" customWidth="1"/>
    <col min="12" max="12" width="10.7109375" bestFit="1" customWidth="1"/>
    <col min="13" max="15" width="12.28515625" bestFit="1" customWidth="1"/>
    <col min="16" max="16" width="10.7109375" bestFit="1" customWidth="1"/>
    <col min="17" max="17" width="12.28515625" bestFit="1" customWidth="1"/>
  </cols>
  <sheetData>
    <row r="1" spans="2:17" hidden="1">
      <c r="D1" s="233" t="s">
        <v>113</v>
      </c>
      <c r="E1" s="201" t="s">
        <v>102</v>
      </c>
      <c r="F1" s="201" t="s">
        <v>94</v>
      </c>
      <c r="G1" s="202" t="s">
        <v>106</v>
      </c>
      <c r="H1" s="202" t="s">
        <v>105</v>
      </c>
      <c r="I1" s="202" t="s">
        <v>95</v>
      </c>
      <c r="J1" s="202" t="s">
        <v>103</v>
      </c>
      <c r="K1" s="202" t="s">
        <v>104</v>
      </c>
      <c r="L1" s="202" t="s">
        <v>96</v>
      </c>
      <c r="M1" s="202" t="s">
        <v>100</v>
      </c>
      <c r="N1" s="202" t="s">
        <v>99</v>
      </c>
      <c r="O1" s="202" t="s">
        <v>101</v>
      </c>
      <c r="P1" s="202" t="s">
        <v>97</v>
      </c>
      <c r="Q1" s="234" t="s">
        <v>98</v>
      </c>
    </row>
    <row r="2" spans="2:17" ht="15.75" hidden="1" thickBot="1">
      <c r="B2" s="480" t="s">
        <v>311</v>
      </c>
      <c r="C2" s="481"/>
      <c r="D2" s="235">
        <f>MATERIAIS!F107</f>
        <v>13011.16</v>
      </c>
      <c r="E2" s="235">
        <f>MATERIAIS!G107</f>
        <v>2971.37</v>
      </c>
      <c r="F2" s="235">
        <f>MATERIAIS!H107</f>
        <v>2434.3000000000002</v>
      </c>
      <c r="G2" s="235">
        <f>MATERIAIS!I107</f>
        <v>1872.04</v>
      </c>
      <c r="H2" s="235">
        <f>MATERIAIS!J107</f>
        <v>1354.57</v>
      </c>
      <c r="I2" s="235">
        <f>MATERIAIS!K107</f>
        <v>1669.51</v>
      </c>
      <c r="J2" s="235">
        <f>MATERIAIS!L107</f>
        <v>2620.7199999999998</v>
      </c>
      <c r="K2" s="235">
        <f>MATERIAIS!M107</f>
        <v>2617.85</v>
      </c>
      <c r="L2" s="235">
        <f>MATERIAIS!N107</f>
        <v>1889.18</v>
      </c>
      <c r="M2" s="235">
        <f>MATERIAIS!O107</f>
        <v>2875.44</v>
      </c>
      <c r="N2" s="235">
        <f>MATERIAIS!P107</f>
        <v>3382.22</v>
      </c>
      <c r="O2" s="235">
        <f>MATERIAIS!Q107</f>
        <v>4021.06</v>
      </c>
      <c r="P2" s="235">
        <f>MATERIAIS!R107</f>
        <v>1496.66</v>
      </c>
      <c r="Q2" s="235">
        <f>MATERIAIS!S107</f>
        <v>1588.19</v>
      </c>
    </row>
    <row r="3" spans="2:17" ht="15.75" hidden="1" thickBot="1">
      <c r="B3" s="480" t="s">
        <v>172</v>
      </c>
      <c r="C3" s="481"/>
      <c r="D3" s="224">
        <f>EQUIPAMENTOS!G109</f>
        <v>742.74</v>
      </c>
      <c r="E3" s="224">
        <f>EQUIPAMENTOS!H109</f>
        <v>82.2</v>
      </c>
      <c r="F3" s="224">
        <f>EQUIPAMENTOS!I109</f>
        <v>62.73</v>
      </c>
      <c r="G3" s="224">
        <f>EQUIPAMENTOS!J109</f>
        <v>57.84</v>
      </c>
      <c r="H3" s="224">
        <f>EQUIPAMENTOS!K109</f>
        <v>122.53</v>
      </c>
      <c r="I3" s="224">
        <f>EQUIPAMENTOS!L109</f>
        <v>134.79</v>
      </c>
      <c r="J3" s="224">
        <f>EQUIPAMENTOS!M109</f>
        <v>106.81</v>
      </c>
      <c r="K3" s="224">
        <f>EQUIPAMENTOS!N109</f>
        <v>169.22</v>
      </c>
      <c r="L3" s="224">
        <f>EQUIPAMENTOS!O109</f>
        <v>110.2</v>
      </c>
      <c r="M3" s="224">
        <f>EQUIPAMENTOS!P109</f>
        <v>88.05</v>
      </c>
      <c r="N3" s="224">
        <f>EQUIPAMENTOS!Q109</f>
        <v>204.25</v>
      </c>
      <c r="O3" s="224">
        <f>EQUIPAMENTOS!R109</f>
        <v>107.75</v>
      </c>
      <c r="P3" s="224">
        <f>EQUIPAMENTOS!S109</f>
        <v>113.43</v>
      </c>
      <c r="Q3" s="224">
        <f>EQUIPAMENTOS!T109</f>
        <v>101.64</v>
      </c>
    </row>
    <row r="4" spans="2:17" ht="15.75" hidden="1" thickBot="1"/>
    <row r="5" spans="2:17" ht="15.75" hidden="1" thickBot="1">
      <c r="B5" s="482" t="s">
        <v>173</v>
      </c>
      <c r="C5" s="483"/>
      <c r="D5" s="287">
        <f>MATERIAIS!F108</f>
        <v>17</v>
      </c>
      <c r="E5" s="287">
        <f>MATERIAIS!G108</f>
        <v>2</v>
      </c>
      <c r="F5" s="287">
        <f>MATERIAIS!H108</f>
        <v>2</v>
      </c>
      <c r="G5" s="287">
        <f>MATERIAIS!I108</f>
        <v>3</v>
      </c>
      <c r="H5" s="287">
        <f>MATERIAIS!J108</f>
        <v>2</v>
      </c>
      <c r="I5" s="287">
        <f>MATERIAIS!K108</f>
        <v>4</v>
      </c>
      <c r="J5" s="287">
        <f>MATERIAIS!L108</f>
        <v>3</v>
      </c>
      <c r="K5" s="287">
        <f>MATERIAIS!M108</f>
        <v>3</v>
      </c>
      <c r="L5" s="287">
        <f>MATERIAIS!N108</f>
        <v>3</v>
      </c>
      <c r="M5" s="287">
        <f>MATERIAIS!O108</f>
        <v>2</v>
      </c>
      <c r="N5" s="287">
        <f>MATERIAIS!P108</f>
        <v>4</v>
      </c>
      <c r="O5" s="287">
        <f>MATERIAIS!Q108</f>
        <v>2</v>
      </c>
      <c r="P5" s="287">
        <f>MATERIAIS!R108</f>
        <v>2</v>
      </c>
      <c r="Q5" s="287">
        <f>MATERIAIS!S108</f>
        <v>3</v>
      </c>
    </row>
    <row r="6" spans="2:17" ht="15.75" hidden="1" thickBot="1">
      <c r="B6" s="476" t="s">
        <v>174</v>
      </c>
      <c r="C6" s="477"/>
      <c r="D6" s="235">
        <f>(D2+D3)/D5</f>
        <v>809.05</v>
      </c>
      <c r="E6" s="235">
        <f t="shared" ref="E6:Q6" si="0">(E2+E3)/E5</f>
        <v>1526.79</v>
      </c>
      <c r="F6" s="235">
        <f t="shared" si="0"/>
        <v>1248.52</v>
      </c>
      <c r="G6" s="235">
        <f t="shared" si="0"/>
        <v>643.29</v>
      </c>
      <c r="H6" s="235">
        <f t="shared" si="0"/>
        <v>738.55</v>
      </c>
      <c r="I6" s="235">
        <f t="shared" si="0"/>
        <v>451.08</v>
      </c>
      <c r="J6" s="235">
        <f t="shared" si="0"/>
        <v>909.18</v>
      </c>
      <c r="K6" s="235">
        <f t="shared" si="0"/>
        <v>929.02</v>
      </c>
      <c r="L6" s="235">
        <f t="shared" si="0"/>
        <v>666.46</v>
      </c>
      <c r="M6" s="235">
        <f t="shared" si="0"/>
        <v>1481.75</v>
      </c>
      <c r="N6" s="235">
        <f t="shared" si="0"/>
        <v>896.62</v>
      </c>
      <c r="O6" s="235">
        <f t="shared" si="0"/>
        <v>2064.41</v>
      </c>
      <c r="P6" s="235">
        <f t="shared" si="0"/>
        <v>805.05</v>
      </c>
      <c r="Q6" s="235">
        <f t="shared" si="0"/>
        <v>563.28</v>
      </c>
    </row>
    <row r="7" spans="2:17" hidden="1"/>
    <row r="8" spans="2:17" hidden="1"/>
    <row r="10" spans="2:17" ht="15.75" customHeight="1" thickBot="1"/>
    <row r="11" spans="2:17" ht="27">
      <c r="B11" s="289" t="s">
        <v>27</v>
      </c>
      <c r="C11" s="290" t="s">
        <v>311</v>
      </c>
      <c r="D11" s="290" t="s">
        <v>312</v>
      </c>
      <c r="E11" s="291" t="s">
        <v>173</v>
      </c>
      <c r="F11" s="292" t="s">
        <v>174</v>
      </c>
    </row>
    <row r="12" spans="2:17">
      <c r="B12" s="293" t="s">
        <v>113</v>
      </c>
      <c r="C12" s="297">
        <f>D2</f>
        <v>13011.16</v>
      </c>
      <c r="D12" s="297">
        <f>D3</f>
        <v>742.74</v>
      </c>
      <c r="E12" s="288">
        <f>D5</f>
        <v>17</v>
      </c>
      <c r="F12" s="299">
        <f t="shared" ref="F12:F26" si="1">(C12+D12)/E12</f>
        <v>809.05</v>
      </c>
    </row>
    <row r="13" spans="2:17">
      <c r="B13" s="293" t="s">
        <v>113</v>
      </c>
      <c r="C13" s="297">
        <f>MATERIAIS!G126</f>
        <v>705.57</v>
      </c>
      <c r="D13" s="297">
        <f>EQUIPAMENTOS!G119</f>
        <v>21.21</v>
      </c>
      <c r="E13" s="205">
        <f>EQUIPAMENTOS!G120</f>
        <v>1</v>
      </c>
      <c r="F13" s="299">
        <f t="shared" si="1"/>
        <v>726.78</v>
      </c>
    </row>
    <row r="14" spans="2:17">
      <c r="B14" s="294" t="s">
        <v>102</v>
      </c>
      <c r="C14" s="297">
        <f>E2</f>
        <v>2971.37</v>
      </c>
      <c r="D14" s="297">
        <f>E3</f>
        <v>82.2</v>
      </c>
      <c r="E14" s="288">
        <f>E5</f>
        <v>2</v>
      </c>
      <c r="F14" s="299">
        <f t="shared" si="1"/>
        <v>1526.79</v>
      </c>
    </row>
    <row r="15" spans="2:17">
      <c r="B15" s="294" t="s">
        <v>94</v>
      </c>
      <c r="C15" s="297">
        <f>F2</f>
        <v>2434.3000000000002</v>
      </c>
      <c r="D15" s="297">
        <f>F3</f>
        <v>62.73</v>
      </c>
      <c r="E15" s="288">
        <f>F5</f>
        <v>2</v>
      </c>
      <c r="F15" s="299">
        <f t="shared" si="1"/>
        <v>1248.52</v>
      </c>
    </row>
    <row r="16" spans="2:17">
      <c r="B16" s="294" t="s">
        <v>106</v>
      </c>
      <c r="C16" s="297">
        <f>G2</f>
        <v>1872.04</v>
      </c>
      <c r="D16" s="297">
        <f>G3</f>
        <v>57.84</v>
      </c>
      <c r="E16" s="288">
        <f>G5</f>
        <v>3</v>
      </c>
      <c r="F16" s="299">
        <f t="shared" si="1"/>
        <v>643.29</v>
      </c>
    </row>
    <row r="17" spans="2:6">
      <c r="B17" s="294" t="s">
        <v>105</v>
      </c>
      <c r="C17" s="297">
        <f>H2</f>
        <v>1354.57</v>
      </c>
      <c r="D17" s="297">
        <f>H3</f>
        <v>122.53</v>
      </c>
      <c r="E17" s="288">
        <f>H5</f>
        <v>2</v>
      </c>
      <c r="F17" s="299">
        <f t="shared" si="1"/>
        <v>738.55</v>
      </c>
    </row>
    <row r="18" spans="2:6">
      <c r="B18" s="294" t="s">
        <v>95</v>
      </c>
      <c r="C18" s="297">
        <f>I2</f>
        <v>1669.51</v>
      </c>
      <c r="D18" s="297">
        <f>I3</f>
        <v>134.79</v>
      </c>
      <c r="E18" s="288">
        <f>I5</f>
        <v>4</v>
      </c>
      <c r="F18" s="299">
        <f t="shared" si="1"/>
        <v>451.08</v>
      </c>
    </row>
    <row r="19" spans="2:6">
      <c r="B19" s="294" t="s">
        <v>103</v>
      </c>
      <c r="C19" s="297">
        <f>J2</f>
        <v>2620.7199999999998</v>
      </c>
      <c r="D19" s="297">
        <f>J3</f>
        <v>106.81</v>
      </c>
      <c r="E19" s="288">
        <f>J5</f>
        <v>3</v>
      </c>
      <c r="F19" s="299">
        <f t="shared" si="1"/>
        <v>909.18</v>
      </c>
    </row>
    <row r="20" spans="2:6">
      <c r="B20" s="294" t="s">
        <v>104</v>
      </c>
      <c r="C20" s="297">
        <f>K2</f>
        <v>2617.85</v>
      </c>
      <c r="D20" s="297">
        <f>K3</f>
        <v>169.22</v>
      </c>
      <c r="E20" s="288">
        <f>K5</f>
        <v>3</v>
      </c>
      <c r="F20" s="299">
        <f t="shared" si="1"/>
        <v>929.02</v>
      </c>
    </row>
    <row r="21" spans="2:6">
      <c r="B21" s="294" t="s">
        <v>96</v>
      </c>
      <c r="C21" s="297">
        <f>L2</f>
        <v>1889.18</v>
      </c>
      <c r="D21" s="297">
        <f>L3</f>
        <v>110.2</v>
      </c>
      <c r="E21" s="288">
        <f>L5</f>
        <v>3</v>
      </c>
      <c r="F21" s="299">
        <f t="shared" si="1"/>
        <v>666.46</v>
      </c>
    </row>
    <row r="22" spans="2:6">
      <c r="B22" s="294" t="s">
        <v>100</v>
      </c>
      <c r="C22" s="297">
        <f>M2</f>
        <v>2875.44</v>
      </c>
      <c r="D22" s="297">
        <f>M3</f>
        <v>88.05</v>
      </c>
      <c r="E22" s="288">
        <f>M5</f>
        <v>2</v>
      </c>
      <c r="F22" s="299">
        <f t="shared" si="1"/>
        <v>1481.75</v>
      </c>
    </row>
    <row r="23" spans="2:6">
      <c r="B23" s="294" t="s">
        <v>99</v>
      </c>
      <c r="C23" s="297">
        <f>N2</f>
        <v>3382.22</v>
      </c>
      <c r="D23" s="297">
        <f>N3</f>
        <v>204.25</v>
      </c>
      <c r="E23" s="288">
        <f>N5</f>
        <v>4</v>
      </c>
      <c r="F23" s="299">
        <f t="shared" si="1"/>
        <v>896.62</v>
      </c>
    </row>
    <row r="24" spans="2:6">
      <c r="B24" s="294" t="s">
        <v>101</v>
      </c>
      <c r="C24" s="297">
        <f>O2</f>
        <v>4021.06</v>
      </c>
      <c r="D24" s="297">
        <f>O3</f>
        <v>107.75</v>
      </c>
      <c r="E24" s="288">
        <f>O5</f>
        <v>2</v>
      </c>
      <c r="F24" s="299">
        <f t="shared" si="1"/>
        <v>2064.41</v>
      </c>
    </row>
    <row r="25" spans="2:6">
      <c r="B25" s="294" t="s">
        <v>97</v>
      </c>
      <c r="C25" s="297">
        <f>P2</f>
        <v>1496.66</v>
      </c>
      <c r="D25" s="297">
        <f>P3</f>
        <v>113.43</v>
      </c>
      <c r="E25" s="288">
        <f>P5</f>
        <v>2</v>
      </c>
      <c r="F25" s="299">
        <f t="shared" si="1"/>
        <v>805.05</v>
      </c>
    </row>
    <row r="26" spans="2:6" ht="15.75" thickBot="1">
      <c r="B26" s="295" t="s">
        <v>98</v>
      </c>
      <c r="C26" s="298">
        <f>Q2</f>
        <v>1588.19</v>
      </c>
      <c r="D26" s="298">
        <f>Q3</f>
        <v>101.64</v>
      </c>
      <c r="E26" s="296">
        <f>Q5</f>
        <v>3</v>
      </c>
      <c r="F26" s="300">
        <f t="shared" si="1"/>
        <v>563.28</v>
      </c>
    </row>
  </sheetData>
  <mergeCells count="4">
    <mergeCell ref="B2:C2"/>
    <mergeCell ref="B5:C5"/>
    <mergeCell ref="B6:C6"/>
    <mergeCell ref="B3:C3"/>
  </mergeCells>
  <conditionalFormatting sqref="D6:Q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2:F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0BAB5-0C36-4DA2-B0D3-EA30FB7B436E}">
  <sheetPr codeName="Planilha7">
    <pageSetUpPr fitToPage="1"/>
  </sheetPr>
  <dimension ref="A1:K214"/>
  <sheetViews>
    <sheetView view="pageBreakPreview" zoomScale="85" zoomScaleNormal="85" zoomScaleSheetLayoutView="85" workbookViewId="0">
      <selection activeCell="A182" sqref="A182:C182"/>
    </sheetView>
  </sheetViews>
  <sheetFormatPr defaultColWidth="9.140625" defaultRowHeight="15" outlineLevelRow="3"/>
  <cols>
    <col min="1" max="1" width="16.7109375" customWidth="1"/>
    <col min="2" max="2" width="76.85546875" customWidth="1"/>
    <col min="3" max="3" width="22.85546875" customWidth="1"/>
    <col min="4" max="4" width="23.5703125" customWidth="1"/>
    <col min="6" max="7" width="14.42578125" bestFit="1" customWidth="1"/>
    <col min="11" max="11" width="13.42578125" bestFit="1" customWidth="1"/>
  </cols>
  <sheetData>
    <row r="1" spans="1:4" ht="15.75">
      <c r="A1" s="680" t="s">
        <v>313</v>
      </c>
      <c r="B1" s="680"/>
      <c r="C1" s="680"/>
      <c r="D1" s="680"/>
    </row>
    <row r="2" spans="1:4" ht="15.75">
      <c r="A2" s="681" t="s">
        <v>314</v>
      </c>
      <c r="B2" s="681"/>
      <c r="C2" s="682" t="s">
        <v>315</v>
      </c>
      <c r="D2" s="683"/>
    </row>
    <row r="3" spans="1:4" ht="15.75">
      <c r="A3" s="681" t="s">
        <v>316</v>
      </c>
      <c r="B3" s="681"/>
      <c r="C3" s="682" t="s">
        <v>317</v>
      </c>
      <c r="D3" s="683"/>
    </row>
    <row r="4" spans="1:4" ht="15.75">
      <c r="A4" s="653"/>
      <c r="B4" s="653"/>
      <c r="C4" s="653"/>
      <c r="D4" s="653"/>
    </row>
    <row r="5" spans="1:4" ht="15.75">
      <c r="A5" s="653" t="s">
        <v>318</v>
      </c>
      <c r="B5" s="653"/>
      <c r="C5" s="653"/>
      <c r="D5" s="653"/>
    </row>
    <row r="6" spans="1:4" ht="15.75">
      <c r="A6" s="67" t="s">
        <v>319</v>
      </c>
      <c r="B6" s="65" t="s">
        <v>320</v>
      </c>
      <c r="C6" s="654" t="s">
        <v>321</v>
      </c>
      <c r="D6" s="655"/>
    </row>
    <row r="7" spans="1:4" ht="15.75">
      <c r="A7" s="67" t="s">
        <v>322</v>
      </c>
      <c r="B7" s="65" t="s">
        <v>323</v>
      </c>
      <c r="C7" s="656" t="s">
        <v>324</v>
      </c>
      <c r="D7" s="656"/>
    </row>
    <row r="8" spans="1:4" ht="15.75">
      <c r="A8" s="28" t="s">
        <v>325</v>
      </c>
      <c r="B8" s="29" t="s">
        <v>326</v>
      </c>
      <c r="C8" s="657" t="s">
        <v>327</v>
      </c>
      <c r="D8" s="658"/>
    </row>
    <row r="9" spans="1:4" ht="15.75">
      <c r="A9" s="67" t="s">
        <v>328</v>
      </c>
      <c r="B9" s="65" t="s">
        <v>329</v>
      </c>
      <c r="C9" s="659" t="s">
        <v>330</v>
      </c>
      <c r="D9" s="660"/>
    </row>
    <row r="10" spans="1:4" ht="15.75">
      <c r="A10" s="67" t="s">
        <v>331</v>
      </c>
      <c r="B10" s="65" t="s">
        <v>332</v>
      </c>
      <c r="C10" s="659" t="s">
        <v>333</v>
      </c>
      <c r="D10" s="660"/>
    </row>
    <row r="11" spans="1:4" ht="15.75">
      <c r="A11" s="67" t="s">
        <v>334</v>
      </c>
      <c r="B11" s="65" t="s">
        <v>335</v>
      </c>
      <c r="C11" s="686">
        <f>Resumo!F5</f>
        <v>13925.09</v>
      </c>
      <c r="D11" s="687"/>
    </row>
    <row r="12" spans="1:4" ht="15.75">
      <c r="A12" s="67" t="s">
        <v>336</v>
      </c>
      <c r="B12" s="65" t="s">
        <v>337</v>
      </c>
      <c r="C12" s="688">
        <v>20</v>
      </c>
      <c r="D12" s="675"/>
    </row>
    <row r="13" spans="1:4" ht="15.75">
      <c r="A13" s="689"/>
      <c r="B13" s="690"/>
      <c r="C13" s="690"/>
      <c r="D13" s="690"/>
    </row>
    <row r="14" spans="1:4" ht="15.75">
      <c r="A14" s="691" t="s">
        <v>338</v>
      </c>
      <c r="B14" s="692"/>
      <c r="C14" s="692"/>
      <c r="D14" s="693"/>
    </row>
    <row r="15" spans="1:4" ht="15.75">
      <c r="A15" s="656" t="s">
        <v>339</v>
      </c>
      <c r="B15" s="656"/>
      <c r="C15" s="656"/>
      <c r="D15" s="656"/>
    </row>
    <row r="16" spans="1:4" ht="15.75">
      <c r="A16" s="67">
        <v>1</v>
      </c>
      <c r="B16" s="65" t="s">
        <v>340</v>
      </c>
      <c r="C16" s="659" t="s">
        <v>341</v>
      </c>
      <c r="D16" s="660" t="s">
        <v>62</v>
      </c>
    </row>
    <row r="17" spans="1:4" ht="15.75">
      <c r="A17" s="67">
        <v>2</v>
      </c>
      <c r="B17" s="30" t="s">
        <v>342</v>
      </c>
      <c r="C17" s="684" t="s">
        <v>343</v>
      </c>
      <c r="D17" s="685"/>
    </row>
    <row r="18" spans="1:4" ht="15.75">
      <c r="A18" s="656" t="s">
        <v>344</v>
      </c>
      <c r="B18" s="656"/>
      <c r="C18" s="656"/>
      <c r="D18" s="656"/>
    </row>
    <row r="19" spans="1:4" ht="15.75">
      <c r="A19" s="67">
        <v>3</v>
      </c>
      <c r="B19" s="661" t="s">
        <v>345</v>
      </c>
      <c r="C19" s="662"/>
      <c r="D19" s="106">
        <v>1314.09</v>
      </c>
    </row>
    <row r="20" spans="1:4" ht="15.75">
      <c r="A20" s="67">
        <v>4</v>
      </c>
      <c r="B20" s="661" t="s">
        <v>346</v>
      </c>
      <c r="C20" s="662"/>
      <c r="D20" s="158">
        <v>220</v>
      </c>
    </row>
    <row r="21" spans="1:4" ht="15.75">
      <c r="A21" s="67">
        <v>5</v>
      </c>
      <c r="B21" s="661" t="s">
        <v>347</v>
      </c>
      <c r="C21" s="662"/>
      <c r="D21" s="75" t="s">
        <v>348</v>
      </c>
    </row>
    <row r="22" spans="1:4" ht="15.75">
      <c r="A22" s="67">
        <v>6</v>
      </c>
      <c r="B22" s="661" t="s">
        <v>349</v>
      </c>
      <c r="C22" s="662"/>
      <c r="D22" s="76">
        <v>44562</v>
      </c>
    </row>
    <row r="23" spans="1:4" ht="15.75">
      <c r="A23" s="659"/>
      <c r="B23" s="671"/>
      <c r="C23" s="671"/>
      <c r="D23" s="660"/>
    </row>
    <row r="24" spans="1:4" ht="15.75">
      <c r="A24" s="672" t="s">
        <v>350</v>
      </c>
      <c r="B24" s="672"/>
      <c r="C24" s="672"/>
      <c r="D24" s="672"/>
    </row>
    <row r="25" spans="1:4" ht="15.75">
      <c r="A25" s="673"/>
      <c r="B25" s="674"/>
      <c r="C25" s="674"/>
      <c r="D25" s="675"/>
    </row>
    <row r="26" spans="1:4" ht="15.75">
      <c r="A26" s="66">
        <v>1</v>
      </c>
      <c r="B26" s="676" t="s">
        <v>351</v>
      </c>
      <c r="C26" s="677"/>
      <c r="D26" s="66" t="s">
        <v>352</v>
      </c>
    </row>
    <row r="27" spans="1:4" ht="15.75" hidden="1" outlineLevel="1">
      <c r="A27" s="67" t="s">
        <v>353</v>
      </c>
      <c r="B27" s="65" t="s">
        <v>354</v>
      </c>
      <c r="C27" s="73">
        <v>220</v>
      </c>
      <c r="D27" s="107">
        <f>D19/220*C27</f>
        <v>1314.09</v>
      </c>
    </row>
    <row r="28" spans="1:4" ht="15.75" hidden="1" outlineLevel="1">
      <c r="A28" s="67" t="s">
        <v>322</v>
      </c>
      <c r="B28" s="65" t="s">
        <v>355</v>
      </c>
      <c r="C28" s="31">
        <v>0</v>
      </c>
      <c r="D28" s="107">
        <f>C28*D27</f>
        <v>0</v>
      </c>
    </row>
    <row r="29" spans="1:4" ht="15.75" hidden="1" outlineLevel="1">
      <c r="A29" s="67" t="s">
        <v>325</v>
      </c>
      <c r="B29" s="65" t="s">
        <v>356</v>
      </c>
      <c r="C29" s="31">
        <v>0.4</v>
      </c>
      <c r="D29" s="107">
        <f>C29*D27</f>
        <v>525.64</v>
      </c>
    </row>
    <row r="30" spans="1:4" ht="15.75" hidden="1" outlineLevel="1">
      <c r="A30" s="67" t="s">
        <v>328</v>
      </c>
      <c r="B30" s="65" t="s">
        <v>357</v>
      </c>
      <c r="C30" s="159">
        <v>0</v>
      </c>
      <c r="D30" s="108">
        <f>SUM(D31:D32)</f>
        <v>0</v>
      </c>
    </row>
    <row r="31" spans="1:4" ht="15.75" hidden="1" outlineLevel="2">
      <c r="A31" s="80" t="s">
        <v>358</v>
      </c>
      <c r="B31" s="65" t="s">
        <v>359</v>
      </c>
      <c r="C31" s="81">
        <v>0.2</v>
      </c>
      <c r="D31" s="108">
        <f>(SUM(D27:D29)/C27)*C31*15*C30</f>
        <v>0</v>
      </c>
    </row>
    <row r="32" spans="1:4" ht="15.75" hidden="1" outlineLevel="2">
      <c r="A32" s="80" t="s">
        <v>360</v>
      </c>
      <c r="B32" s="65" t="s">
        <v>361</v>
      </c>
      <c r="C32" s="82">
        <f>C30*(60/52.5)/8</f>
        <v>0</v>
      </c>
      <c r="D32" s="108">
        <f>(SUM(D27:D29)/C27)*(C31)*15*C32</f>
        <v>0</v>
      </c>
    </row>
    <row r="33" spans="1:7" ht="15.75" hidden="1" outlineLevel="1" collapsed="1">
      <c r="A33" s="67" t="s">
        <v>331</v>
      </c>
      <c r="B33" s="65" t="s">
        <v>362</v>
      </c>
      <c r="C33" s="31" t="s">
        <v>363</v>
      </c>
      <c r="D33" s="1">
        <f>SUM(D34:D37)</f>
        <v>0</v>
      </c>
    </row>
    <row r="34" spans="1:7" ht="15.75" hidden="1" outlineLevel="2">
      <c r="A34" s="83" t="s">
        <v>364</v>
      </c>
      <c r="B34" s="84" t="s">
        <v>365</v>
      </c>
      <c r="C34" s="85">
        <v>0</v>
      </c>
      <c r="D34" s="109">
        <f>(SUM($D$27:$D$29)/$C$27)*C34*1.5</f>
        <v>0</v>
      </c>
    </row>
    <row r="35" spans="1:7" ht="15.75" hidden="1" outlineLevel="2">
      <c r="A35" s="83" t="s">
        <v>366</v>
      </c>
      <c r="B35" s="86" t="s">
        <v>367</v>
      </c>
      <c r="C35" s="87">
        <v>0</v>
      </c>
      <c r="D35" s="109">
        <f>(SUM($D$27:$D$29)/$C$27)*C35*((60/52.5)*1.2*1.5)</f>
        <v>0</v>
      </c>
    </row>
    <row r="36" spans="1:7" ht="15.75" hidden="1" outlineLevel="2">
      <c r="A36" s="83" t="s">
        <v>368</v>
      </c>
      <c r="B36" s="84" t="s">
        <v>369</v>
      </c>
      <c r="C36" s="88">
        <f>C34*0.1429</f>
        <v>0</v>
      </c>
      <c r="D36" s="109">
        <f>(SUM($D$27:$D$29)/$C$27)*C36*2</f>
        <v>0</v>
      </c>
    </row>
    <row r="37" spans="1:7" ht="15.75" hidden="1" outlineLevel="2">
      <c r="A37" s="83" t="s">
        <v>370</v>
      </c>
      <c r="B37" s="84" t="s">
        <v>371</v>
      </c>
      <c r="C37" s="88">
        <f>C34*0.1429</f>
        <v>0</v>
      </c>
      <c r="D37" s="109">
        <f>(SUM($D$27:$D$29)/$C$27)*C37*((60/52.5)*1.2*2)</f>
        <v>0</v>
      </c>
    </row>
    <row r="38" spans="1:7" ht="15.75" hidden="1" outlineLevel="1" collapsed="1">
      <c r="A38" s="67" t="s">
        <v>334</v>
      </c>
      <c r="B38" s="58" t="s">
        <v>372</v>
      </c>
      <c r="C38" s="59">
        <v>0</v>
      </c>
      <c r="D38" s="110">
        <v>0</v>
      </c>
    </row>
    <row r="39" spans="1:7" ht="15.75" collapsed="1">
      <c r="A39" s="676" t="s">
        <v>373</v>
      </c>
      <c r="B39" s="678"/>
      <c r="C39" s="677"/>
      <c r="D39" s="111">
        <f>SUM(D27:D30,D33,D38)</f>
        <v>1839.73</v>
      </c>
      <c r="G39" s="171"/>
    </row>
    <row r="40" spans="1:7" ht="15.75">
      <c r="A40" s="679"/>
      <c r="B40" s="679"/>
      <c r="C40" s="679"/>
      <c r="D40" s="679"/>
      <c r="G40" s="171"/>
    </row>
    <row r="41" spans="1:7" ht="15.75" hidden="1" outlineLevel="1">
      <c r="A41" s="89" t="s">
        <v>374</v>
      </c>
      <c r="B41" s="112" t="s">
        <v>375</v>
      </c>
      <c r="C41" s="113" t="s">
        <v>376</v>
      </c>
      <c r="D41" s="113" t="s">
        <v>352</v>
      </c>
      <c r="G41" s="171"/>
    </row>
    <row r="42" spans="1:7" ht="15.75" hidden="1" outlineLevel="1">
      <c r="A42" s="114" t="s">
        <v>353</v>
      </c>
      <c r="B42" s="30" t="s">
        <v>377</v>
      </c>
      <c r="C42" s="90">
        <v>0</v>
      </c>
      <c r="D42" s="115">
        <f>(SUM(D27)/$C$27)*C42*1.5</f>
        <v>0</v>
      </c>
      <c r="G42" s="171"/>
    </row>
    <row r="43" spans="1:7" ht="15.75" hidden="1" outlineLevel="1">
      <c r="A43" s="116" t="s">
        <v>325</v>
      </c>
      <c r="B43" s="117" t="s">
        <v>378</v>
      </c>
      <c r="C43" s="118">
        <v>0</v>
      </c>
      <c r="D43" s="107">
        <f>C43*177</f>
        <v>0</v>
      </c>
      <c r="G43" s="171"/>
    </row>
    <row r="44" spans="1:7" ht="15.75" hidden="1" outlineLevel="1">
      <c r="A44" s="67" t="s">
        <v>328</v>
      </c>
      <c r="B44" s="58" t="s">
        <v>372</v>
      </c>
      <c r="C44" s="59">
        <v>0</v>
      </c>
      <c r="D44" s="110">
        <v>0</v>
      </c>
      <c r="G44" s="171"/>
    </row>
    <row r="45" spans="1:7" ht="15.75" collapsed="1">
      <c r="A45" s="663" t="s">
        <v>379</v>
      </c>
      <c r="B45" s="664"/>
      <c r="C45" s="33">
        <f>D45/D39</f>
        <v>0</v>
      </c>
      <c r="D45" s="119">
        <f>SUM(D42:D43)</f>
        <v>0</v>
      </c>
      <c r="G45" s="171"/>
    </row>
    <row r="46" spans="1:7" ht="15.75">
      <c r="A46" s="665"/>
      <c r="B46" s="666"/>
      <c r="C46" s="666"/>
      <c r="D46" s="667"/>
      <c r="G46" s="171"/>
    </row>
    <row r="47" spans="1:7" ht="15.75">
      <c r="A47" s="668" t="s">
        <v>380</v>
      </c>
      <c r="B47" s="669"/>
      <c r="C47" s="669"/>
      <c r="D47" s="670"/>
      <c r="G47" s="171"/>
    </row>
    <row r="48" spans="1:7" ht="15.75" hidden="1" outlineLevel="1">
      <c r="A48" s="665"/>
      <c r="B48" s="666"/>
      <c r="C48" s="666"/>
      <c r="D48" s="667"/>
      <c r="G48" s="171"/>
    </row>
    <row r="49" spans="1:7" ht="15.75" hidden="1" outlineLevel="1">
      <c r="A49" s="113" t="s">
        <v>381</v>
      </c>
      <c r="B49" s="112" t="s">
        <v>382</v>
      </c>
      <c r="C49" s="113" t="s">
        <v>383</v>
      </c>
      <c r="D49" s="113" t="s">
        <v>352</v>
      </c>
      <c r="G49" s="171"/>
    </row>
    <row r="50" spans="1:7" ht="15.75" hidden="1" outlineLevel="2">
      <c r="A50" s="116" t="s">
        <v>353</v>
      </c>
      <c r="B50" s="117" t="s">
        <v>384</v>
      </c>
      <c r="C50" s="32">
        <f>1/12</f>
        <v>8.3299999999999999E-2</v>
      </c>
      <c r="D50" s="174">
        <f>C50*D39</f>
        <v>153.25</v>
      </c>
      <c r="G50" s="171"/>
    </row>
    <row r="51" spans="1:7" ht="15.75" hidden="1" outlineLevel="2">
      <c r="A51" s="116" t="s">
        <v>322</v>
      </c>
      <c r="B51" s="117" t="s">
        <v>385</v>
      </c>
      <c r="C51" s="32">
        <f>IF(C12&gt;60,(1/C12/3)*5,IF(C12&gt;48,(1/C12/3)*4,IF(C12&gt;36,(1/C12/3)*3,IF(C12&gt;24,(1/C12/3)*2,IF(C12&gt;12,(1/C12/3)*1,0)))))</f>
        <v>1.67E-2</v>
      </c>
      <c r="D51" s="174">
        <f>C51*D39</f>
        <v>30.72</v>
      </c>
      <c r="G51" s="171"/>
    </row>
    <row r="52" spans="1:7" ht="15.75" hidden="1" outlineLevel="1">
      <c r="A52" s="663" t="s">
        <v>176</v>
      </c>
      <c r="B52" s="664"/>
      <c r="C52" s="33">
        <f>SUM(C50:C51)</f>
        <v>0.1</v>
      </c>
      <c r="D52" s="119">
        <f>SUM(D50:D51)</f>
        <v>183.97</v>
      </c>
      <c r="G52" s="171"/>
    </row>
    <row r="53" spans="1:7" ht="15.75" hidden="1" outlineLevel="1">
      <c r="A53" s="665"/>
      <c r="B53" s="666"/>
      <c r="C53" s="666"/>
      <c r="D53" s="667"/>
      <c r="G53" s="171"/>
    </row>
    <row r="54" spans="1:7" ht="15.75" hidden="1" outlineLevel="1">
      <c r="A54" s="113" t="s">
        <v>386</v>
      </c>
      <c r="B54" s="120" t="s">
        <v>387</v>
      </c>
      <c r="C54" s="113" t="s">
        <v>383</v>
      </c>
      <c r="D54" s="121" t="s">
        <v>352</v>
      </c>
      <c r="G54" s="171"/>
    </row>
    <row r="55" spans="1:7" ht="15.75" hidden="1" outlineLevel="2">
      <c r="A55" s="114" t="s">
        <v>353</v>
      </c>
      <c r="B55" s="34" t="s">
        <v>388</v>
      </c>
      <c r="C55" s="35">
        <v>0.2</v>
      </c>
      <c r="D55" s="107">
        <f t="shared" ref="D55:D62" si="0">C55*($D$39+$D$52)</f>
        <v>404.74</v>
      </c>
      <c r="G55" s="171"/>
    </row>
    <row r="56" spans="1:7" ht="15.75" hidden="1" outlineLevel="2">
      <c r="A56" s="114" t="s">
        <v>322</v>
      </c>
      <c r="B56" s="34" t="s">
        <v>389</v>
      </c>
      <c r="C56" s="35">
        <v>2.5000000000000001E-2</v>
      </c>
      <c r="D56" s="107">
        <f t="shared" si="0"/>
        <v>50.59</v>
      </c>
      <c r="G56" s="171"/>
    </row>
    <row r="57" spans="1:7" ht="15.75" hidden="1" outlineLevel="2">
      <c r="A57" s="114" t="s">
        <v>325</v>
      </c>
      <c r="B57" s="34" t="s">
        <v>390</v>
      </c>
      <c r="C57" s="68">
        <v>0.03</v>
      </c>
      <c r="D57" s="107">
        <f t="shared" si="0"/>
        <v>60.71</v>
      </c>
      <c r="G57" s="171"/>
    </row>
    <row r="58" spans="1:7" ht="15.75" hidden="1" outlineLevel="2">
      <c r="A58" s="114" t="s">
        <v>328</v>
      </c>
      <c r="B58" s="34" t="s">
        <v>391</v>
      </c>
      <c r="C58" s="35">
        <v>1.4999999999999999E-2</v>
      </c>
      <c r="D58" s="107">
        <f t="shared" si="0"/>
        <v>30.36</v>
      </c>
      <c r="G58" s="171"/>
    </row>
    <row r="59" spans="1:7" ht="15.75" hidden="1" outlineLevel="2">
      <c r="A59" s="114" t="s">
        <v>331</v>
      </c>
      <c r="B59" s="34" t="s">
        <v>392</v>
      </c>
      <c r="C59" s="35">
        <v>0.01</v>
      </c>
      <c r="D59" s="107">
        <f t="shared" si="0"/>
        <v>20.239999999999998</v>
      </c>
      <c r="G59" s="171"/>
    </row>
    <row r="60" spans="1:7" ht="15.75" hidden="1" outlineLevel="2">
      <c r="A60" s="114" t="s">
        <v>334</v>
      </c>
      <c r="B60" s="34" t="s">
        <v>393</v>
      </c>
      <c r="C60" s="35">
        <v>6.0000000000000001E-3</v>
      </c>
      <c r="D60" s="107">
        <f t="shared" si="0"/>
        <v>12.14</v>
      </c>
      <c r="G60" s="171"/>
    </row>
    <row r="61" spans="1:7" ht="15.75" hidden="1" outlineLevel="2">
      <c r="A61" s="114" t="s">
        <v>394</v>
      </c>
      <c r="B61" s="34" t="s">
        <v>395</v>
      </c>
      <c r="C61" s="35">
        <v>2E-3</v>
      </c>
      <c r="D61" s="107">
        <f t="shared" si="0"/>
        <v>4.05</v>
      </c>
      <c r="G61" s="171"/>
    </row>
    <row r="62" spans="1:7" ht="15.75" hidden="1" outlineLevel="2">
      <c r="A62" s="114" t="s">
        <v>336</v>
      </c>
      <c r="B62" s="34" t="s">
        <v>396</v>
      </c>
      <c r="C62" s="35">
        <v>0.08</v>
      </c>
      <c r="D62" s="107">
        <f t="shared" si="0"/>
        <v>161.9</v>
      </c>
      <c r="G62" s="171"/>
    </row>
    <row r="63" spans="1:7" ht="15.75" hidden="1" outlineLevel="1">
      <c r="A63" s="663" t="s">
        <v>176</v>
      </c>
      <c r="B63" s="664"/>
      <c r="C63" s="36">
        <f>SUM(C55:C62)</f>
        <v>0.36799999999999999</v>
      </c>
      <c r="D63" s="122">
        <f>SUM(D55:D62)</f>
        <v>744.73</v>
      </c>
      <c r="G63" s="171"/>
    </row>
    <row r="64" spans="1:7" ht="15.75" hidden="1" outlineLevel="1">
      <c r="A64" s="665"/>
      <c r="B64" s="666"/>
      <c r="C64" s="666"/>
      <c r="D64" s="667"/>
      <c r="G64" s="171"/>
    </row>
    <row r="65" spans="1:7" ht="15.75" hidden="1" outlineLevel="1">
      <c r="A65" s="113" t="s">
        <v>397</v>
      </c>
      <c r="B65" s="120" t="s">
        <v>398</v>
      </c>
      <c r="C65" s="113" t="s">
        <v>399</v>
      </c>
      <c r="D65" s="113" t="s">
        <v>352</v>
      </c>
      <c r="G65" s="171"/>
    </row>
    <row r="66" spans="1:7" ht="15.75" hidden="1" outlineLevel="2">
      <c r="A66" s="114" t="s">
        <v>353</v>
      </c>
      <c r="B66" s="34" t="s">
        <v>400</v>
      </c>
      <c r="C66" s="123">
        <v>4.8</v>
      </c>
      <c r="D66" s="124">
        <f>IF(D67+D68&gt;0,(D67+D68),0)</f>
        <v>122.75</v>
      </c>
      <c r="G66" s="171"/>
    </row>
    <row r="67" spans="1:7" ht="15.75" hidden="1" outlineLevel="3">
      <c r="A67" s="125" t="s">
        <v>401</v>
      </c>
      <c r="B67" s="34" t="s">
        <v>402</v>
      </c>
      <c r="C67" s="126">
        <v>21</v>
      </c>
      <c r="D67" s="127">
        <f>C66*C67*2</f>
        <v>201.6</v>
      </c>
      <c r="G67" s="171"/>
    </row>
    <row r="68" spans="1:7" ht="15.75" hidden="1" outlineLevel="3">
      <c r="A68" s="125" t="s">
        <v>403</v>
      </c>
      <c r="B68" s="34" t="s">
        <v>404</v>
      </c>
      <c r="C68" s="128">
        <v>0.06</v>
      </c>
      <c r="D68" s="127">
        <f>-D27*C68</f>
        <v>-78.849999999999994</v>
      </c>
      <c r="G68" s="171"/>
    </row>
    <row r="69" spans="1:7" ht="15.75" hidden="1" outlineLevel="2">
      <c r="A69" s="114" t="s">
        <v>322</v>
      </c>
      <c r="B69" s="34" t="s">
        <v>405</v>
      </c>
      <c r="C69" s="129">
        <v>20.18</v>
      </c>
      <c r="D69" s="124">
        <f>D70+D71</f>
        <v>343.26</v>
      </c>
      <c r="G69" s="171"/>
    </row>
    <row r="70" spans="1:7" ht="15.75" hidden="1" outlineLevel="3">
      <c r="A70" s="125" t="s">
        <v>406</v>
      </c>
      <c r="B70" s="34" t="s">
        <v>407</v>
      </c>
      <c r="C70" s="126">
        <v>21</v>
      </c>
      <c r="D70" s="127">
        <f>C69*C70</f>
        <v>423.78</v>
      </c>
      <c r="G70" s="171"/>
    </row>
    <row r="71" spans="1:7" ht="15.75" hidden="1" outlineLevel="3">
      <c r="A71" s="125" t="s">
        <v>408</v>
      </c>
      <c r="B71" s="34" t="s">
        <v>409</v>
      </c>
      <c r="C71" s="130">
        <v>-0.19</v>
      </c>
      <c r="D71" s="127">
        <f>D70*C71</f>
        <v>-80.52</v>
      </c>
      <c r="G71" s="171"/>
    </row>
    <row r="72" spans="1:7" ht="15.75" hidden="1" outlineLevel="2">
      <c r="A72" s="114" t="s">
        <v>325</v>
      </c>
      <c r="B72" s="77" t="s">
        <v>410</v>
      </c>
      <c r="C72" s="129">
        <v>17.32</v>
      </c>
      <c r="D72" s="132">
        <f>C72</f>
        <v>17.32</v>
      </c>
      <c r="G72" s="171"/>
    </row>
    <row r="73" spans="1:7" ht="15.75" hidden="1" outlineLevel="2">
      <c r="A73" s="114" t="s">
        <v>328</v>
      </c>
      <c r="B73" s="78" t="s">
        <v>411</v>
      </c>
      <c r="C73" s="129">
        <f>140*3</f>
        <v>420</v>
      </c>
      <c r="D73" s="132">
        <f>C73*C152</f>
        <v>0.84</v>
      </c>
      <c r="G73" s="171"/>
    </row>
    <row r="74" spans="1:7" ht="15.75" hidden="1" outlineLevel="2">
      <c r="A74" s="114" t="s">
        <v>331</v>
      </c>
      <c r="B74" s="77" t="s">
        <v>412</v>
      </c>
      <c r="C74" s="129">
        <v>21</v>
      </c>
      <c r="D74" s="132">
        <f>C74</f>
        <v>21</v>
      </c>
      <c r="G74" s="171"/>
    </row>
    <row r="75" spans="1:7" ht="15.75" hidden="1" outlineLevel="2">
      <c r="A75" s="114" t="s">
        <v>334</v>
      </c>
      <c r="B75" s="77" t="s">
        <v>372</v>
      </c>
      <c r="C75" s="131">
        <v>0</v>
      </c>
      <c r="D75" s="132">
        <f>C75*D39</f>
        <v>0</v>
      </c>
      <c r="G75" s="171"/>
    </row>
    <row r="76" spans="1:7" ht="15.75" hidden="1" outlineLevel="2">
      <c r="A76" s="114" t="s">
        <v>394</v>
      </c>
      <c r="B76" s="77" t="s">
        <v>372</v>
      </c>
      <c r="C76" s="129">
        <v>0</v>
      </c>
      <c r="D76" s="133">
        <f>C76</f>
        <v>0</v>
      </c>
      <c r="G76" s="171"/>
    </row>
    <row r="77" spans="1:7" ht="15.75" hidden="1" outlineLevel="1">
      <c r="A77" s="663" t="s">
        <v>413</v>
      </c>
      <c r="B77" s="700"/>
      <c r="C77" s="664"/>
      <c r="D77" s="119">
        <f>SUM(D66,D69,D72:D76)</f>
        <v>505.17</v>
      </c>
      <c r="G77" s="171"/>
    </row>
    <row r="78" spans="1:7" ht="15.75" hidden="1" outlineLevel="1">
      <c r="A78" s="665"/>
      <c r="B78" s="666"/>
      <c r="C78" s="666"/>
      <c r="D78" s="667"/>
      <c r="G78" s="171"/>
    </row>
    <row r="79" spans="1:7" ht="15.75" hidden="1" outlineLevel="1">
      <c r="A79" s="701" t="s">
        <v>414</v>
      </c>
      <c r="B79" s="702"/>
      <c r="C79" s="113" t="s">
        <v>383</v>
      </c>
      <c r="D79" s="113" t="s">
        <v>352</v>
      </c>
      <c r="G79" s="171"/>
    </row>
    <row r="80" spans="1:7" ht="15.75" hidden="1" outlineLevel="1">
      <c r="A80" s="114" t="s">
        <v>415</v>
      </c>
      <c r="B80" s="34" t="s">
        <v>382</v>
      </c>
      <c r="C80" s="37">
        <f>C52</f>
        <v>0.1</v>
      </c>
      <c r="D80" s="107">
        <f>D52</f>
        <v>183.97</v>
      </c>
      <c r="G80" s="171"/>
    </row>
    <row r="81" spans="1:7" ht="15.75" hidden="1" outlineLevel="1">
      <c r="A81" s="114" t="s">
        <v>386</v>
      </c>
      <c r="B81" s="34" t="s">
        <v>387</v>
      </c>
      <c r="C81" s="37">
        <f>C63</f>
        <v>0.36799999999999999</v>
      </c>
      <c r="D81" s="107">
        <f>D63</f>
        <v>744.73</v>
      </c>
      <c r="G81" s="171"/>
    </row>
    <row r="82" spans="1:7" ht="15.75" hidden="1" outlineLevel="1">
      <c r="A82" s="114" t="s">
        <v>416</v>
      </c>
      <c r="B82" s="34" t="s">
        <v>398</v>
      </c>
      <c r="C82" s="37">
        <f>D77/D39</f>
        <v>0.27460000000000001</v>
      </c>
      <c r="D82" s="107">
        <f>D77</f>
        <v>505.17</v>
      </c>
      <c r="G82" s="171"/>
    </row>
    <row r="83" spans="1:7" ht="15.75" collapsed="1">
      <c r="A83" s="663" t="s">
        <v>176</v>
      </c>
      <c r="B83" s="700"/>
      <c r="C83" s="664"/>
      <c r="D83" s="119">
        <f>SUM(D80:D82)</f>
        <v>1433.87</v>
      </c>
      <c r="G83" s="171"/>
    </row>
    <row r="84" spans="1:7" ht="15.75">
      <c r="A84" s="665"/>
      <c r="B84" s="666"/>
      <c r="C84" s="666"/>
      <c r="D84" s="667"/>
      <c r="G84" s="171"/>
    </row>
    <row r="85" spans="1:7" ht="15.75">
      <c r="A85" s="694" t="s">
        <v>417</v>
      </c>
      <c r="B85" s="695"/>
      <c r="C85" s="695"/>
      <c r="D85" s="696"/>
      <c r="G85" s="171"/>
    </row>
    <row r="86" spans="1:7" ht="15.75" hidden="1" outlineLevel="1">
      <c r="A86" s="665"/>
      <c r="B86" s="666"/>
      <c r="C86" s="666"/>
      <c r="D86" s="667"/>
      <c r="G86" s="171"/>
    </row>
    <row r="87" spans="1:7" ht="15.75" hidden="1" outlineLevel="1">
      <c r="A87" s="66" t="s">
        <v>418</v>
      </c>
      <c r="B87" s="112" t="s">
        <v>419</v>
      </c>
      <c r="C87" s="113" t="s">
        <v>383</v>
      </c>
      <c r="D87" s="113" t="s">
        <v>352</v>
      </c>
      <c r="G87" s="171"/>
    </row>
    <row r="88" spans="1:7" ht="15.75" hidden="1" outlineLevel="2">
      <c r="A88" s="38" t="s">
        <v>353</v>
      </c>
      <c r="B88" s="39" t="s">
        <v>420</v>
      </c>
      <c r="C88" s="38" t="s">
        <v>363</v>
      </c>
      <c r="D88" s="134">
        <f>IF(C99&gt;1,SUM(D89:D92)*2,SUM(D89:D92))</f>
        <v>2592.48</v>
      </c>
      <c r="G88" s="171"/>
    </row>
    <row r="89" spans="1:7" ht="15.75" hidden="1" outlineLevel="3">
      <c r="A89" s="40" t="s">
        <v>421</v>
      </c>
      <c r="B89" s="41" t="s">
        <v>422</v>
      </c>
      <c r="C89" s="38">
        <f>(IF(C12&gt;60,45,IF(C12&gt;48,42,IF(C12&gt;36,39,IF(C12&gt;24,36,IF(C12&gt;12,33,30)))))/30)</f>
        <v>1.1000000000000001</v>
      </c>
      <c r="D89" s="173">
        <f>D39*C89</f>
        <v>2023.7</v>
      </c>
      <c r="G89" s="171"/>
    </row>
    <row r="90" spans="1:7" ht="15.75" hidden="1" outlineLevel="3">
      <c r="A90" s="40" t="s">
        <v>423</v>
      </c>
      <c r="B90" s="41" t="s">
        <v>424</v>
      </c>
      <c r="C90" s="32">
        <f>1/12</f>
        <v>8.3299999999999999E-2</v>
      </c>
      <c r="D90" s="134">
        <f>C90*D89</f>
        <v>168.57</v>
      </c>
      <c r="G90" s="171"/>
    </row>
    <row r="91" spans="1:7" ht="15.75" hidden="1" outlineLevel="3">
      <c r="A91" s="40" t="s">
        <v>425</v>
      </c>
      <c r="B91" s="41" t="s">
        <v>426</v>
      </c>
      <c r="C91" s="32">
        <f>(1/12)+(1/12/3)</f>
        <v>0.1111</v>
      </c>
      <c r="D91" s="135">
        <f>C91*D89</f>
        <v>224.83</v>
      </c>
      <c r="G91" s="171"/>
    </row>
    <row r="92" spans="1:7" ht="15.75" hidden="1" outlineLevel="3">
      <c r="A92" s="40" t="s">
        <v>427</v>
      </c>
      <c r="B92" s="41" t="s">
        <v>428</v>
      </c>
      <c r="C92" s="42">
        <v>0.08</v>
      </c>
      <c r="D92" s="134">
        <f>SUM(D89:D90)*C92</f>
        <v>175.38</v>
      </c>
      <c r="G92" s="171"/>
    </row>
    <row r="93" spans="1:7" ht="15.75" hidden="1" outlineLevel="2">
      <c r="A93" s="38" t="s">
        <v>322</v>
      </c>
      <c r="B93" s="39" t="s">
        <v>429</v>
      </c>
      <c r="C93" s="43">
        <v>0.4</v>
      </c>
      <c r="D93" s="134">
        <f>C93*D94</f>
        <v>1297.1300000000001</v>
      </c>
      <c r="G93" s="171"/>
    </row>
    <row r="94" spans="1:7" ht="15.75" hidden="1" outlineLevel="3">
      <c r="A94" s="38" t="s">
        <v>430</v>
      </c>
      <c r="B94" s="39" t="s">
        <v>431</v>
      </c>
      <c r="C94" s="43">
        <f>C62</f>
        <v>0.08</v>
      </c>
      <c r="D94" s="134">
        <f>C94*D95</f>
        <v>3242.83</v>
      </c>
      <c r="G94" s="171"/>
    </row>
    <row r="95" spans="1:7" ht="15.75" hidden="1" outlineLevel="3">
      <c r="A95" s="38" t="s">
        <v>432</v>
      </c>
      <c r="B95" s="44" t="s">
        <v>433</v>
      </c>
      <c r="C95" s="45" t="s">
        <v>363</v>
      </c>
      <c r="D95" s="135">
        <f>SUM(D96:D98)</f>
        <v>40535.379999999997</v>
      </c>
      <c r="G95" s="171"/>
    </row>
    <row r="96" spans="1:7" ht="15.75" hidden="1" outlineLevel="3">
      <c r="A96" s="40" t="s">
        <v>434</v>
      </c>
      <c r="B96" s="41" t="s">
        <v>435</v>
      </c>
      <c r="C96" s="46">
        <f>C12-C98</f>
        <v>19</v>
      </c>
      <c r="D96" s="134">
        <f>D39*C96</f>
        <v>34954.870000000003</v>
      </c>
      <c r="G96" s="171"/>
    </row>
    <row r="97" spans="1:7" ht="15.75" hidden="1" outlineLevel="3">
      <c r="A97" s="40" t="s">
        <v>436</v>
      </c>
      <c r="B97" s="41" t="s">
        <v>437</v>
      </c>
      <c r="C97" s="47">
        <f>C12/12</f>
        <v>1.7</v>
      </c>
      <c r="D97" s="134">
        <f>D39*C97</f>
        <v>3127.54</v>
      </c>
      <c r="G97" s="171"/>
    </row>
    <row r="98" spans="1:7" ht="15.75" hidden="1" outlineLevel="3">
      <c r="A98" s="40" t="s">
        <v>438</v>
      </c>
      <c r="B98" s="41" t="s">
        <v>439</v>
      </c>
      <c r="C98" s="45">
        <f>IF(C12&gt;60,5,IF(C12&gt;48,4,IF(C12&gt;36,3,IF(C12&gt;24,2,IF(C12&gt;12,1,0)))))</f>
        <v>1</v>
      </c>
      <c r="D98" s="135">
        <f>D39*C98*1.33333333333333</f>
        <v>2452.9699999999998</v>
      </c>
      <c r="G98" s="171"/>
    </row>
    <row r="99" spans="1:7" ht="15.75" hidden="1" outlineLevel="1">
      <c r="A99" s="663" t="s">
        <v>176</v>
      </c>
      <c r="B99" s="664"/>
      <c r="C99" s="69">
        <v>5.5500000000000001E-2</v>
      </c>
      <c r="D99" s="119">
        <f>IF(C99&gt;1,D88+D93,(D88+D93)*C99)</f>
        <v>215.87</v>
      </c>
      <c r="G99" s="171"/>
    </row>
    <row r="100" spans="1:7" ht="15.75" hidden="1" outlineLevel="1">
      <c r="A100" s="697"/>
      <c r="B100" s="698"/>
      <c r="C100" s="698"/>
      <c r="D100" s="699"/>
      <c r="G100" s="171"/>
    </row>
    <row r="101" spans="1:7" ht="15.75" hidden="1" outlineLevel="1">
      <c r="A101" s="66" t="s">
        <v>440</v>
      </c>
      <c r="B101" s="112" t="s">
        <v>441</v>
      </c>
      <c r="C101" s="113" t="s">
        <v>383</v>
      </c>
      <c r="D101" s="113" t="s">
        <v>352</v>
      </c>
      <c r="G101" s="171"/>
    </row>
    <row r="102" spans="1:7" ht="15.75" hidden="1" outlineLevel="2">
      <c r="A102" s="38" t="s">
        <v>353</v>
      </c>
      <c r="B102" s="44" t="s">
        <v>442</v>
      </c>
      <c r="C102" s="48">
        <f>IF(C111&gt;1,(1/30*7)*2,(1/30*7))</f>
        <v>0.23330000000000001</v>
      </c>
      <c r="D102" s="135">
        <f>C102*SUM(D103:D107)</f>
        <v>801.61</v>
      </c>
      <c r="G102" s="171"/>
    </row>
    <row r="103" spans="1:7" ht="15.75" hidden="1" outlineLevel="3">
      <c r="A103" s="40" t="s">
        <v>421</v>
      </c>
      <c r="B103" s="41" t="s">
        <v>443</v>
      </c>
      <c r="C103" s="38">
        <v>1</v>
      </c>
      <c r="D103" s="134">
        <f>D39</f>
        <v>1839.73</v>
      </c>
      <c r="G103" s="171"/>
    </row>
    <row r="104" spans="1:7" ht="15.75" hidden="1" outlineLevel="3">
      <c r="A104" s="40" t="s">
        <v>423</v>
      </c>
      <c r="B104" s="41" t="s">
        <v>444</v>
      </c>
      <c r="C104" s="32">
        <f>1/12</f>
        <v>8.3299999999999999E-2</v>
      </c>
      <c r="D104" s="134">
        <f>C104*D103</f>
        <v>153.25</v>
      </c>
      <c r="G104" s="171"/>
    </row>
    <row r="105" spans="1:7" ht="15.75" hidden="1" outlineLevel="3">
      <c r="A105" s="40" t="s">
        <v>425</v>
      </c>
      <c r="B105" s="41" t="s">
        <v>445</v>
      </c>
      <c r="C105" s="32">
        <f>(1/12)+(1/12/3)</f>
        <v>0.1111</v>
      </c>
      <c r="D105" s="134">
        <f>C105*D103</f>
        <v>204.39</v>
      </c>
      <c r="G105" s="171"/>
    </row>
    <row r="106" spans="1:7" ht="15.75" hidden="1" outlineLevel="3">
      <c r="A106" s="40" t="s">
        <v>427</v>
      </c>
      <c r="B106" s="49" t="s">
        <v>446</v>
      </c>
      <c r="C106" s="50">
        <f>C63</f>
        <v>0.36799999999999999</v>
      </c>
      <c r="D106" s="135">
        <f>C106*(D103+D104)</f>
        <v>733.42</v>
      </c>
      <c r="G106" s="171"/>
    </row>
    <row r="107" spans="1:7" ht="15.75" hidden="1" outlineLevel="3">
      <c r="A107" s="40" t="s">
        <v>447</v>
      </c>
      <c r="B107" s="49" t="s">
        <v>448</v>
      </c>
      <c r="C107" s="45">
        <v>1</v>
      </c>
      <c r="D107" s="135">
        <f>D77</f>
        <v>505.17</v>
      </c>
      <c r="G107" s="171"/>
    </row>
    <row r="108" spans="1:7" ht="15.75" hidden="1" outlineLevel="2">
      <c r="A108" s="38" t="s">
        <v>322</v>
      </c>
      <c r="B108" s="39" t="s">
        <v>449</v>
      </c>
      <c r="C108" s="43">
        <v>0.4</v>
      </c>
      <c r="D108" s="134">
        <f>C108*D109</f>
        <v>1297.1300000000001</v>
      </c>
      <c r="G108" s="171"/>
    </row>
    <row r="109" spans="1:7" ht="15.75" hidden="1" outlineLevel="2">
      <c r="A109" s="38" t="s">
        <v>430</v>
      </c>
      <c r="B109" s="39" t="s">
        <v>431</v>
      </c>
      <c r="C109" s="43">
        <f>C62</f>
        <v>0.08</v>
      </c>
      <c r="D109" s="134">
        <f>C109*D110</f>
        <v>3242.83</v>
      </c>
      <c r="G109" s="171"/>
    </row>
    <row r="110" spans="1:7" ht="15.75" hidden="1" outlineLevel="2">
      <c r="A110" s="38" t="s">
        <v>432</v>
      </c>
      <c r="B110" s="44" t="s">
        <v>433</v>
      </c>
      <c r="C110" s="45" t="s">
        <v>363</v>
      </c>
      <c r="D110" s="135">
        <f>D95</f>
        <v>40535.379999999997</v>
      </c>
      <c r="G110" s="171"/>
    </row>
    <row r="111" spans="1:7" ht="15.75" hidden="1" outlineLevel="1">
      <c r="A111" s="663" t="s">
        <v>176</v>
      </c>
      <c r="B111" s="664"/>
      <c r="C111" s="69">
        <v>0.94450000000000001</v>
      </c>
      <c r="D111" s="119">
        <f>IF(C111&gt;1,D102+D108,(D102+D108)*C111)</f>
        <v>1982.26</v>
      </c>
      <c r="G111" s="171"/>
    </row>
    <row r="112" spans="1:7" ht="15.75" hidden="1" outlineLevel="1">
      <c r="A112" s="697"/>
      <c r="B112" s="698"/>
      <c r="C112" s="698"/>
      <c r="D112" s="699"/>
      <c r="G112" s="171"/>
    </row>
    <row r="113" spans="1:7" ht="15.75" hidden="1" outlineLevel="1">
      <c r="A113" s="66" t="s">
        <v>450</v>
      </c>
      <c r="B113" s="112" t="s">
        <v>451</v>
      </c>
      <c r="C113" s="113" t="s">
        <v>383</v>
      </c>
      <c r="D113" s="113" t="s">
        <v>352</v>
      </c>
      <c r="G113" s="171"/>
    </row>
    <row r="114" spans="1:7" ht="15.75" hidden="1" outlineLevel="2">
      <c r="A114" s="114" t="s">
        <v>353</v>
      </c>
      <c r="B114" s="34" t="s">
        <v>452</v>
      </c>
      <c r="C114" s="37">
        <f>IF(C12&gt;60,(D39/12*(C12-60))/C12/D39,IF(C12&gt;48,(D39/12*(C12-48))/C12/D39,IF(C12&gt;36,(D39/12*(C12-36))/C12/D39,IF(C12&gt;24,(D39/12*(C12-24))/C12/D39,IF(C12&gt;12,((D39/12*(C12-12))/C12/D39),1/12)))))</f>
        <v>3.3300000000000003E-2</v>
      </c>
      <c r="D114" s="136">
        <f>C114*D39</f>
        <v>61.26</v>
      </c>
      <c r="G114" s="171"/>
    </row>
    <row r="115" spans="1:7" ht="15.75" hidden="1" outlineLevel="2">
      <c r="A115" s="114" t="s">
        <v>322</v>
      </c>
      <c r="B115" s="51" t="s">
        <v>453</v>
      </c>
      <c r="C115" s="37">
        <f>C114/3</f>
        <v>1.11E-2</v>
      </c>
      <c r="D115" s="137">
        <f>C115*D39</f>
        <v>20.420000000000002</v>
      </c>
      <c r="G115" s="171"/>
    </row>
    <row r="116" spans="1:7" ht="15.75" hidden="1" outlineLevel="1">
      <c r="A116" s="663" t="s">
        <v>176</v>
      </c>
      <c r="B116" s="664"/>
      <c r="C116" s="33">
        <f>C114+C115</f>
        <v>4.4400000000000002E-2</v>
      </c>
      <c r="D116" s="119">
        <f>SUM(D114:D115)</f>
        <v>81.680000000000007</v>
      </c>
      <c r="G116" s="171"/>
    </row>
    <row r="117" spans="1:7" ht="15.75" hidden="1" outlineLevel="1">
      <c r="A117" s="697"/>
      <c r="B117" s="698"/>
      <c r="C117" s="698"/>
      <c r="D117" s="699"/>
      <c r="G117" s="171"/>
    </row>
    <row r="118" spans="1:7" ht="15.75" hidden="1" outlineLevel="1">
      <c r="A118" s="701" t="s">
        <v>454</v>
      </c>
      <c r="B118" s="702"/>
      <c r="C118" s="113" t="s">
        <v>383</v>
      </c>
      <c r="D118" s="113" t="s">
        <v>352</v>
      </c>
      <c r="G118" s="171"/>
    </row>
    <row r="119" spans="1:7" ht="15.75" hidden="1" outlineLevel="1">
      <c r="A119" s="114" t="s">
        <v>418</v>
      </c>
      <c r="B119" s="34" t="s">
        <v>419</v>
      </c>
      <c r="C119" s="37">
        <f>C99</f>
        <v>5.5500000000000001E-2</v>
      </c>
      <c r="D119" s="107">
        <f>D99</f>
        <v>215.87</v>
      </c>
      <c r="G119" s="171"/>
    </row>
    <row r="120" spans="1:7" ht="15.75" hidden="1" outlineLevel="1">
      <c r="A120" s="116" t="s">
        <v>440</v>
      </c>
      <c r="B120" s="34" t="s">
        <v>441</v>
      </c>
      <c r="C120" s="52">
        <f>C111</f>
        <v>0.94450000000000001</v>
      </c>
      <c r="D120" s="107">
        <f>D111</f>
        <v>1982.26</v>
      </c>
      <c r="G120" s="171"/>
    </row>
    <row r="121" spans="1:7" ht="15.75" hidden="1" outlineLevel="1">
      <c r="A121" s="707" t="s">
        <v>455</v>
      </c>
      <c r="B121" s="707"/>
      <c r="C121" s="707"/>
      <c r="D121" s="138">
        <f>D119+D120</f>
        <v>2198.13</v>
      </c>
      <c r="G121" s="171"/>
    </row>
    <row r="122" spans="1:7" ht="15.75" hidden="1" outlineLevel="1">
      <c r="A122" s="703" t="s">
        <v>456</v>
      </c>
      <c r="B122" s="704"/>
      <c r="C122" s="70">
        <v>0.63570000000000004</v>
      </c>
      <c r="D122" s="61">
        <f>C122*D121</f>
        <v>1397.35</v>
      </c>
      <c r="G122" s="171"/>
    </row>
    <row r="123" spans="1:7" ht="15.75" hidden="1" outlineLevel="1">
      <c r="A123" s="703" t="s">
        <v>457</v>
      </c>
      <c r="B123" s="704"/>
      <c r="C123" s="70">
        <v>1.0999999999999999E-2</v>
      </c>
      <c r="D123" s="61">
        <f>(D50+(D116/2))*-C123</f>
        <v>-2.13</v>
      </c>
      <c r="G123" s="171"/>
    </row>
    <row r="124" spans="1:7" ht="15.75" hidden="1" outlineLevel="1">
      <c r="A124" s="705" t="s">
        <v>458</v>
      </c>
      <c r="B124" s="706"/>
      <c r="C124" s="74">
        <f>1/C12</f>
        <v>0.05</v>
      </c>
      <c r="D124" s="62">
        <f>(D122+D123)*C124</f>
        <v>69.760000000000005</v>
      </c>
      <c r="G124" s="171"/>
    </row>
    <row r="125" spans="1:7" ht="15.75" hidden="1" outlineLevel="1">
      <c r="A125" s="116" t="s">
        <v>450</v>
      </c>
      <c r="B125" s="34" t="s">
        <v>459</v>
      </c>
      <c r="C125" s="52"/>
      <c r="D125" s="127">
        <f>D116</f>
        <v>81.680000000000007</v>
      </c>
      <c r="G125" s="171"/>
    </row>
    <row r="126" spans="1:7" ht="15.75" collapsed="1">
      <c r="A126" s="663" t="s">
        <v>176</v>
      </c>
      <c r="B126" s="664"/>
      <c r="C126" s="33"/>
      <c r="D126" s="139">
        <f>D124+D125</f>
        <v>151.44</v>
      </c>
      <c r="G126" s="171"/>
    </row>
    <row r="127" spans="1:7" ht="15.75">
      <c r="A127" s="665"/>
      <c r="B127" s="666"/>
      <c r="C127" s="666"/>
      <c r="D127" s="667"/>
      <c r="G127" s="171"/>
    </row>
    <row r="128" spans="1:7" ht="15.75">
      <c r="A128" s="668" t="s">
        <v>460</v>
      </c>
      <c r="B128" s="669"/>
      <c r="C128" s="669"/>
      <c r="D128" s="670"/>
      <c r="G128" s="171"/>
    </row>
    <row r="129" spans="1:7" ht="15.75" hidden="1" outlineLevel="1">
      <c r="A129" s="697"/>
      <c r="B129" s="698"/>
      <c r="C129" s="698"/>
      <c r="D129" s="699"/>
      <c r="G129" s="171"/>
    </row>
    <row r="130" spans="1:7" ht="15.75" hidden="1" outlineLevel="1">
      <c r="A130" s="113" t="s">
        <v>461</v>
      </c>
      <c r="B130" s="120" t="s">
        <v>462</v>
      </c>
      <c r="C130" s="33" t="s">
        <v>383</v>
      </c>
      <c r="D130" s="113" t="s">
        <v>352</v>
      </c>
      <c r="G130" s="171"/>
    </row>
    <row r="131" spans="1:7" ht="15.75" hidden="1" outlineLevel="2">
      <c r="A131" s="140" t="s">
        <v>353</v>
      </c>
      <c r="B131" s="91" t="s">
        <v>463</v>
      </c>
      <c r="C131" s="53">
        <f>IF(C12&gt;60,5/C12,IF(C12&gt;48,4/C12,IF(C12&gt;36,3/C12,IF(C12&gt;24,2/C12,IF(C12&gt;12,1/C12,0)))))</f>
        <v>0.05</v>
      </c>
      <c r="D131" s="136">
        <f>SUM(D132:D136)</f>
        <v>118.86</v>
      </c>
      <c r="G131" s="171"/>
    </row>
    <row r="132" spans="1:7" ht="15.75" hidden="1" outlineLevel="3">
      <c r="A132" s="141" t="s">
        <v>464</v>
      </c>
      <c r="B132" s="92" t="s">
        <v>465</v>
      </c>
      <c r="C132" s="142">
        <f>D39</f>
        <v>1839.73</v>
      </c>
      <c r="D132" s="143">
        <f>$C$131*(D39)-($C$131*(D39)*C137/3)</f>
        <v>91.99</v>
      </c>
      <c r="G132" s="171"/>
    </row>
    <row r="133" spans="1:7" ht="15.75" hidden="1" outlineLevel="3">
      <c r="A133" s="141" t="s">
        <v>466</v>
      </c>
      <c r="B133" s="92" t="s">
        <v>467</v>
      </c>
      <c r="C133" s="142">
        <f>(D50)</f>
        <v>153.25</v>
      </c>
      <c r="D133" s="143">
        <f>$C$131*C133-($C$131*C133*C137/3)</f>
        <v>7.66</v>
      </c>
      <c r="G133" s="171"/>
    </row>
    <row r="134" spans="1:7" ht="15.75" hidden="1" outlineLevel="3">
      <c r="A134" s="141" t="s">
        <v>468</v>
      </c>
      <c r="B134" s="92" t="s">
        <v>469</v>
      </c>
      <c r="C134" s="144">
        <f>(D39/12)+(D51*IF(C12&gt;60,((C12-60)*(1/60))+1,IF(C12&gt;48,((C12-48)*(1/48))+1,IF(C12&gt;36,((C12-36)*(1/36))+1,IF(C12&gt;24,((C12-24)*(1/24))+1,IF(C12&gt;12,((C12-12)*(1/12))+1,1))))))</f>
        <v>204.51</v>
      </c>
      <c r="D134" s="143">
        <f>$C$131*C134-($C$131*C134*C137/3)</f>
        <v>10.23</v>
      </c>
      <c r="G134" s="171"/>
    </row>
    <row r="135" spans="1:7" ht="15.75" hidden="1" outlineLevel="3">
      <c r="A135" s="141" t="s">
        <v>470</v>
      </c>
      <c r="B135" s="92" t="s">
        <v>471</v>
      </c>
      <c r="C135" s="93">
        <f>C63</f>
        <v>0.36799999999999999</v>
      </c>
      <c r="D135" s="143">
        <f>SUM(D132:D134)*C131</f>
        <v>5.49</v>
      </c>
      <c r="G135" s="171"/>
    </row>
    <row r="136" spans="1:7" ht="15.75" hidden="1" outlineLevel="3">
      <c r="A136" s="141" t="s">
        <v>472</v>
      </c>
      <c r="B136" s="92" t="s">
        <v>473</v>
      </c>
      <c r="C136" s="144">
        <f>D124</f>
        <v>69.760000000000005</v>
      </c>
      <c r="D136" s="143">
        <f>C136*C131</f>
        <v>3.49</v>
      </c>
      <c r="G136" s="171"/>
    </row>
    <row r="137" spans="1:7" ht="15.75" hidden="1" outlineLevel="2">
      <c r="A137" s="114" t="s">
        <v>322</v>
      </c>
      <c r="B137" s="34" t="s">
        <v>474</v>
      </c>
      <c r="C137" s="94">
        <v>0</v>
      </c>
      <c r="D137" s="127">
        <f>$C$131*(D39)*(C137/3)</f>
        <v>0</v>
      </c>
      <c r="G137" s="171"/>
    </row>
    <row r="138" spans="1:7" ht="15.75" hidden="1" outlineLevel="1">
      <c r="A138" s="663" t="s">
        <v>475</v>
      </c>
      <c r="B138" s="664"/>
      <c r="C138" s="33">
        <f>C131+(D137/D39)</f>
        <v>0.05</v>
      </c>
      <c r="D138" s="119">
        <f>SUM(D131:D137)</f>
        <v>237.72</v>
      </c>
      <c r="G138" s="171"/>
    </row>
    <row r="139" spans="1:7" ht="15.75" hidden="1" outlineLevel="1">
      <c r="A139" s="697"/>
      <c r="B139" s="698"/>
      <c r="C139" s="698"/>
      <c r="D139" s="699"/>
      <c r="G139" s="171"/>
    </row>
    <row r="140" spans="1:7" ht="15.75" hidden="1" outlineLevel="2">
      <c r="A140" s="710" t="s">
        <v>476</v>
      </c>
      <c r="B140" s="145" t="s">
        <v>435</v>
      </c>
      <c r="C140" s="95">
        <v>220</v>
      </c>
      <c r="D140" s="146">
        <f>D39</f>
        <v>1839.73</v>
      </c>
      <c r="G140" s="171"/>
    </row>
    <row r="141" spans="1:7" ht="15.75" hidden="1" outlineLevel="2">
      <c r="A141" s="711"/>
      <c r="B141" s="145" t="s">
        <v>477</v>
      </c>
      <c r="C141" s="53">
        <f>(1+(1/3)+1)/12</f>
        <v>0.19439999999999999</v>
      </c>
      <c r="D141" s="147">
        <f>D140*C141</f>
        <v>357.64</v>
      </c>
      <c r="G141" s="171"/>
    </row>
    <row r="142" spans="1:7" ht="15.75" hidden="1" outlineLevel="2">
      <c r="A142" s="711"/>
      <c r="B142" s="145" t="s">
        <v>478</v>
      </c>
      <c r="C142" s="53">
        <f>C63</f>
        <v>0.36799999999999999</v>
      </c>
      <c r="D142" s="147">
        <f>(D140+D141)*C142</f>
        <v>808.63</v>
      </c>
      <c r="G142" s="171"/>
    </row>
    <row r="143" spans="1:7" ht="15.75" hidden="1" outlineLevel="2">
      <c r="A143" s="711"/>
      <c r="B143" s="145" t="s">
        <v>479</v>
      </c>
      <c r="C143" s="53">
        <f>D143/D140</f>
        <v>0.27460000000000001</v>
      </c>
      <c r="D143" s="147">
        <f>D77</f>
        <v>505.17</v>
      </c>
      <c r="G143" s="171"/>
    </row>
    <row r="144" spans="1:7" ht="15.75" hidden="1" outlineLevel="2">
      <c r="A144" s="712"/>
      <c r="B144" s="148" t="s">
        <v>480</v>
      </c>
      <c r="C144" s="53">
        <f>D144/D140</f>
        <v>3.7900000000000003E-2</v>
      </c>
      <c r="D144" s="147">
        <f>D124</f>
        <v>69.760000000000005</v>
      </c>
      <c r="G144" s="171"/>
    </row>
    <row r="145" spans="1:7" ht="15.75" hidden="1" outlineLevel="2">
      <c r="A145" s="713" t="s">
        <v>481</v>
      </c>
      <c r="B145" s="714"/>
      <c r="C145" s="96">
        <f>D145/D140</f>
        <v>1.9463999999999999</v>
      </c>
      <c r="D145" s="149">
        <f>SUM(D140:D144)</f>
        <v>3580.93</v>
      </c>
      <c r="G145" s="171"/>
    </row>
    <row r="146" spans="1:7" ht="15.75" hidden="1" outlineLevel="2">
      <c r="A146" s="715"/>
      <c r="B146" s="715"/>
      <c r="C146" s="715"/>
      <c r="D146" s="716"/>
      <c r="G146" s="171"/>
    </row>
    <row r="147" spans="1:7" ht="15.75" hidden="1" outlineLevel="1">
      <c r="A147" s="113" t="s">
        <v>482</v>
      </c>
      <c r="B147" s="120" t="s">
        <v>483</v>
      </c>
      <c r="C147" s="33" t="s">
        <v>383</v>
      </c>
      <c r="D147" s="113" t="s">
        <v>352</v>
      </c>
      <c r="G147" s="171"/>
    </row>
    <row r="148" spans="1:7" ht="15.75" hidden="1" outlineLevel="2">
      <c r="A148" s="114" t="s">
        <v>322</v>
      </c>
      <c r="B148" s="34" t="s">
        <v>484</v>
      </c>
      <c r="C148" s="79">
        <f>5/252</f>
        <v>1.9800000000000002E-2</v>
      </c>
      <c r="D148" s="136">
        <f>C148*$D$145</f>
        <v>70.900000000000006</v>
      </c>
      <c r="G148" s="171"/>
    </row>
    <row r="149" spans="1:7" ht="15.75" hidden="1" outlineLevel="2">
      <c r="A149" s="114" t="s">
        <v>325</v>
      </c>
      <c r="B149" s="34" t="s">
        <v>485</v>
      </c>
      <c r="C149" s="79">
        <f>1.383/252</f>
        <v>5.4999999999999997E-3</v>
      </c>
      <c r="D149" s="136">
        <f>C149*$D$145</f>
        <v>19.7</v>
      </c>
      <c r="G149" s="171"/>
    </row>
    <row r="150" spans="1:7" ht="15.75" hidden="1" outlineLevel="2">
      <c r="A150" s="114" t="s">
        <v>328</v>
      </c>
      <c r="B150" s="34" t="s">
        <v>486</v>
      </c>
      <c r="C150" s="79">
        <f>1.3892/252</f>
        <v>5.4999999999999997E-3</v>
      </c>
      <c r="D150" s="136">
        <f t="shared" ref="D150:D153" si="1">C150*$D$145</f>
        <v>19.7</v>
      </c>
      <c r="G150" s="171"/>
    </row>
    <row r="151" spans="1:7" ht="15.75" hidden="1" outlineLevel="2">
      <c r="A151" s="114" t="s">
        <v>331</v>
      </c>
      <c r="B151" s="34" t="s">
        <v>487</v>
      </c>
      <c r="C151" s="79">
        <f>0.65/252</f>
        <v>2.5999999999999999E-3</v>
      </c>
      <c r="D151" s="136">
        <f t="shared" si="1"/>
        <v>9.31</v>
      </c>
      <c r="G151" s="171"/>
    </row>
    <row r="152" spans="1:7" ht="15.75" hidden="1" outlineLevel="2">
      <c r="A152" s="114" t="s">
        <v>334</v>
      </c>
      <c r="B152" s="34" t="s">
        <v>488</v>
      </c>
      <c r="C152" s="79">
        <f>0.5052/252</f>
        <v>2E-3</v>
      </c>
      <c r="D152" s="136">
        <f t="shared" si="1"/>
        <v>7.16</v>
      </c>
      <c r="G152" s="171"/>
    </row>
    <row r="153" spans="1:7" ht="15.75" hidden="1" outlineLevel="2">
      <c r="A153" s="114" t="s">
        <v>353</v>
      </c>
      <c r="B153" s="63" t="s">
        <v>489</v>
      </c>
      <c r="C153" s="71">
        <f>0.2/252</f>
        <v>8.0000000000000004E-4</v>
      </c>
      <c r="D153" s="136">
        <f t="shared" si="1"/>
        <v>2.86</v>
      </c>
      <c r="G153" s="171"/>
    </row>
    <row r="154" spans="1:7" ht="15.75" hidden="1" outlineLevel="1">
      <c r="A154" s="663" t="s">
        <v>475</v>
      </c>
      <c r="B154" s="664"/>
      <c r="C154" s="33">
        <f>SUM(C148:C153)</f>
        <v>3.6200000000000003E-2</v>
      </c>
      <c r="D154" s="119">
        <f>SUM(D148:D153)</f>
        <v>129.63</v>
      </c>
      <c r="G154" s="171"/>
    </row>
    <row r="155" spans="1:7" ht="15.75" hidden="1" outlineLevel="1">
      <c r="A155" s="697"/>
      <c r="B155" s="698"/>
      <c r="C155" s="698"/>
      <c r="D155" s="699"/>
      <c r="G155" s="171"/>
    </row>
    <row r="156" spans="1:7" ht="15.75" hidden="1" outlineLevel="1">
      <c r="A156" s="701" t="s">
        <v>490</v>
      </c>
      <c r="B156" s="708"/>
      <c r="C156" s="33" t="s">
        <v>491</v>
      </c>
      <c r="D156" s="113" t="s">
        <v>352</v>
      </c>
      <c r="G156" s="171"/>
    </row>
    <row r="157" spans="1:7" ht="15.75" hidden="1" outlineLevel="2">
      <c r="A157" s="709" t="s">
        <v>492</v>
      </c>
      <c r="B157" s="145" t="s">
        <v>493</v>
      </c>
      <c r="C157" s="97">
        <f>C153</f>
        <v>8.0000000000000004E-4</v>
      </c>
      <c r="D157" s="150">
        <f>C157*-D140</f>
        <v>-1.47</v>
      </c>
      <c r="G157" s="171"/>
    </row>
    <row r="158" spans="1:7" ht="15.75" hidden="1" outlineLevel="2">
      <c r="A158" s="709"/>
      <c r="B158" s="151" t="s">
        <v>494</v>
      </c>
      <c r="C158" s="98">
        <v>0</v>
      </c>
      <c r="D158" s="152">
        <f>C158*-(D140/220/24*5)</f>
        <v>0</v>
      </c>
      <c r="G158" s="171"/>
    </row>
    <row r="159" spans="1:7" ht="15.75" hidden="1" outlineLevel="2">
      <c r="A159" s="709"/>
      <c r="B159" s="151" t="s">
        <v>495</v>
      </c>
      <c r="C159" s="98">
        <v>0</v>
      </c>
      <c r="D159" s="152">
        <f>C159*-D141</f>
        <v>0</v>
      </c>
      <c r="G159" s="171"/>
    </row>
    <row r="160" spans="1:7" ht="15.75" hidden="1" outlineLevel="2">
      <c r="A160" s="709"/>
      <c r="B160" s="145" t="s">
        <v>496</v>
      </c>
      <c r="C160" s="97">
        <f>C154</f>
        <v>3.6200000000000003E-2</v>
      </c>
      <c r="D160" s="150">
        <f>C160*-D66</f>
        <v>-4.4400000000000004</v>
      </c>
      <c r="G160" s="171"/>
    </row>
    <row r="161" spans="1:7" ht="15.75" hidden="1" outlineLevel="2">
      <c r="A161" s="709"/>
      <c r="B161" s="145" t="s">
        <v>497</v>
      </c>
      <c r="C161" s="97">
        <f>C154</f>
        <v>3.6200000000000003E-2</v>
      </c>
      <c r="D161" s="150">
        <f>C161*-D69</f>
        <v>-12.43</v>
      </c>
      <c r="G161" s="171"/>
    </row>
    <row r="162" spans="1:7" ht="15.75" hidden="1" outlineLevel="2">
      <c r="A162" s="709"/>
      <c r="B162" s="148" t="s">
        <v>498</v>
      </c>
      <c r="C162" s="97">
        <f>C153</f>
        <v>8.0000000000000004E-4</v>
      </c>
      <c r="D162" s="150">
        <f>C162*-D74</f>
        <v>-0.02</v>
      </c>
      <c r="G162" s="171"/>
    </row>
    <row r="163" spans="1:7" ht="15.75" hidden="1" outlineLevel="2">
      <c r="A163" s="709"/>
      <c r="B163" s="148" t="s">
        <v>499</v>
      </c>
      <c r="C163" s="99">
        <f>C152</f>
        <v>2E-3</v>
      </c>
      <c r="D163" s="136">
        <f>C163*-SUM(D55:D61)</f>
        <v>-1.17</v>
      </c>
      <c r="G163" s="171"/>
    </row>
    <row r="164" spans="1:7" ht="15.75" hidden="1" outlineLevel="2">
      <c r="A164" s="709"/>
      <c r="B164" s="145" t="s">
        <v>500</v>
      </c>
      <c r="C164" s="97">
        <f>C153</f>
        <v>8.0000000000000004E-4</v>
      </c>
      <c r="D164" s="150">
        <f>C164*-D142</f>
        <v>-0.65</v>
      </c>
      <c r="G164" s="171"/>
    </row>
    <row r="165" spans="1:7" ht="15.75" hidden="1" outlineLevel="1">
      <c r="A165" s="663" t="s">
        <v>501</v>
      </c>
      <c r="B165" s="664"/>
      <c r="C165" s="33">
        <f>D165/D140</f>
        <v>-1.0999999999999999E-2</v>
      </c>
      <c r="D165" s="119">
        <f>SUM(D157:D164)</f>
        <v>-20.18</v>
      </c>
      <c r="G165" s="171"/>
    </row>
    <row r="166" spans="1:7" ht="15.75" hidden="1" outlineLevel="1">
      <c r="A166" s="697"/>
      <c r="B166" s="698"/>
      <c r="C166" s="698"/>
      <c r="D166" s="699"/>
      <c r="G166" s="171"/>
    </row>
    <row r="167" spans="1:7" ht="15.75" hidden="1" outlineLevel="1">
      <c r="A167" s="663" t="s">
        <v>502</v>
      </c>
      <c r="B167" s="664"/>
      <c r="C167" s="33">
        <f>D167/D140</f>
        <v>5.9499999999999997E-2</v>
      </c>
      <c r="D167" s="119">
        <f>D154+D165</f>
        <v>109.45</v>
      </c>
      <c r="G167" s="171"/>
    </row>
    <row r="168" spans="1:7" ht="15.75" hidden="1" outlineLevel="1">
      <c r="A168" s="697"/>
      <c r="B168" s="698"/>
      <c r="C168" s="698"/>
      <c r="D168" s="699"/>
      <c r="G168" s="171"/>
    </row>
    <row r="169" spans="1:7" ht="15.75" hidden="1" outlineLevel="1">
      <c r="A169" s="701" t="s">
        <v>503</v>
      </c>
      <c r="B169" s="702"/>
      <c r="C169" s="113" t="s">
        <v>383</v>
      </c>
      <c r="D169" s="113" t="s">
        <v>352</v>
      </c>
      <c r="G169" s="171"/>
    </row>
    <row r="170" spans="1:7" ht="15.75" hidden="1" outlineLevel="1">
      <c r="A170" s="114" t="s">
        <v>461</v>
      </c>
      <c r="B170" s="34" t="s">
        <v>462</v>
      </c>
      <c r="C170" s="37"/>
      <c r="D170" s="153">
        <f>D138</f>
        <v>237.72</v>
      </c>
      <c r="G170" s="171"/>
    </row>
    <row r="171" spans="1:7" ht="15.75" hidden="1" outlineLevel="1">
      <c r="A171" s="114" t="s">
        <v>482</v>
      </c>
      <c r="B171" s="34" t="s">
        <v>483</v>
      </c>
      <c r="C171" s="37"/>
      <c r="D171" s="153">
        <f>D167</f>
        <v>109.45</v>
      </c>
      <c r="G171" s="171"/>
    </row>
    <row r="172" spans="1:7" ht="15.75" collapsed="1">
      <c r="A172" s="663" t="s">
        <v>176</v>
      </c>
      <c r="B172" s="700"/>
      <c r="C172" s="664"/>
      <c r="D172" s="122">
        <f>SUM(D170:D171)</f>
        <v>347.17</v>
      </c>
      <c r="G172" s="171"/>
    </row>
    <row r="173" spans="1:7" ht="15.75">
      <c r="A173" s="697"/>
      <c r="B173" s="698"/>
      <c r="C173" s="698"/>
      <c r="D173" s="699"/>
      <c r="G173" s="171"/>
    </row>
    <row r="174" spans="1:7" ht="15.75">
      <c r="A174" s="668" t="s">
        <v>504</v>
      </c>
      <c r="B174" s="669"/>
      <c r="C174" s="669"/>
      <c r="D174" s="670"/>
      <c r="G174" s="171"/>
    </row>
    <row r="175" spans="1:7" ht="15.75" hidden="1" outlineLevel="1">
      <c r="A175" s="697"/>
      <c r="B175" s="698"/>
      <c r="C175" s="698"/>
      <c r="D175" s="699"/>
      <c r="G175" s="171"/>
    </row>
    <row r="176" spans="1:7" ht="15.75" hidden="1" outlineLevel="1">
      <c r="A176" s="66">
        <v>5</v>
      </c>
      <c r="B176" s="663" t="s">
        <v>505</v>
      </c>
      <c r="C176" s="664"/>
      <c r="D176" s="113" t="s">
        <v>352</v>
      </c>
      <c r="G176" s="171"/>
    </row>
    <row r="177" spans="1:7" ht="15.75" hidden="1" outlineLevel="1">
      <c r="A177" s="114" t="s">
        <v>353</v>
      </c>
      <c r="B177" s="717" t="s">
        <v>506</v>
      </c>
      <c r="C177" s="718"/>
      <c r="D177" s="136">
        <f>INSUMOS!H14</f>
        <v>25.55</v>
      </c>
      <c r="G177" s="171"/>
    </row>
    <row r="178" spans="1:7" ht="15.75" hidden="1" outlineLevel="1">
      <c r="A178" s="114" t="s">
        <v>322</v>
      </c>
      <c r="B178" s="717" t="s">
        <v>507</v>
      </c>
      <c r="C178" s="718"/>
      <c r="D178" s="154">
        <f>((INSUMOS!H31*13)+(INSUMOS!H32*2))/INSUMOS!G31</f>
        <v>8.1999999999999993</v>
      </c>
      <c r="G178" s="171"/>
    </row>
    <row r="179" spans="1:7" ht="15.75" hidden="1" outlineLevel="1">
      <c r="A179" s="114" t="s">
        <v>325</v>
      </c>
      <c r="B179" s="649" t="s">
        <v>508</v>
      </c>
      <c r="C179" s="650"/>
      <c r="D179" s="154">
        <f>MATERIAIS!F109</f>
        <v>765.36</v>
      </c>
      <c r="G179" s="171"/>
    </row>
    <row r="180" spans="1:7" ht="15.75" hidden="1" outlineLevel="1">
      <c r="A180" s="114" t="s">
        <v>328</v>
      </c>
      <c r="B180" s="649" t="s">
        <v>509</v>
      </c>
      <c r="C180" s="650"/>
      <c r="D180" s="154">
        <f>EQUIPAMENTOS!G111</f>
        <v>43.69</v>
      </c>
      <c r="G180" s="171"/>
    </row>
    <row r="181" spans="1:7" ht="15.75" hidden="1" outlineLevel="1">
      <c r="A181" s="114" t="s">
        <v>334</v>
      </c>
      <c r="B181" s="651" t="s">
        <v>372</v>
      </c>
      <c r="C181" s="652"/>
      <c r="D181" s="133">
        <v>0</v>
      </c>
      <c r="G181" s="171"/>
    </row>
    <row r="182" spans="1:7" ht="15.75" collapsed="1">
      <c r="A182" s="663" t="s">
        <v>176</v>
      </c>
      <c r="B182" s="700"/>
      <c r="C182" s="664"/>
      <c r="D182" s="119">
        <f>SUM(D177:D180)</f>
        <v>842.8</v>
      </c>
      <c r="G182" s="171"/>
    </row>
    <row r="183" spans="1:7" ht="15.75">
      <c r="A183" s="665"/>
      <c r="B183" s="666"/>
      <c r="C183" s="666"/>
      <c r="D183" s="667"/>
      <c r="G183" s="171"/>
    </row>
    <row r="184" spans="1:7" ht="15.75">
      <c r="A184" s="723" t="s">
        <v>510</v>
      </c>
      <c r="B184" s="723"/>
      <c r="C184" s="723"/>
      <c r="D184" s="155">
        <f>D39+D83+D126+D172+D182</f>
        <v>4615.01</v>
      </c>
      <c r="G184" s="171"/>
    </row>
    <row r="185" spans="1:7" ht="15.75">
      <c r="A185" s="679"/>
      <c r="B185" s="679"/>
      <c r="C185" s="679"/>
      <c r="D185" s="679"/>
      <c r="G185" s="171"/>
    </row>
    <row r="186" spans="1:7" ht="15.75">
      <c r="A186" s="724" t="s">
        <v>511</v>
      </c>
      <c r="B186" s="724"/>
      <c r="C186" s="724"/>
      <c r="D186" s="724"/>
      <c r="G186" s="171"/>
    </row>
    <row r="187" spans="1:7" ht="15.75" hidden="1" outlineLevel="1">
      <c r="A187" s="725"/>
      <c r="B187" s="726"/>
      <c r="C187" s="726"/>
      <c r="D187" s="727"/>
      <c r="G187" s="171"/>
    </row>
    <row r="188" spans="1:7" ht="15.75" hidden="1" outlineLevel="1">
      <c r="A188" s="66">
        <v>6</v>
      </c>
      <c r="B188" s="120" t="s">
        <v>512</v>
      </c>
      <c r="C188" s="113" t="s">
        <v>383</v>
      </c>
      <c r="D188" s="113" t="s">
        <v>352</v>
      </c>
      <c r="G188" s="171"/>
    </row>
    <row r="189" spans="1:7" ht="15.75" hidden="1" outlineLevel="1">
      <c r="A189" s="114" t="s">
        <v>353</v>
      </c>
      <c r="B189" s="34" t="s">
        <v>513</v>
      </c>
      <c r="C189" s="72">
        <v>2.6499999999999999E-2</v>
      </c>
      <c r="D189" s="108">
        <f>C189*D184</f>
        <v>122.3</v>
      </c>
      <c r="G189" s="171"/>
    </row>
    <row r="190" spans="1:7" ht="15.75" hidden="1" outlineLevel="1">
      <c r="A190" s="719" t="s">
        <v>514</v>
      </c>
      <c r="B190" s="720"/>
      <c r="C190" s="722"/>
      <c r="D190" s="108">
        <f>D184+D189</f>
        <v>4737.3100000000004</v>
      </c>
      <c r="G190" s="171"/>
    </row>
    <row r="191" spans="1:7" ht="15.75" hidden="1" outlineLevel="1">
      <c r="A191" s="114" t="s">
        <v>322</v>
      </c>
      <c r="B191" s="34" t="s">
        <v>515</v>
      </c>
      <c r="C191" s="72">
        <v>0.1087</v>
      </c>
      <c r="D191" s="108">
        <f>C191*D190</f>
        <v>514.95000000000005</v>
      </c>
      <c r="G191" s="171"/>
    </row>
    <row r="192" spans="1:7" ht="15.75" hidden="1" outlineLevel="1">
      <c r="A192" s="719" t="s">
        <v>514</v>
      </c>
      <c r="B192" s="720"/>
      <c r="C192" s="720"/>
      <c r="D192" s="108">
        <f>D191+D190</f>
        <v>5252.26</v>
      </c>
      <c r="G192" s="171"/>
    </row>
    <row r="193" spans="1:11" ht="15.75" hidden="1" outlineLevel="1">
      <c r="A193" s="114" t="s">
        <v>325</v>
      </c>
      <c r="B193" s="649" t="s">
        <v>516</v>
      </c>
      <c r="C193" s="721"/>
      <c r="D193" s="650"/>
      <c r="G193" s="171"/>
    </row>
    <row r="194" spans="1:11" ht="15.75" hidden="1" outlineLevel="1">
      <c r="A194" s="156"/>
      <c r="B194" s="65" t="s">
        <v>517</v>
      </c>
      <c r="C194" s="72">
        <v>6.4999999999999997E-3</v>
      </c>
      <c r="D194" s="108">
        <f>(D192/(1-C197)*C194)</f>
        <v>36.380000000000003</v>
      </c>
      <c r="G194" s="171"/>
    </row>
    <row r="195" spans="1:11" ht="15.75" hidden="1" outlineLevel="1">
      <c r="A195" s="156"/>
      <c r="B195" s="65" t="s">
        <v>518</v>
      </c>
      <c r="C195" s="72">
        <v>0.03</v>
      </c>
      <c r="D195" s="108">
        <f>(D192/(1-C197)*C195)</f>
        <v>167.89</v>
      </c>
      <c r="G195" s="171"/>
    </row>
    <row r="196" spans="1:11" ht="15.75" hidden="1" outlineLevel="1">
      <c r="A196" s="156"/>
      <c r="B196" s="65" t="s">
        <v>519</v>
      </c>
      <c r="C196" s="54">
        <v>2.5000000000000001E-2</v>
      </c>
      <c r="D196" s="108">
        <f>(D192/(1-C197)*C196)</f>
        <v>139.91</v>
      </c>
      <c r="G196" s="171"/>
    </row>
    <row r="197" spans="1:11" ht="15.75" hidden="1" outlineLevel="1">
      <c r="A197" s="719" t="s">
        <v>520</v>
      </c>
      <c r="B197" s="722"/>
      <c r="C197" s="55">
        <f>SUM(C194:C196)</f>
        <v>6.1499999999999999E-2</v>
      </c>
      <c r="D197" s="108">
        <f>SUM(D194:D196)</f>
        <v>344.18</v>
      </c>
      <c r="G197" s="171"/>
    </row>
    <row r="198" spans="1:11" ht="15.75" collapsed="1">
      <c r="A198" s="663" t="s">
        <v>176</v>
      </c>
      <c r="B198" s="664"/>
      <c r="C198" s="56">
        <f>(1+C189)*(1+C191)*(1/(1-C197))-1</f>
        <v>0.2127</v>
      </c>
      <c r="D198" s="111">
        <f>SUM(D197+D189+D191)</f>
        <v>981.43</v>
      </c>
      <c r="G198" s="171"/>
    </row>
    <row r="199" spans="1:11" ht="15.75">
      <c r="A199" s="665"/>
      <c r="B199" s="666"/>
      <c r="C199" s="666"/>
      <c r="D199" s="667"/>
      <c r="G199" s="171"/>
      <c r="K199" s="171"/>
    </row>
    <row r="200" spans="1:11" ht="15.75">
      <c r="A200" s="676" t="s">
        <v>521</v>
      </c>
      <c r="B200" s="678"/>
      <c r="C200" s="677"/>
      <c r="D200" s="57" t="s">
        <v>352</v>
      </c>
      <c r="G200" s="171"/>
    </row>
    <row r="201" spans="1:11" ht="15.75">
      <c r="A201" s="661" t="s">
        <v>522</v>
      </c>
      <c r="B201" s="728"/>
      <c r="C201" s="728"/>
      <c r="D201" s="662"/>
      <c r="G201" s="172"/>
    </row>
    <row r="202" spans="1:11" ht="15.75">
      <c r="A202" s="67" t="s">
        <v>353</v>
      </c>
      <c r="B202" s="661" t="s">
        <v>523</v>
      </c>
      <c r="C202" s="662"/>
      <c r="D202" s="107">
        <f>D39</f>
        <v>1839.73</v>
      </c>
      <c r="G202" s="171"/>
      <c r="K202" s="171"/>
    </row>
    <row r="203" spans="1:11" ht="15.75">
      <c r="A203" s="67" t="s">
        <v>322</v>
      </c>
      <c r="B203" s="661" t="s">
        <v>524</v>
      </c>
      <c r="C203" s="662"/>
      <c r="D203" s="107">
        <f>D83</f>
        <v>1433.87</v>
      </c>
      <c r="G203" s="171"/>
      <c r="K203" s="171"/>
    </row>
    <row r="204" spans="1:11" ht="15.75">
      <c r="A204" s="67" t="s">
        <v>325</v>
      </c>
      <c r="B204" s="661" t="s">
        <v>525</v>
      </c>
      <c r="C204" s="662"/>
      <c r="D204" s="107">
        <f>D126</f>
        <v>151.44</v>
      </c>
      <c r="G204" s="171"/>
      <c r="K204" s="171"/>
    </row>
    <row r="205" spans="1:11" ht="15.75">
      <c r="A205" s="67" t="s">
        <v>328</v>
      </c>
      <c r="B205" s="661" t="s">
        <v>526</v>
      </c>
      <c r="C205" s="662"/>
      <c r="D205" s="107">
        <f>D172</f>
        <v>347.17</v>
      </c>
      <c r="G205" s="171"/>
      <c r="K205" s="171"/>
    </row>
    <row r="206" spans="1:11" ht="15.75">
      <c r="A206" s="67" t="s">
        <v>331</v>
      </c>
      <c r="B206" s="661" t="s">
        <v>527</v>
      </c>
      <c r="C206" s="662"/>
      <c r="D206" s="107">
        <f>D182</f>
        <v>842.8</v>
      </c>
      <c r="G206" s="171"/>
      <c r="K206" s="171"/>
    </row>
    <row r="207" spans="1:11" ht="15.75">
      <c r="A207" s="738" t="s">
        <v>528</v>
      </c>
      <c r="B207" s="739"/>
      <c r="C207" s="740"/>
      <c r="D207" s="107">
        <f>SUM(D202:D206)</f>
        <v>4615.01</v>
      </c>
      <c r="F207" s="10"/>
      <c r="G207" s="171"/>
      <c r="K207" s="171"/>
    </row>
    <row r="208" spans="1:11" ht="15.75">
      <c r="A208" s="67" t="s">
        <v>529</v>
      </c>
      <c r="B208" s="661" t="s">
        <v>530</v>
      </c>
      <c r="C208" s="662"/>
      <c r="D208" s="107">
        <f>D198</f>
        <v>981.43</v>
      </c>
      <c r="F208" s="10"/>
      <c r="G208" s="171"/>
      <c r="K208" s="171"/>
    </row>
    <row r="209" spans="1:11" ht="15.75">
      <c r="A209" s="676" t="s">
        <v>531</v>
      </c>
      <c r="B209" s="678"/>
      <c r="C209" s="677"/>
      <c r="D209" s="157">
        <f xml:space="preserve"> D207+D208</f>
        <v>5596.44</v>
      </c>
      <c r="F209" s="10"/>
      <c r="G209" s="171"/>
      <c r="K209" s="171"/>
    </row>
    <row r="210" spans="1:11" ht="15.75">
      <c r="A210" s="27"/>
      <c r="B210" s="27"/>
      <c r="C210" s="27"/>
      <c r="D210" s="27"/>
    </row>
    <row r="211" spans="1:11" ht="15.75" thickBot="1">
      <c r="A211" s="20"/>
      <c r="B211" s="20"/>
      <c r="C211" s="20"/>
      <c r="D211" s="20"/>
    </row>
    <row r="212" spans="1:11" ht="15.75">
      <c r="A212" s="646" t="s">
        <v>532</v>
      </c>
      <c r="B212" s="647"/>
      <c r="C212" s="647"/>
      <c r="D212" s="648"/>
    </row>
    <row r="213" spans="1:11" ht="31.5">
      <c r="A213" s="175" t="s">
        <v>533</v>
      </c>
      <c r="B213" s="176" t="s">
        <v>534</v>
      </c>
      <c r="C213" s="177" t="s">
        <v>535</v>
      </c>
      <c r="D213" s="178" t="s">
        <v>536</v>
      </c>
    </row>
    <row r="214" spans="1:11" ht="16.5" thickBot="1">
      <c r="A214" s="179">
        <v>15</v>
      </c>
      <c r="B214" s="182">
        <f>IF(A214=0,0,1/((C11)/A214))</f>
        <v>1.0771923198000001E-3</v>
      </c>
      <c r="C214" s="180">
        <f>D209</f>
        <v>5596.44</v>
      </c>
      <c r="D214" s="184">
        <f>C214*B214</f>
        <v>6.0284421860000004</v>
      </c>
    </row>
  </sheetData>
  <mergeCells count="107">
    <mergeCell ref="A207:C207"/>
    <mergeCell ref="B208:C208"/>
    <mergeCell ref="A209:C209"/>
    <mergeCell ref="A201:D201"/>
    <mergeCell ref="B202:C202"/>
    <mergeCell ref="B203:C203"/>
    <mergeCell ref="B204:C204"/>
    <mergeCell ref="B205:C205"/>
    <mergeCell ref="B206:C206"/>
    <mergeCell ref="A192:C192"/>
    <mergeCell ref="B193:D193"/>
    <mergeCell ref="A197:B197"/>
    <mergeCell ref="A198:B198"/>
    <mergeCell ref="A199:D199"/>
    <mergeCell ref="A200:C200"/>
    <mergeCell ref="A183:D183"/>
    <mergeCell ref="A184:C184"/>
    <mergeCell ref="A185:D185"/>
    <mergeCell ref="A186:D186"/>
    <mergeCell ref="A187:D187"/>
    <mergeCell ref="A190:C190"/>
    <mergeCell ref="B176:C176"/>
    <mergeCell ref="B177:C177"/>
    <mergeCell ref="B178:C178"/>
    <mergeCell ref="B179:C179"/>
    <mergeCell ref="A182:C182"/>
    <mergeCell ref="A168:D168"/>
    <mergeCell ref="A169:B169"/>
    <mergeCell ref="A172:C172"/>
    <mergeCell ref="A173:D173"/>
    <mergeCell ref="A174:D174"/>
    <mergeCell ref="A175:D175"/>
    <mergeCell ref="A155:D155"/>
    <mergeCell ref="A156:B156"/>
    <mergeCell ref="A157:A164"/>
    <mergeCell ref="A165:B165"/>
    <mergeCell ref="A166:D166"/>
    <mergeCell ref="A167:B167"/>
    <mergeCell ref="A138:B138"/>
    <mergeCell ref="A139:D139"/>
    <mergeCell ref="A140:A144"/>
    <mergeCell ref="A145:B145"/>
    <mergeCell ref="A146:D146"/>
    <mergeCell ref="A154:B154"/>
    <mergeCell ref="A123:B123"/>
    <mergeCell ref="A124:B124"/>
    <mergeCell ref="A126:B126"/>
    <mergeCell ref="A127:D127"/>
    <mergeCell ref="A128:D128"/>
    <mergeCell ref="A129:D129"/>
    <mergeCell ref="A112:D112"/>
    <mergeCell ref="A116:B116"/>
    <mergeCell ref="A117:D117"/>
    <mergeCell ref="A118:B118"/>
    <mergeCell ref="A121:C121"/>
    <mergeCell ref="A122:B122"/>
    <mergeCell ref="A84:D84"/>
    <mergeCell ref="A85:D85"/>
    <mergeCell ref="A86:D86"/>
    <mergeCell ref="A99:B99"/>
    <mergeCell ref="A100:D100"/>
    <mergeCell ref="A111:B111"/>
    <mergeCell ref="A63:B63"/>
    <mergeCell ref="A64:D64"/>
    <mergeCell ref="A77:C77"/>
    <mergeCell ref="A78:D78"/>
    <mergeCell ref="A79:B79"/>
    <mergeCell ref="A83:C83"/>
    <mergeCell ref="A1:D1"/>
    <mergeCell ref="A2:B2"/>
    <mergeCell ref="C2:D2"/>
    <mergeCell ref="A3:B3"/>
    <mergeCell ref="C3:D3"/>
    <mergeCell ref="A4:D4"/>
    <mergeCell ref="C17:D17"/>
    <mergeCell ref="A18:D18"/>
    <mergeCell ref="B19:C19"/>
    <mergeCell ref="C11:D11"/>
    <mergeCell ref="C12:D12"/>
    <mergeCell ref="A13:D13"/>
    <mergeCell ref="A14:D14"/>
    <mergeCell ref="A15:D15"/>
    <mergeCell ref="C16:D16"/>
    <mergeCell ref="A212:D212"/>
    <mergeCell ref="B180:C180"/>
    <mergeCell ref="B181:C181"/>
    <mergeCell ref="A5:D5"/>
    <mergeCell ref="C6:D6"/>
    <mergeCell ref="C7:D7"/>
    <mergeCell ref="C8:D8"/>
    <mergeCell ref="C9:D9"/>
    <mergeCell ref="C10:D10"/>
    <mergeCell ref="B21:C21"/>
    <mergeCell ref="B22:C22"/>
    <mergeCell ref="B20:C20"/>
    <mergeCell ref="A45:B45"/>
    <mergeCell ref="A46:D46"/>
    <mergeCell ref="A47:D47"/>
    <mergeCell ref="A48:D48"/>
    <mergeCell ref="A52:B52"/>
    <mergeCell ref="A53:D53"/>
    <mergeCell ref="A23:D23"/>
    <mergeCell ref="A24:D24"/>
    <mergeCell ref="A25:D25"/>
    <mergeCell ref="B26:C26"/>
    <mergeCell ref="A39:C39"/>
    <mergeCell ref="A40:D40"/>
  </mergeCells>
  <printOptions horizontalCentered="1" verticalCentered="1"/>
  <pageMargins left="0.98425196850393704" right="0.98425196850393704" top="0.98425196850393704" bottom="0.98425196850393704" header="0.51181102362204722" footer="0.51181102362204722"/>
  <pageSetup paperSize="9" scale="5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90BB9C9BFB574386AADBC629DAC333" ma:contentTypeVersion="12" ma:contentTypeDescription="Create a new document." ma:contentTypeScope="" ma:versionID="dd741f22f29bc6eebca60ade3d06ad16">
  <xsd:schema xmlns:xsd="http://www.w3.org/2001/XMLSchema" xmlns:xs="http://www.w3.org/2001/XMLSchema" xmlns:p="http://schemas.microsoft.com/office/2006/metadata/properties" xmlns:ns3="d5317359-fdb9-4823-99b5-955fc21c4e37" xmlns:ns4="799a573b-ecbc-4bf4-b707-6725c6bb0aa4" targetNamespace="http://schemas.microsoft.com/office/2006/metadata/properties" ma:root="true" ma:fieldsID="fe298a6030d941e11c8ab4b144da3f1d" ns3:_="" ns4:_="">
    <xsd:import namespace="d5317359-fdb9-4823-99b5-955fc21c4e37"/>
    <xsd:import namespace="799a573b-ecbc-4bf4-b707-6725c6bb0aa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LengthInSecond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317359-fdb9-4823-99b5-955fc21c4e3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9a573b-ecbc-4bf4-b707-6725c6bb0a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2C6C93-B2DE-41B4-970E-A94CFC1D87A0}"/>
</file>

<file path=customXml/itemProps2.xml><?xml version="1.0" encoding="utf-8"?>
<ds:datastoreItem xmlns:ds="http://schemas.openxmlformats.org/officeDocument/2006/customXml" ds:itemID="{A037CDE2-D5BC-49CB-96AF-63A64E432536}"/>
</file>

<file path=customXml/itemProps3.xml><?xml version="1.0" encoding="utf-8"?>
<ds:datastoreItem xmlns:ds="http://schemas.openxmlformats.org/officeDocument/2006/customXml" ds:itemID="{1A0D4E79-EE94-4E93-A89B-10AAB9ADF9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Luan Lucio da Silva</cp:lastModifiedBy>
  <cp:revision/>
  <dcterms:created xsi:type="dcterms:W3CDTF">2020-03-24T19:39:58Z</dcterms:created>
  <dcterms:modified xsi:type="dcterms:W3CDTF">2022-12-12T17:39:03Z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0x010100EB90BB9C9BFB574386AADBC629DAC333</vt:lpwstr>
  </property>
</Properties>
</file>