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A7032BE3-F17E-4C9E-935A-A96404D4B4F8}" xr6:coauthVersionLast="36" xr6:coauthVersionMax="36" xr10:uidLastSave="{00000000-0000-0000-0000-000000000000}"/>
  <bookViews>
    <workbookView xWindow="0" yWindow="0" windowWidth="28800" windowHeight="12330" activeTab="3" xr2:uid="{00000000-000D-0000-FFFF-FFFF00000000}"/>
  </bookViews>
  <sheets>
    <sheet name="DIURNO DF" sheetId="8" r:id="rId1"/>
    <sheet name="NOTURNO DF" sheetId="7" r:id="rId2"/>
    <sheet name="INSUMOS" sheetId="5" r:id="rId3"/>
    <sheet name="RESUMO" sheetId="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9" i="7" l="1"/>
  <c r="C121" i="7" l="1"/>
  <c r="C119" i="8"/>
  <c r="C151" i="8" l="1"/>
  <c r="C136" i="8"/>
  <c r="C135" i="8"/>
  <c r="C134" i="8"/>
  <c r="C138" i="8" s="1"/>
  <c r="C72" i="8"/>
  <c r="C63" i="8"/>
  <c r="C65" i="8" s="1"/>
  <c r="C35" i="8"/>
  <c r="C71" i="8" s="1"/>
  <c r="C76" i="8" s="1"/>
  <c r="C84" i="8" s="1"/>
  <c r="C138" i="7"/>
  <c r="C137" i="7"/>
  <c r="C136" i="7"/>
  <c r="C140" i="7" s="1"/>
  <c r="C74" i="7"/>
  <c r="C65" i="7"/>
  <c r="C67" i="7" s="1"/>
  <c r="C36" i="7"/>
  <c r="C73" i="7" s="1"/>
  <c r="C36" i="8" l="1"/>
  <c r="C39" i="8" s="1"/>
  <c r="C49" i="8" s="1"/>
  <c r="D61" i="8"/>
  <c r="C48" i="8"/>
  <c r="C47" i="8"/>
  <c r="C158" i="8"/>
  <c r="C162" i="8"/>
  <c r="C78" i="7"/>
  <c r="C86" i="7" s="1"/>
  <c r="C164" i="7"/>
  <c r="C37" i="7"/>
  <c r="C50" i="8" l="1"/>
  <c r="C112" i="8"/>
  <c r="C111" i="8"/>
  <c r="C107" i="8"/>
  <c r="C110" i="8"/>
  <c r="C109" i="8"/>
  <c r="C108" i="8"/>
  <c r="C95" i="8"/>
  <c r="C98" i="8" s="1"/>
  <c r="C96" i="8"/>
  <c r="C93" i="8"/>
  <c r="C91" i="8"/>
  <c r="C92" i="8"/>
  <c r="C94" i="8" s="1"/>
  <c r="C97" i="8"/>
  <c r="D64" i="8"/>
  <c r="D58" i="8"/>
  <c r="D59" i="8"/>
  <c r="C82" i="8"/>
  <c r="D56" i="8"/>
  <c r="D62" i="8"/>
  <c r="C39" i="7"/>
  <c r="C113" i="8" l="1"/>
  <c r="D60" i="8"/>
  <c r="D57" i="8"/>
  <c r="C99" i="8"/>
  <c r="C160" i="8" s="1"/>
  <c r="D63" i="8"/>
  <c r="D65" i="8" s="1"/>
  <c r="C83" i="8" s="1"/>
  <c r="C85" i="8" s="1"/>
  <c r="C41" i="7"/>
  <c r="C111" i="7" l="1"/>
  <c r="C110" i="7"/>
  <c r="C109" i="7"/>
  <c r="C113" i="7"/>
  <c r="C114" i="7"/>
  <c r="C112" i="7"/>
  <c r="C159" i="8"/>
  <c r="C98" i="7"/>
  <c r="C97" i="7"/>
  <c r="C99" i="7"/>
  <c r="C94" i="7"/>
  <c r="C95" i="7"/>
  <c r="C93" i="7"/>
  <c r="D63" i="7"/>
  <c r="C160" i="7"/>
  <c r="C49" i="7"/>
  <c r="C50" i="7"/>
  <c r="C51" i="7"/>
  <c r="C100" i="7" l="1"/>
  <c r="C96" i="7"/>
  <c r="C101" i="7" s="1"/>
  <c r="C52" i="7"/>
  <c r="C84" i="7" s="1"/>
  <c r="D59" i="7"/>
  <c r="C126" i="8" l="1"/>
  <c r="D62" i="7"/>
  <c r="D66" i="7"/>
  <c r="D58" i="7"/>
  <c r="D61" i="7"/>
  <c r="D60" i="7"/>
  <c r="D64" i="7"/>
  <c r="D65" i="7" l="1"/>
  <c r="D67" i="7" s="1"/>
  <c r="C85" i="7" s="1"/>
  <c r="C87" i="7" s="1"/>
  <c r="C127" i="8"/>
  <c r="C128" i="8" s="1"/>
  <c r="C120" i="8"/>
  <c r="C161" i="7"/>
  <c r="D144" i="8" l="1"/>
  <c r="D150" i="8"/>
  <c r="D151" i="8"/>
  <c r="D152" i="8" s="1"/>
  <c r="C164" i="8" s="1"/>
  <c r="D145" i="8"/>
  <c r="D148" i="8"/>
  <c r="D147" i="8"/>
  <c r="C161" i="8"/>
  <c r="C163" i="8" s="1"/>
  <c r="C165" i="8" l="1"/>
  <c r="C3" i="6" s="1"/>
  <c r="C162" i="7" l="1"/>
  <c r="C115" i="7"/>
  <c r="C128" i="7" s="1"/>
  <c r="C130" i="7" s="1"/>
  <c r="C122" i="7"/>
  <c r="D146" i="7" l="1"/>
  <c r="D150" i="7"/>
  <c r="D149" i="7"/>
  <c r="D152" i="7"/>
  <c r="D147" i="7"/>
  <c r="C163" i="7"/>
  <c r="C165" i="7" s="1"/>
  <c r="D153" i="7"/>
  <c r="D154" i="7" s="1"/>
  <c r="C166" i="7" s="1"/>
  <c r="C167" i="7" l="1"/>
  <c r="C4" i="6" s="1"/>
  <c r="E38" i="5" l="1"/>
  <c r="E37" i="5"/>
  <c r="E35" i="5"/>
  <c r="E34" i="5"/>
  <c r="E33" i="5"/>
  <c r="E32" i="5"/>
  <c r="E31" i="5"/>
  <c r="E30" i="5"/>
  <c r="E39" i="5" l="1"/>
  <c r="E40" i="5" s="1"/>
  <c r="E24" i="5"/>
  <c r="E52" i="5"/>
  <c r="E53" i="5" s="1"/>
  <c r="E54" i="5" s="1"/>
  <c r="E55" i="5" s="1"/>
  <c r="E48" i="5"/>
  <c r="E49" i="5" s="1"/>
  <c r="E50" i="5" s="1"/>
  <c r="E10" i="5"/>
  <c r="D5" i="6" l="1"/>
  <c r="E5" i="6"/>
  <c r="E44" i="5"/>
  <c r="E45" i="5" s="1"/>
  <c r="E46" i="5" s="1"/>
  <c r="E57" i="5" s="1"/>
  <c r="E23" i="5"/>
  <c r="E22" i="5"/>
  <c r="E21" i="5"/>
  <c r="E20" i="5"/>
  <c r="E19" i="5"/>
  <c r="E18" i="5"/>
  <c r="E17" i="5"/>
  <c r="E16" i="5"/>
  <c r="E9" i="5"/>
  <c r="E8" i="5"/>
  <c r="E7" i="5"/>
  <c r="E6" i="5"/>
  <c r="E5" i="5"/>
  <c r="E4" i="5"/>
  <c r="E3" i="5"/>
  <c r="E2" i="5"/>
  <c r="E11" i="5" l="1"/>
  <c r="E12" i="5" s="1"/>
  <c r="E25" i="5"/>
  <c r="E26" i="5" s="1"/>
  <c r="F4" i="6" l="1"/>
  <c r="G4" i="6" s="1"/>
  <c r="H4" i="6" s="1"/>
  <c r="F3" i="6" l="1"/>
  <c r="G3" i="6" s="1"/>
  <c r="H3" i="6" s="1"/>
  <c r="H5" i="6" s="1"/>
  <c r="G5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88" authorId="0" shapeId="0" xr:uid="{E3DE9707-2B23-48C6-A9C8-86A16D243194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2" authorId="0" shapeId="0" xr:uid="{0699EABC-92A8-4CE9-BD32-B6E58CF192DD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19" authorId="1" shapeId="0" xr:uid="{EC63F444-5445-405A-BEED-AEDE52A02885}">
      <text>
        <r>
          <rPr>
            <b/>
            <sz val="9"/>
            <color indexed="81"/>
            <rFont val="Segoe UI"/>
            <family val="2"/>
          </rPr>
          <t xml:space="preserve">MOD1/220+50% = 21,72 (valor de 1 hora intrajornada) *15
 Conforme § 4º; 38ª Cláusula CCT Sindesp
</t>
        </r>
      </text>
    </comment>
    <comment ref="C127" authorId="1" shapeId="0" xr:uid="{C7E10CF0-D5E2-4620-A191-DC94E840285F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8" authorId="0" shapeId="0" xr:uid="{FB7E5747-AD04-4AD9-B28F-777DC6DA2867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1" authorId="1" shapeId="0" xr:uid="{AAA98E6B-5F74-4DD7-9E40-B0079BEE15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9" authorId="0" shapeId="0" xr:uid="{9FEE8F53-7CE4-4BEA-862C-3AF4C3DB29AB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A90" authorId="1" shapeId="0" xr:uid="{62BDAD1B-4AFE-4751-95EF-C31CF72BAEDF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4" authorId="1" shapeId="0" xr:uid="{D3DA51FB-2B0A-4A99-9477-7273FCA64F84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B113" authorId="0" shapeId="0" xr:uid="{5DD2FA7E-8CAA-44DD-9873-75139189CA54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1" authorId="0" shapeId="0" xr:uid="{A36E105F-4FA9-4691-AB5D-2502DAF6D223}">
      <text>
        <r>
          <rPr>
            <b/>
            <sz val="9"/>
            <color indexed="81"/>
            <rFont val="Segoe UI"/>
            <family val="2"/>
          </rPr>
          <t>MOD1/220+50% = 26,43 (valor de 1 hora intrajornada) *15
 Conforme § 4º; 38ª Cláusula CCT Sindesp</t>
        </r>
      </text>
    </comment>
    <comment ref="C129" authorId="0" shapeId="0" xr:uid="{846B4B29-85AA-454F-834C-AED30745A350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40" authorId="1" shapeId="0" xr:uid="{89B02165-B3D0-4885-AAAC-7A27588ACD25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sharedStrings.xml><?xml version="1.0" encoding="utf-8"?>
<sst xmlns="http://schemas.openxmlformats.org/spreadsheetml/2006/main" count="502" uniqueCount="184">
  <si>
    <t>Total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</si>
  <si>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</si>
  <si>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</si>
  <si>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</si>
  <si>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</si>
  <si>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</si>
  <si>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</si>
  <si>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</si>
  <si>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</si>
  <si>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</si>
  <si>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</si>
  <si>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</si>
  <si>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</si>
  <si>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</si>
  <si>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</si>
  <si>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Adicional de Insalubridade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</si>
  <si>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</si>
  <si>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</si>
  <si>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</si>
  <si>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</si>
  <si>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</si>
  <si>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</si>
  <si>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</si>
  <si>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</si>
  <si>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</si>
  <si>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</si>
  <si>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</si>
  <si>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</si>
  <si>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</si>
  <si>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</si>
  <si>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</si>
  <si>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</si>
  <si>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</si>
  <si>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</si>
  <si>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</si>
  <si>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</si>
  <si>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</si>
  <si>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</si>
  <si>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</si>
  <si>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</si>
  <si>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</si>
  <si>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</si>
  <si>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</si>
  <si>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</si>
  <si>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</si>
  <si>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</si>
  <si>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</si>
  <si>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</si>
  <si>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</si>
  <si>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</si>
  <si>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</si>
  <si>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</si>
  <si>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</si>
  <si>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</si>
  <si>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</si>
  <si>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</si>
  <si>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</si>
  <si>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</si>
  <si>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</si>
  <si>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</si>
  <si>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</si>
  <si>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</si>
  <si>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</si>
  <si>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</si>
  <si>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C.1. Tributos Federais (PIS)</t>
  </si>
  <si>
    <t>C.2. Tributos Federais (COFINS)</t>
  </si>
  <si>
    <t xml:space="preserve">Férias </t>
  </si>
  <si>
    <t>Adicional de Férias</t>
  </si>
  <si>
    <t>TOTAL GPS</t>
  </si>
  <si>
    <t>Outros</t>
  </si>
  <si>
    <r>
      <t xml:space="preserve">Fundo para indenização decorrente de aposentadoria por invalidez por doença </t>
    </r>
    <r>
      <rPr>
        <b/>
        <sz val="10"/>
        <color rgb="FFFF0000"/>
        <rFont val="Calibri"/>
        <family val="2"/>
        <scheme val="minor"/>
      </rPr>
      <t>(Cláusula 17a, CCT 2022 SINDESP)</t>
    </r>
  </si>
  <si>
    <t>3.1. CUSTO DO AVISO PRÉVIO INDENIZADO</t>
  </si>
  <si>
    <t>3.2. CUSTO DO AVISO PRÉVIO TRABALHADO</t>
  </si>
  <si>
    <t>TOTAL Provisão para Rescisão</t>
  </si>
  <si>
    <t>ITEM</t>
  </si>
  <si>
    <t>UNIFORMES ANUAL POR EMPREGADO</t>
  </si>
  <si>
    <t>QTD. ANUAL</t>
  </si>
  <si>
    <t>VALOR UNITÁRIO</t>
  </si>
  <si>
    <t>TOTAL</t>
  </si>
  <si>
    <t>Cinto de Nylon</t>
  </si>
  <si>
    <t>Sapatos ou coturnos</t>
  </si>
  <si>
    <t>Meias</t>
  </si>
  <si>
    <t>Quepe ou boné com logotipo da empresa</t>
  </si>
  <si>
    <t>Jaqueta de frio ou japona</t>
  </si>
  <si>
    <t>Cinto com coldre e baleiro</t>
  </si>
  <si>
    <t>VALOR ANUAL</t>
  </si>
  <si>
    <t>CUSTO MENSAL POR EMPREGADO</t>
  </si>
  <si>
    <t>Capa de chuva COM CAPUZ</t>
  </si>
  <si>
    <t>Crachá</t>
  </si>
  <si>
    <t>Munição calibre 38</t>
  </si>
  <si>
    <t>Cassetete</t>
  </si>
  <si>
    <t>Porta cassetete</t>
  </si>
  <si>
    <t>Apito com cordão</t>
  </si>
  <si>
    <t>Lanterna elétrica</t>
  </si>
  <si>
    <t>Livro de ocorrência (manual ou informatizado)</t>
  </si>
  <si>
    <t>EQUIPAMENTO DEPRECIAÇÃO 10% a.a.</t>
  </si>
  <si>
    <t>Revolver calibre 38 (seis tiros) ou armamento superior de uso permitido</t>
  </si>
  <si>
    <t>DEPRECIAÇÃO 10% a.a.</t>
  </si>
  <si>
    <t>DESCRIÇÃO / ESPECIFICAÇÕES</t>
  </si>
  <si>
    <t>QUANTIDADE DE TRABALHADORES</t>
  </si>
  <si>
    <t>VALOR MENSAL PREVISTO</t>
  </si>
  <si>
    <t xml:space="preserve">VALOR ANUAL </t>
  </si>
  <si>
    <t>Posto de Vigilância Armada diurno – 12x36 horas</t>
  </si>
  <si>
    <t>Posto de Vigilância Armada noturno – 12x36 horas</t>
  </si>
  <si>
    <t>QUANTIDADE DE POSTOS</t>
  </si>
  <si>
    <t>VALOR MENSAL POR EMPREGADO</t>
  </si>
  <si>
    <t xml:space="preserve">VALOR MENSAL POR POSTO </t>
  </si>
  <si>
    <t>Redação dada pela Instrução Normativa nº 7, de 2018</t>
  </si>
  <si>
    <t xml:space="preserve">PLANILHA DE CUSTOS E FORMAÇÃO DE PREÇOS - SR/PF/DF </t>
  </si>
  <si>
    <t>Nº PROCESSO: 08280.004369/2022-18</t>
  </si>
  <si>
    <t>Discriminação dos Serviços (dados referentes à contratação)</t>
  </si>
  <si>
    <t>Data da apresentação da proposta (dia/mês/ano)</t>
  </si>
  <si>
    <t>___/____/2022</t>
  </si>
  <si>
    <t>Município / UF</t>
  </si>
  <si>
    <t>BRASÍLIA DF</t>
  </si>
  <si>
    <t>Ano Acordo, Convenção ou Sentença Normativa em Dissídio Coletivo</t>
  </si>
  <si>
    <t>SINDESP-DF 2022</t>
  </si>
  <si>
    <t>Nº de meses de execução contratual</t>
  </si>
  <si>
    <t>Tipo de Serviço</t>
  </si>
  <si>
    <t>POSTO DE VIGILÂNCIA ARMADA NOTURNO 12X36 HORAS</t>
  </si>
  <si>
    <t>Unidade de medida</t>
  </si>
  <si>
    <t>POSTO</t>
  </si>
  <si>
    <t>Quantidade total a contratar (em função da unidade de medida)</t>
  </si>
  <si>
    <t>Cargo</t>
  </si>
  <si>
    <t>VIGILANTE</t>
  </si>
  <si>
    <t>Dados complementares para composição dos custos referente à mão-de-obra</t>
  </si>
  <si>
    <t>Tipo do serviço</t>
  </si>
  <si>
    <t>VIGILÂNCIA</t>
  </si>
  <si>
    <t>Classificação Brasileira de Ocupações (CBO)</t>
  </si>
  <si>
    <t>5173-30</t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</si>
  <si>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4 CCT2022 SINDESP)</t>
    </r>
  </si>
  <si>
    <t xml:space="preserve">Categoria profissional </t>
  </si>
  <si>
    <t>Data base da categoria</t>
  </si>
  <si>
    <t>Identificação dos Serviços</t>
  </si>
  <si>
    <r>
      <t>Adicional de Periculosidade</t>
    </r>
    <r>
      <rPr>
        <b/>
        <sz val="10"/>
        <color rgb="FFFF0000"/>
        <rFont val="Calibri"/>
        <family val="2"/>
        <scheme val="minor"/>
      </rPr>
      <t xml:space="preserve"> 30% (CLÁUSULA 4 CCT2022 SINDESP)</t>
    </r>
  </si>
  <si>
    <r>
      <t xml:space="preserve">Intervalo para repouso e alimentação </t>
    </r>
    <r>
      <rPr>
        <b/>
        <sz val="10"/>
        <color rgb="FFFF0000"/>
        <rFont val="Calibri"/>
        <family val="2"/>
        <scheme val="minor"/>
      </rPr>
      <t>(CLÁUSULA 38 CCT2022 SINDESP)</t>
    </r>
  </si>
  <si>
    <r>
      <t xml:space="preserve">Intrajornada </t>
    </r>
    <r>
      <rPr>
        <b/>
        <sz val="10"/>
        <color rgb="FFFF0000"/>
        <rFont val="Calibri"/>
        <family val="2"/>
        <scheme val="minor"/>
      </rPr>
      <t>(CLÁUSULA 38 CCT2022 SINDESP)</t>
    </r>
  </si>
  <si>
    <r>
      <t xml:space="preserve">Adicional de Periculosidade </t>
    </r>
    <r>
      <rPr>
        <b/>
        <sz val="10"/>
        <color rgb="FFFF0000"/>
        <rFont val="Calibri"/>
        <family val="2"/>
        <scheme val="minor"/>
      </rPr>
      <t>30% (CLÁUSULA 4 CCT2022 SINDESP)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</si>
  <si>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12a, CCT 2022 SINDESP)</t>
    </r>
  </si>
  <si>
    <r>
      <t xml:space="preserve">Plano de Saúde </t>
    </r>
    <r>
      <rPr>
        <b/>
        <sz val="10"/>
        <color rgb="FFFF0000"/>
        <rFont val="Calibri"/>
        <family val="2"/>
        <scheme val="minor"/>
      </rPr>
      <t>(Cláusula 14a CCT2022 SINDESP)</t>
    </r>
  </si>
  <si>
    <r>
      <t xml:space="preserve">Fundo Social e Odontológico </t>
    </r>
    <r>
      <rPr>
        <b/>
        <sz val="10"/>
        <color rgb="FFFF0000"/>
        <rFont val="Calibri"/>
        <family val="2"/>
        <scheme val="minor"/>
      </rPr>
      <t>(Cláusula 16a, CCT 2022 SINDESP)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</si>
  <si>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</si>
  <si>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Brasília</t>
    </r>
  </si>
  <si>
    <r>
      <t xml:space="preserve">Salário-Base  </t>
    </r>
    <r>
      <rPr>
        <b/>
        <sz val="10"/>
        <color rgb="FFFF0000"/>
        <rFont val="Calibri"/>
        <family val="2"/>
        <scheme val="minor"/>
      </rPr>
      <t>(CLÁUSULA 4 CCT2022 SINDESP)</t>
    </r>
  </si>
  <si>
    <r>
      <t xml:space="preserve">Adicional Noturno </t>
    </r>
    <r>
      <rPr>
        <b/>
        <sz val="10"/>
        <color rgb="FFFF0000"/>
        <rFont val="Calibri"/>
        <family val="2"/>
        <scheme val="minor"/>
      </rPr>
      <t>20%</t>
    </r>
    <r>
      <rPr>
        <sz val="10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(CLÁUSULA 10 CCT2022 SINDESP)</t>
    </r>
  </si>
  <si>
    <t>CONTA-DEPÓSITO VINCULADA</t>
  </si>
  <si>
    <t>CONTA=DPÓSITO VINCULADA</t>
  </si>
  <si>
    <r>
      <rPr>
        <b/>
        <sz val="10"/>
        <color rgb="FFFF0000"/>
        <rFont val="Calibri"/>
        <family val="2"/>
        <scheme val="minor"/>
      </rPr>
      <t>IN 05/2017-MPOG.</t>
    </r>
    <r>
      <rPr>
        <sz val="10"/>
        <color rgb="FFFF0000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</si>
  <si>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>QUADRO RESUMO - PE SR/PF/DF</t>
  </si>
  <si>
    <t>COLETE À PROVA DE BALAS (NÍVEL A-II)</t>
  </si>
  <si>
    <t>CAPA COLETE BALÍSTICO NÍVEL II-A c/ PLACA BALÍSTICA</t>
  </si>
  <si>
    <t>EQUIPAMENTO DEPRECIAÇÃO 20% a.a.</t>
  </si>
  <si>
    <t>EQUIPAMENTO DEPRECIAÇÃO 50% a.a.</t>
  </si>
  <si>
    <t>PILHA ALCALINA AA</t>
  </si>
  <si>
    <t>DEPRECIAÇÃO 20% a.a.</t>
  </si>
  <si>
    <t>DEPRECIAÇÃO 50% a.a.</t>
  </si>
  <si>
    <t>TOTAL MENSAL DOS EQUIPAMENTOS POR EMPREGADO</t>
  </si>
  <si>
    <t>Equipamentos</t>
  </si>
  <si>
    <t xml:space="preserve">Equipamentos </t>
  </si>
  <si>
    <t xml:space="preserve">RÁDIO COMUNICADOR COM BATERIAS RECARREGÁVEIS E ALCANCE MÍNIMO DE 6KM. </t>
  </si>
  <si>
    <t>PREÇO MÉDIO DE 1 PAR (R$ 588,55) / 2 = 294,27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</si>
  <si>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Brasília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5,00</t>
    </r>
  </si>
  <si>
    <t>Não incide posto diurno</t>
  </si>
  <si>
    <t>Calça cargo em brim pesado na cor preta, com zíper de qualidade e botão caseado</t>
  </si>
  <si>
    <t>Camisa, de cor lisa e bolso, de mangas compridas e curtas, composição mista de, no mínimo, 60% algodão</t>
  </si>
  <si>
    <r>
      <t xml:space="preserve">MATERIAIS - </t>
    </r>
    <r>
      <rPr>
        <b/>
        <sz val="10"/>
        <color rgb="FFFF0000"/>
        <rFont val="Calibri"/>
        <family val="2"/>
        <scheme val="minor"/>
      </rPr>
      <t>POSTO NOTURNO</t>
    </r>
  </si>
  <si>
    <r>
      <t xml:space="preserve">MATERIAIS - </t>
    </r>
    <r>
      <rPr>
        <b/>
        <sz val="10"/>
        <color rgb="FFFF0000"/>
        <rFont val="Calibri"/>
        <family val="2"/>
        <scheme val="minor"/>
      </rPr>
      <t>POSTO DIURNO</t>
    </r>
  </si>
  <si>
    <t>LICITAÇÃO Nº: 04/2022</t>
  </si>
  <si>
    <t>10.1.4. e 10.1.5. do TR</t>
  </si>
  <si>
    <t>SESSÃO PÚBLICA: ____/____/2022  às    horas (Horário de Brasília/DF)</t>
  </si>
  <si>
    <r>
      <t>Aviso Prévio Indenizado -</t>
    </r>
    <r>
      <rPr>
        <b/>
        <sz val="10"/>
        <color rgb="FFFF0000"/>
        <rFont val="Calibri"/>
        <family val="2"/>
        <scheme val="minor"/>
      </rPr>
      <t xml:space="preserve"> API</t>
    </r>
    <r>
      <rPr>
        <sz val="10"/>
        <color theme="1"/>
        <rFont val="Calibri"/>
        <family val="2"/>
        <scheme val="minor"/>
      </rPr>
      <t xml:space="preserve"> = (33 ÷ 365 x 0,20 x 100 = 1,81%)</t>
    </r>
  </si>
  <si>
    <t>Incidência do FGTS sobre aviso prévio indenizado (8% x 1,81% = 0,14%)</t>
  </si>
  <si>
    <t>Multa sobre o aviso prévio indenizado (item 14 do Anexo XII da IN 05/2017 MPDG) 3,40%</t>
  </si>
  <si>
    <r>
      <t xml:space="preserve">Aviso prévio trabalhado </t>
    </r>
    <r>
      <rPr>
        <b/>
        <sz val="10"/>
        <rFont val="Calibri"/>
        <family val="2"/>
        <scheme val="minor"/>
      </rPr>
      <t>APT</t>
    </r>
    <r>
      <rPr>
        <sz val="10"/>
        <rFont val="Calibri"/>
        <family val="2"/>
        <scheme val="minor"/>
      </rPr>
      <t xml:space="preserve"> (07 ÷ 30 ÷ 12 x 0,15 x 100 = 0,29%) 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</si>
  <si>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Incidência dos encargos do submódulo 2.2 sobre o aviso prévio trabalhado (36,80% x 0,29% = 0,11%)</t>
  </si>
  <si>
    <t>Terço constitucional de férias e 13º salário do ferista ((3,03% +8,33%) ÷ 12 = 0,95%)</t>
  </si>
  <si>
    <t>Ausências legais e ausências por doença ((07 ÷ 30 ÷ 12) + (07 ÷30 ÷ 12) x 100 = 3,88%)</t>
  </si>
  <si>
    <t>Licença paternidade ((5 ÷ 30) ÷ 12 x 0,075 x 100 = 0,10%)</t>
  </si>
  <si>
    <t>Ausência por acidente de trabalho (15 ÷ 30 ÷ 12 x 0,10 x 100 =0,42%)</t>
  </si>
  <si>
    <t>Afastamento maternidade ((1 ÷ 12 x 4) + (1,33 ÷ 12 x 4)) ÷ 12 x0,0025 x 100 = 0,02%)</t>
  </si>
  <si>
    <t>Incidência do submódulo 2.2 sobre o submódulo 2.1 e sobre as alíneas A, B, C, D e E do submódulo 4.1</t>
  </si>
  <si>
    <t>POSTO DE VIGILÂNCIA ARMADA DIURNO 12X36 HORAS</t>
  </si>
  <si>
    <t>Comprovar. Item 10.1.8. E 10.1.8. TR</t>
  </si>
  <si>
    <t>LUCRO REAL, COMPROVAR. 10.1.4. e 10.1.5. do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</si>
</sst>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0.0000%"/>
    <numFmt numFmtId="167" formatCode="_-&quot;R$ &quot;* #,##0.00_-;&quot;-R$ &quot;* #,##0.00_-;_-&quot;R$ &quot;* \-??_-;_-@_-"/>
    <numFmt numFmtId="168" formatCode="&quot;R$ &quot;#,##0.00"/>
    <numFmt numFmtId="169" formatCode="d/m/yyyy"/>
    <numFmt numFmtId="170" formatCode="0.0%"/>
    <numFmt numFmtId="171" formatCode="#,##0.00_ ;\-#,##0.0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555555"/>
      <name val="Calibri"/>
      <family val="2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</font>
    <font>
      <b/>
      <sz val="8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21" fillId="0" borderId="12" xfId="0" applyFont="1" applyBorder="1" applyAlignment="1" applyProtection="1">
      <alignment wrapText="1"/>
    </xf>
    <xf numFmtId="0" fontId="24" fillId="0" borderId="12" xfId="0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justify" vertical="center"/>
    </xf>
    <xf numFmtId="0" fontId="25" fillId="0" borderId="12" xfId="0" applyFont="1" applyBorder="1" applyAlignment="1">
      <alignment horizontal="center"/>
    </xf>
    <xf numFmtId="164" fontId="1" fillId="0" borderId="12" xfId="52" applyBorder="1"/>
    <xf numFmtId="164" fontId="28" fillId="37" borderId="12" xfId="52" applyFont="1" applyFill="1" applyBorder="1"/>
    <xf numFmtId="0" fontId="26" fillId="0" borderId="12" xfId="0" applyFont="1" applyBorder="1" applyAlignment="1">
      <alignment horizontal="center" wrapText="1"/>
    </xf>
    <xf numFmtId="0" fontId="27" fillId="0" borderId="12" xfId="0" applyFont="1" applyBorder="1" applyAlignment="1"/>
    <xf numFmtId="0" fontId="25" fillId="0" borderId="0" xfId="0" applyFont="1" applyAlignment="1"/>
    <xf numFmtId="0" fontId="30" fillId="0" borderId="0" xfId="0" applyFont="1"/>
    <xf numFmtId="0" fontId="31" fillId="37" borderId="12" xfId="0" applyFont="1" applyFill="1" applyBorder="1" applyAlignment="1">
      <alignment horizontal="center" vertical="center"/>
    </xf>
    <xf numFmtId="0" fontId="32" fillId="37" borderId="12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/>
    </xf>
    <xf numFmtId="2" fontId="23" fillId="0" borderId="12" xfId="0" applyNumberFormat="1" applyFont="1" applyFill="1" applyBorder="1" applyAlignment="1" applyProtection="1">
      <alignment horizontal="center" vertical="center" wrapText="1"/>
    </xf>
    <xf numFmtId="1" fontId="23" fillId="0" borderId="12" xfId="0" applyNumberFormat="1" applyFont="1" applyBorder="1" applyAlignment="1" applyProtection="1">
      <alignment horizontal="center" vertical="center"/>
    </xf>
    <xf numFmtId="3" fontId="32" fillId="39" borderId="12" xfId="0" applyNumberFormat="1" applyFont="1" applyFill="1" applyBorder="1" applyAlignment="1" applyProtection="1">
      <alignment horizontal="center" vertical="center"/>
    </xf>
    <xf numFmtId="0" fontId="34" fillId="0" borderId="0" xfId="0" applyFont="1" applyBorder="1" applyAlignment="1">
      <alignment vertical="center" wrapText="1"/>
    </xf>
    <xf numFmtId="2" fontId="32" fillId="0" borderId="12" xfId="0" applyNumberFormat="1" applyFont="1" applyFill="1" applyBorder="1" applyAlignment="1" applyProtection="1">
      <alignment vertical="center"/>
    </xf>
    <xf numFmtId="0" fontId="37" fillId="0" borderId="0" xfId="0" applyFont="1"/>
    <xf numFmtId="0" fontId="25" fillId="40" borderId="13" xfId="0" applyFont="1" applyFill="1" applyBorder="1" applyAlignment="1" applyProtection="1"/>
    <xf numFmtId="14" fontId="38" fillId="0" borderId="12" xfId="0" applyNumberFormat="1" applyFont="1" applyFill="1" applyBorder="1" applyAlignment="1" applyProtection="1">
      <alignment horizontal="center"/>
      <protection locked="0"/>
    </xf>
    <xf numFmtId="0" fontId="22" fillId="37" borderId="12" xfId="0" applyFont="1" applyFill="1" applyBorder="1" applyAlignment="1" applyProtection="1">
      <alignment horizontal="center"/>
    </xf>
    <xf numFmtId="0" fontId="21" fillId="0" borderId="12" xfId="0" applyFont="1" applyFill="1" applyBorder="1" applyAlignment="1" applyProtection="1">
      <alignment horizontal="center"/>
      <protection locked="0"/>
    </xf>
    <xf numFmtId="0" fontId="39" fillId="0" borderId="12" xfId="0" applyFont="1" applyFill="1" applyBorder="1" applyAlignment="1" applyProtection="1">
      <alignment horizontal="center"/>
    </xf>
    <xf numFmtId="0" fontId="25" fillId="40" borderId="12" xfId="0" applyFont="1" applyFill="1" applyBorder="1" applyAlignment="1" applyProtection="1">
      <alignment horizontal="center"/>
    </xf>
    <xf numFmtId="0" fontId="22" fillId="41" borderId="12" xfId="0" applyFont="1" applyFill="1" applyBorder="1" applyAlignment="1" applyProtection="1">
      <alignment horizontal="center"/>
    </xf>
    <xf numFmtId="0" fontId="38" fillId="40" borderId="12" xfId="0" applyFont="1" applyFill="1" applyBorder="1" applyAlignment="1" applyProtection="1">
      <alignment horizontal="center"/>
    </xf>
    <xf numFmtId="0" fontId="25" fillId="0" borderId="12" xfId="0" applyFont="1" applyBorder="1" applyAlignment="1" applyProtection="1"/>
    <xf numFmtId="0" fontId="21" fillId="0" borderId="12" xfId="0" applyFont="1" applyBorder="1" applyAlignment="1" applyProtection="1">
      <alignment horizontal="center"/>
    </xf>
    <xf numFmtId="0" fontId="40" fillId="0" borderId="12" xfId="0" applyFont="1" applyBorder="1" applyAlignment="1" applyProtection="1">
      <alignment horizontal="center"/>
    </xf>
    <xf numFmtId="0" fontId="38" fillId="0" borderId="12" xfId="0" applyFont="1" applyBorder="1" applyAlignment="1" applyProtection="1">
      <alignment vertical="center" wrapText="1"/>
      <protection locked="0"/>
    </xf>
    <xf numFmtId="169" fontId="25" fillId="0" borderId="12" xfId="0" applyNumberFormat="1" applyFont="1" applyBorder="1" applyAlignment="1" applyProtection="1">
      <alignment horizontal="center"/>
    </xf>
    <xf numFmtId="0" fontId="25" fillId="40" borderId="12" xfId="0" applyFont="1" applyFill="1" applyBorder="1" applyAlignment="1" applyProtection="1"/>
    <xf numFmtId="0" fontId="21" fillId="0" borderId="13" xfId="0" applyFont="1" applyFill="1" applyBorder="1" applyAlignment="1" applyProtection="1">
      <alignment vertical="center" wrapText="1"/>
    </xf>
    <xf numFmtId="0" fontId="39" fillId="0" borderId="12" xfId="0" applyFont="1" applyFill="1" applyBorder="1" applyAlignment="1" applyProtection="1"/>
    <xf numFmtId="0" fontId="37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44" fontId="37" fillId="0" borderId="0" xfId="0" applyNumberFormat="1" applyFont="1"/>
    <xf numFmtId="166" fontId="37" fillId="0" borderId="0" xfId="0" applyNumberFormat="1" applyFont="1"/>
    <xf numFmtId="164" fontId="37" fillId="0" borderId="0" xfId="0" applyNumberFormat="1" applyFont="1"/>
    <xf numFmtId="164" fontId="37" fillId="0" borderId="0" xfId="52" applyFont="1"/>
    <xf numFmtId="0" fontId="22" fillId="0" borderId="12" xfId="0" applyFont="1" applyFill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</xf>
    <xf numFmtId="168" fontId="22" fillId="0" borderId="12" xfId="0" applyNumberFormat="1" applyFont="1" applyBorder="1" applyAlignment="1" applyProtection="1">
      <alignment horizontal="center"/>
    </xf>
    <xf numFmtId="164" fontId="22" fillId="0" borderId="0" xfId="52" applyFont="1"/>
    <xf numFmtId="0" fontId="24" fillId="0" borderId="12" xfId="0" applyFont="1" applyBorder="1" applyAlignment="1">
      <alignment vertical="center" wrapText="1"/>
    </xf>
    <xf numFmtId="0" fontId="37" fillId="0" borderId="12" xfId="0" applyFont="1" applyBorder="1" applyAlignment="1">
      <alignment vertical="center" wrapText="1"/>
    </xf>
    <xf numFmtId="10" fontId="37" fillId="0" borderId="12" xfId="1" applyNumberFormat="1" applyFont="1" applyBorder="1" applyAlignment="1">
      <alignment horizontal="center" vertical="center" wrapText="1"/>
    </xf>
    <xf numFmtId="164" fontId="37" fillId="0" borderId="12" xfId="0" applyNumberFormat="1" applyFont="1" applyBorder="1" applyAlignment="1">
      <alignment horizontal="center" vertical="center" wrapText="1"/>
    </xf>
    <xf numFmtId="10" fontId="22" fillId="0" borderId="12" xfId="1" applyNumberFormat="1" applyFont="1" applyBorder="1" applyAlignment="1">
      <alignment horizontal="center" vertical="center" wrapText="1"/>
    </xf>
    <xf numFmtId="164" fontId="37" fillId="0" borderId="12" xfId="52" applyFont="1" applyBorder="1"/>
    <xf numFmtId="164" fontId="24" fillId="37" borderId="12" xfId="0" applyNumberFormat="1" applyFont="1" applyFill="1" applyBorder="1" applyAlignment="1">
      <alignment horizontal="center" vertical="center" wrapText="1"/>
    </xf>
    <xf numFmtId="164" fontId="37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vertical="center" wrapText="1"/>
    </xf>
    <xf numFmtId="164" fontId="24" fillId="36" borderId="12" xfId="0" applyNumberFormat="1" applyFont="1" applyFill="1" applyBorder="1" applyAlignment="1">
      <alignment vertical="center" wrapText="1"/>
    </xf>
    <xf numFmtId="170" fontId="22" fillId="0" borderId="12" xfId="1" applyNumberFormat="1" applyFont="1" applyBorder="1" applyAlignment="1">
      <alignment horizontal="center"/>
    </xf>
    <xf numFmtId="164" fontId="37" fillId="0" borderId="12" xfId="52" applyFont="1" applyBorder="1" applyAlignment="1">
      <alignment horizontal="center" vertical="center" wrapText="1"/>
    </xf>
    <xf numFmtId="164" fontId="24" fillId="37" borderId="12" xfId="52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justify" vertical="center" wrapText="1"/>
    </xf>
    <xf numFmtId="164" fontId="37" fillId="0" borderId="12" xfId="52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44" fontId="24" fillId="38" borderId="12" xfId="0" applyNumberFormat="1" applyFont="1" applyFill="1" applyBorder="1"/>
    <xf numFmtId="10" fontId="37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4" fillId="38" borderId="12" xfId="0" applyNumberFormat="1" applyFont="1" applyFill="1" applyBorder="1" applyAlignment="1">
      <alignment horizontal="center" vertical="center" wrapText="1"/>
    </xf>
    <xf numFmtId="164" fontId="24" fillId="38" borderId="12" xfId="52" applyFont="1" applyFill="1" applyBorder="1" applyAlignment="1">
      <alignment horizontal="center" vertical="center" wrapText="1"/>
    </xf>
    <xf numFmtId="164" fontId="40" fillId="0" borderId="12" xfId="52" applyFont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vertical="center" wrapText="1"/>
    </xf>
    <xf numFmtId="10" fontId="24" fillId="0" borderId="12" xfId="0" applyNumberFormat="1" applyFont="1" applyBorder="1" applyAlignment="1">
      <alignment horizontal="center" vertical="center" wrapText="1"/>
    </xf>
    <xf numFmtId="0" fontId="37" fillId="0" borderId="12" xfId="0" applyFont="1" applyBorder="1"/>
    <xf numFmtId="164" fontId="22" fillId="0" borderId="12" xfId="52" applyFont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27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/>
    </xf>
    <xf numFmtId="164" fontId="1" fillId="0" borderId="12" xfId="52" applyBorder="1" applyAlignment="1">
      <alignment horizontal="center"/>
    </xf>
    <xf numFmtId="164" fontId="25" fillId="0" borderId="12" xfId="0" applyNumberFormat="1" applyFont="1" applyBorder="1" applyAlignment="1">
      <alignment horizontal="center"/>
    </xf>
    <xf numFmtId="164" fontId="25" fillId="0" borderId="12" xfId="52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/>
    </xf>
    <xf numFmtId="164" fontId="26" fillId="37" borderId="12" xfId="0" applyNumberFormat="1" applyFont="1" applyFill="1" applyBorder="1" applyAlignment="1">
      <alignment horizontal="center"/>
    </xf>
    <xf numFmtId="164" fontId="25" fillId="0" borderId="12" xfId="52" applyFont="1" applyFill="1" applyBorder="1" applyAlignment="1">
      <alignment horizontal="center" vertical="center"/>
    </xf>
    <xf numFmtId="44" fontId="26" fillId="38" borderId="12" xfId="0" applyNumberFormat="1" applyFont="1" applyFill="1" applyBorder="1"/>
    <xf numFmtId="44" fontId="26" fillId="37" borderId="12" xfId="0" applyNumberFormat="1" applyFont="1" applyFill="1" applyBorder="1"/>
    <xf numFmtId="164" fontId="30" fillId="0" borderId="0" xfId="52" applyFont="1"/>
    <xf numFmtId="44" fontId="30" fillId="0" borderId="0" xfId="0" applyNumberFormat="1" applyFont="1"/>
    <xf numFmtId="171" fontId="35" fillId="0" borderId="12" xfId="52" applyNumberFormat="1" applyFont="1" applyFill="1" applyBorder="1" applyAlignment="1" applyProtection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justify" vertical="center"/>
    </xf>
    <xf numFmtId="2" fontId="30" fillId="0" borderId="0" xfId="0" applyNumberFormat="1" applyFont="1"/>
    <xf numFmtId="171" fontId="1" fillId="0" borderId="12" xfId="52" applyNumberForma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7" fillId="0" borderId="17" xfId="0" applyFont="1" applyBorder="1" applyAlignment="1">
      <alignment horizontal="justify" vertical="center"/>
    </xf>
    <xf numFmtId="0" fontId="25" fillId="0" borderId="12" xfId="0" applyFont="1" applyBorder="1" applyAlignment="1">
      <alignment horizontal="left" vertical="center"/>
    </xf>
    <xf numFmtId="44" fontId="37" fillId="0" borderId="12" xfId="0" applyNumberFormat="1" applyFont="1" applyBorder="1"/>
    <xf numFmtId="171" fontId="17" fillId="0" borderId="12" xfId="52" applyNumberFormat="1" applyFont="1" applyBorder="1" applyAlignment="1" applyProtection="1">
      <alignment horizontal="center" vertical="center"/>
    </xf>
    <xf numFmtId="171" fontId="27" fillId="0" borderId="12" xfId="52" applyNumberFormat="1" applyFont="1" applyBorder="1" applyAlignment="1">
      <alignment horizontal="center" vertical="center"/>
    </xf>
    <xf numFmtId="171" fontId="1" fillId="0" borderId="12" xfId="52" applyNumberFormat="1" applyBorder="1" applyAlignment="1">
      <alignment horizontal="center" vertical="center"/>
    </xf>
    <xf numFmtId="167" fontId="36" fillId="0" borderId="12" xfId="0" applyNumberFormat="1" applyFont="1" applyBorder="1" applyAlignment="1">
      <alignment horizontal="center"/>
    </xf>
    <xf numFmtId="164" fontId="28" fillId="37" borderId="12" xfId="52" applyFont="1" applyFill="1" applyBorder="1" applyAlignment="1">
      <alignment horizontal="center"/>
    </xf>
    <xf numFmtId="0" fontId="43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10" fontId="43" fillId="0" borderId="12" xfId="1" applyNumberFormat="1" applyFont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0" fontId="22" fillId="0" borderId="12" xfId="0" applyFont="1" applyBorder="1" applyAlignment="1" applyProtection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38" fillId="2" borderId="12" xfId="0" applyFont="1" applyFill="1" applyBorder="1" applyAlignment="1" applyProtection="1">
      <alignment horizontal="center" vertical="center"/>
    </xf>
    <xf numFmtId="0" fontId="31" fillId="42" borderId="1" xfId="0" applyFont="1" applyFill="1" applyBorder="1" applyAlignment="1">
      <alignment horizontal="center" vertical="center"/>
    </xf>
    <xf numFmtId="0" fontId="31" fillId="42" borderId="16" xfId="0" applyFont="1" applyFill="1" applyBorder="1" applyAlignment="1">
      <alignment horizontal="center" vertical="center"/>
    </xf>
    <xf numFmtId="0" fontId="31" fillId="42" borderId="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35" borderId="0" xfId="0" applyFont="1" applyFill="1" applyBorder="1" applyAlignment="1">
      <alignment horizontal="center" vertical="center"/>
    </xf>
    <xf numFmtId="0" fontId="31" fillId="36" borderId="1" xfId="0" applyFont="1" applyFill="1" applyBorder="1" applyAlignment="1">
      <alignment horizontal="center" vertical="center"/>
    </xf>
    <xf numFmtId="0" fontId="31" fillId="36" borderId="16" xfId="0" applyFont="1" applyFill="1" applyBorder="1" applyAlignment="1">
      <alignment horizontal="center" vertical="center"/>
    </xf>
    <xf numFmtId="0" fontId="31" fillId="36" borderId="2" xfId="0" applyFont="1" applyFill="1" applyBorder="1" applyAlignment="1">
      <alignment horizontal="center" vertical="center"/>
    </xf>
    <xf numFmtId="0" fontId="24" fillId="35" borderId="0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/>
    </xf>
    <xf numFmtId="0" fontId="24" fillId="38" borderId="12" xfId="0" applyFont="1" applyFill="1" applyBorder="1" applyAlignment="1">
      <alignment horizontal="center"/>
    </xf>
    <xf numFmtId="0" fontId="40" fillId="0" borderId="1" xfId="0" applyFont="1" applyBorder="1" applyAlignment="1">
      <alignment horizontal="center" wrapText="1"/>
    </xf>
    <xf numFmtId="0" fontId="40" fillId="0" borderId="16" xfId="0" applyFont="1" applyBorder="1" applyAlignment="1">
      <alignment horizontal="center" wrapText="1"/>
    </xf>
    <xf numFmtId="0" fontId="40" fillId="0" borderId="2" xfId="0" applyFont="1" applyBorder="1" applyAlignment="1">
      <alignment horizontal="center" wrapText="1"/>
    </xf>
    <xf numFmtId="0" fontId="24" fillId="2" borderId="0" xfId="0" applyFont="1" applyFill="1" applyAlignment="1">
      <alignment horizontal="center" vertical="center"/>
    </xf>
    <xf numFmtId="0" fontId="26" fillId="0" borderId="12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42" fillId="0" borderId="13" xfId="0" applyFont="1" applyBorder="1" applyAlignment="1">
      <alignment horizontal="center" vertical="center"/>
    </xf>
    <xf numFmtId="0" fontId="42" fillId="0" borderId="15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9" fillId="38" borderId="13" xfId="0" applyFont="1" applyFill="1" applyBorder="1" applyAlignment="1">
      <alignment horizontal="center"/>
    </xf>
    <xf numFmtId="0" fontId="29" fillId="38" borderId="14" xfId="0" applyFont="1" applyFill="1" applyBorder="1" applyAlignment="1">
      <alignment horizontal="center"/>
    </xf>
    <xf numFmtId="0" fontId="29" fillId="38" borderId="15" xfId="0" applyFont="1" applyFill="1" applyBorder="1" applyAlignment="1">
      <alignment horizontal="center"/>
    </xf>
    <xf numFmtId="0" fontId="24" fillId="37" borderId="13" xfId="0" applyFont="1" applyFill="1" applyBorder="1" applyAlignment="1">
      <alignment horizontal="center" vertical="center" wrapText="1"/>
    </xf>
    <xf numFmtId="0" fontId="24" fillId="37" borderId="15" xfId="0" applyFont="1" applyFill="1" applyBorder="1" applyAlignment="1">
      <alignment horizontal="center" vertical="center" wrapText="1"/>
    </xf>
    <xf numFmtId="0" fontId="24" fillId="36" borderId="1" xfId="0" applyFont="1" applyFill="1" applyBorder="1" applyAlignment="1">
      <alignment horizontal="center" vertical="center"/>
    </xf>
    <xf numFmtId="0" fontId="24" fillId="36" borderId="16" xfId="0" applyFont="1" applyFill="1" applyBorder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42" borderId="1" xfId="0" applyFont="1" applyFill="1" applyBorder="1" applyAlignment="1">
      <alignment horizontal="center" vertical="center"/>
    </xf>
    <xf numFmtId="0" fontId="24" fillId="42" borderId="16" xfId="0" applyFont="1" applyFill="1" applyBorder="1" applyAlignment="1">
      <alignment horizontal="center" vertical="center"/>
    </xf>
    <xf numFmtId="0" fontId="24" fillId="42" borderId="2" xfId="0" applyFont="1" applyFill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wrapText="1"/>
    </xf>
    <xf numFmtId="164" fontId="22" fillId="0" borderId="15" xfId="0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164" fontId="37" fillId="0" borderId="12" xfId="52" applyFont="1" applyBorder="1" applyAlignment="1">
      <alignment vertical="center"/>
    </xf>
    <xf numFmtId="171" fontId="37" fillId="0" borderId="12" xfId="52" applyNumberFormat="1" applyFont="1" applyBorder="1" applyAlignment="1">
      <alignment horizontal="center" vertical="center" wrapText="1"/>
    </xf>
    <xf numFmtId="4" fontId="37" fillId="0" borderId="12" xfId="52" applyNumberFormat="1" applyFont="1" applyBorder="1" applyAlignment="1">
      <alignment horizontal="center" vertical="center" wrapText="1"/>
    </xf>
    <xf numFmtId="4" fontId="24" fillId="37" borderId="12" xfId="52" applyNumberFormat="1" applyFont="1" applyFill="1" applyBorder="1" applyAlignment="1">
      <alignment horizontal="center" vertical="center" wrapText="1"/>
    </xf>
    <xf numFmtId="4" fontId="37" fillId="0" borderId="12" xfId="52" applyNumberFormat="1" applyFont="1" applyFill="1" applyBorder="1" applyAlignment="1">
      <alignment horizontal="center" vertical="center" wrapText="1"/>
    </xf>
    <xf numFmtId="4" fontId="24" fillId="38" borderId="12" xfId="0" applyNumberFormat="1" applyFont="1" applyFill="1" applyBorder="1"/>
    <xf numFmtId="171" fontId="22" fillId="0" borderId="15" xfId="0" applyNumberFormat="1" applyFont="1" applyBorder="1" applyAlignment="1">
      <alignment horizontal="center" vertical="center" wrapText="1"/>
    </xf>
    <xf numFmtId="171" fontId="24" fillId="37" borderId="12" xfId="0" applyNumberFormat="1" applyFont="1" applyFill="1" applyBorder="1" applyAlignment="1">
      <alignment horizontal="center" vertical="center" wrapText="1"/>
    </xf>
    <xf numFmtId="171" fontId="37" fillId="0" borderId="12" xfId="0" applyNumberFormat="1" applyFont="1" applyBorder="1" applyAlignment="1">
      <alignment vertical="center" wrapText="1"/>
    </xf>
    <xf numFmtId="171" fontId="24" fillId="0" borderId="12" xfId="0" applyNumberFormat="1" applyFont="1" applyBorder="1" applyAlignment="1">
      <alignment vertical="center" wrapText="1"/>
    </xf>
    <xf numFmtId="171" fontId="24" fillId="36" borderId="12" xfId="0" applyNumberFormat="1" applyFont="1" applyFill="1" applyBorder="1" applyAlignment="1">
      <alignment vertical="center" wrapText="1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8A200-1D37-43EE-A712-2DFA51D3E0EB}">
  <sheetPr>
    <pageSetUpPr fitToPage="1"/>
  </sheetPr>
  <dimension ref="A1:F167"/>
  <sheetViews>
    <sheetView showGridLines="0" topLeftCell="A112" zoomScale="115" zoomScaleNormal="115" workbookViewId="0">
      <selection activeCell="C126" sqref="C126"/>
    </sheetView>
  </sheetViews>
  <sheetFormatPr defaultColWidth="9.1796875" defaultRowHeight="13" x14ac:dyDescent="0.3"/>
  <cols>
    <col min="1" max="1" width="9.1796875" style="22"/>
    <col min="2" max="2" width="72.1796875" style="22" customWidth="1"/>
    <col min="3" max="3" width="18" style="22" customWidth="1"/>
    <col min="4" max="4" width="15.26953125" style="22" bestFit="1" customWidth="1"/>
    <col min="5" max="5" width="14.7265625" style="22" customWidth="1"/>
    <col min="6" max="6" width="12" style="22" customWidth="1"/>
    <col min="7" max="7" width="15.1796875" style="22" customWidth="1"/>
    <col min="8" max="16384" width="9.1796875" style="22"/>
  </cols>
  <sheetData>
    <row r="1" spans="1:3" x14ac:dyDescent="0.3">
      <c r="A1" s="112" t="s">
        <v>107</v>
      </c>
      <c r="B1" s="112"/>
      <c r="C1" s="112"/>
    </row>
    <row r="2" spans="1:3" x14ac:dyDescent="0.3">
      <c r="A2" s="113" t="s">
        <v>108</v>
      </c>
      <c r="B2" s="113"/>
      <c r="C2" s="113"/>
    </row>
    <row r="3" spans="1:3" x14ac:dyDescent="0.3">
      <c r="A3" s="75"/>
      <c r="B3" s="75"/>
      <c r="C3" s="75"/>
    </row>
    <row r="4" spans="1:3" x14ac:dyDescent="0.3">
      <c r="A4" s="110" t="s">
        <v>109</v>
      </c>
      <c r="B4" s="110"/>
      <c r="C4" s="110"/>
    </row>
    <row r="5" spans="1:3" x14ac:dyDescent="0.3">
      <c r="A5" s="111" t="s">
        <v>167</v>
      </c>
      <c r="B5" s="111"/>
      <c r="C5" s="111"/>
    </row>
    <row r="6" spans="1:3" x14ac:dyDescent="0.3">
      <c r="A6" s="110" t="s">
        <v>169</v>
      </c>
      <c r="B6" s="110"/>
      <c r="C6" s="110"/>
    </row>
    <row r="10" spans="1:3" x14ac:dyDescent="0.3">
      <c r="A10" s="109" t="s">
        <v>110</v>
      </c>
      <c r="B10" s="109"/>
      <c r="C10" s="109"/>
    </row>
    <row r="11" spans="1:3" x14ac:dyDescent="0.3">
      <c r="A11" s="39" t="s">
        <v>12</v>
      </c>
      <c r="B11" s="38" t="s">
        <v>111</v>
      </c>
      <c r="C11" s="24" t="s">
        <v>112</v>
      </c>
    </row>
    <row r="12" spans="1:3" x14ac:dyDescent="0.3">
      <c r="A12" s="39" t="s">
        <v>13</v>
      </c>
      <c r="B12" s="38" t="s">
        <v>113</v>
      </c>
      <c r="C12" s="25" t="s">
        <v>114</v>
      </c>
    </row>
    <row r="13" spans="1:3" ht="15.65" customHeight="1" x14ac:dyDescent="0.3">
      <c r="A13" s="39" t="s">
        <v>14</v>
      </c>
      <c r="B13" s="38" t="s">
        <v>115</v>
      </c>
      <c r="C13" s="46" t="s">
        <v>116</v>
      </c>
    </row>
    <row r="14" spans="1:3" x14ac:dyDescent="0.3">
      <c r="A14" s="39" t="s">
        <v>16</v>
      </c>
      <c r="B14" s="38" t="s">
        <v>117</v>
      </c>
      <c r="C14" s="27">
        <v>12</v>
      </c>
    </row>
    <row r="17" spans="1:3" ht="15" customHeight="1" x14ac:dyDescent="0.3">
      <c r="A17" s="109" t="s">
        <v>133</v>
      </c>
      <c r="B17" s="109"/>
      <c r="C17" s="109"/>
    </row>
    <row r="18" spans="1:3" ht="39" x14ac:dyDescent="0.3">
      <c r="A18" s="39">
        <v>1</v>
      </c>
      <c r="B18" s="73" t="s">
        <v>118</v>
      </c>
      <c r="C18" s="107" t="s">
        <v>181</v>
      </c>
    </row>
    <row r="19" spans="1:3" ht="15" customHeight="1" x14ac:dyDescent="0.3">
      <c r="A19" s="39">
        <v>2</v>
      </c>
      <c r="B19" s="36" t="s">
        <v>120</v>
      </c>
      <c r="C19" s="28" t="s">
        <v>121</v>
      </c>
    </row>
    <row r="20" spans="1:3" ht="15" customHeight="1" x14ac:dyDescent="0.3">
      <c r="A20" s="39">
        <v>3</v>
      </c>
      <c r="B20" s="36" t="s">
        <v>122</v>
      </c>
      <c r="C20" s="29">
        <v>2</v>
      </c>
    </row>
    <row r="21" spans="1:3" ht="15" customHeight="1" x14ac:dyDescent="0.3">
      <c r="A21" s="39">
        <v>4</v>
      </c>
      <c r="B21" s="36" t="s">
        <v>123</v>
      </c>
      <c r="C21" s="30" t="s">
        <v>124</v>
      </c>
    </row>
    <row r="23" spans="1:3" ht="15" customHeight="1" x14ac:dyDescent="0.3"/>
    <row r="24" spans="1:3" ht="15" customHeight="1" x14ac:dyDescent="0.3">
      <c r="A24" s="109" t="s">
        <v>125</v>
      </c>
      <c r="B24" s="109"/>
      <c r="C24" s="109"/>
    </row>
    <row r="25" spans="1:3" ht="15" customHeight="1" x14ac:dyDescent="0.3">
      <c r="A25" s="39">
        <v>1</v>
      </c>
      <c r="B25" s="31" t="s">
        <v>126</v>
      </c>
      <c r="C25" s="32" t="s">
        <v>127</v>
      </c>
    </row>
    <row r="26" spans="1:3" ht="15" customHeight="1" x14ac:dyDescent="0.3">
      <c r="A26" s="39">
        <v>2</v>
      </c>
      <c r="B26" s="31" t="s">
        <v>128</v>
      </c>
      <c r="C26" s="47" t="s">
        <v>129</v>
      </c>
    </row>
    <row r="27" spans="1:3" ht="15" customHeight="1" x14ac:dyDescent="0.3">
      <c r="A27" s="39">
        <v>3</v>
      </c>
      <c r="B27" s="34" t="s">
        <v>130</v>
      </c>
      <c r="C27" s="48">
        <v>2450.39</v>
      </c>
    </row>
    <row r="28" spans="1:3" ht="15" customHeight="1" x14ac:dyDescent="0.3">
      <c r="A28" s="39">
        <v>4</v>
      </c>
      <c r="B28" s="31" t="s">
        <v>131</v>
      </c>
      <c r="C28" s="30" t="s">
        <v>124</v>
      </c>
    </row>
    <row r="29" spans="1:3" ht="15" customHeight="1" x14ac:dyDescent="0.3">
      <c r="A29" s="39">
        <v>5</v>
      </c>
      <c r="B29" s="31" t="s">
        <v>132</v>
      </c>
      <c r="C29" s="35">
        <v>44562</v>
      </c>
    </row>
    <row r="31" spans="1:3" ht="13.5" thickBot="1" x14ac:dyDescent="0.35"/>
    <row r="32" spans="1:3" ht="16" thickBot="1" x14ac:dyDescent="0.35">
      <c r="A32" s="119" t="s">
        <v>9</v>
      </c>
      <c r="B32" s="120"/>
      <c r="C32" s="121"/>
    </row>
    <row r="34" spans="1:3" x14ac:dyDescent="0.3">
      <c r="A34" s="105">
        <v>1</v>
      </c>
      <c r="B34" s="105" t="s">
        <v>10</v>
      </c>
      <c r="C34" s="105" t="s">
        <v>11</v>
      </c>
    </row>
    <row r="35" spans="1:3" x14ac:dyDescent="0.3">
      <c r="A35" s="39" t="s">
        <v>12</v>
      </c>
      <c r="B35" s="51" t="s">
        <v>143</v>
      </c>
      <c r="C35" s="62">
        <f>C27</f>
        <v>2450.39</v>
      </c>
    </row>
    <row r="36" spans="1:3" x14ac:dyDescent="0.3">
      <c r="A36" s="39" t="s">
        <v>13</v>
      </c>
      <c r="B36" s="51" t="s">
        <v>137</v>
      </c>
      <c r="C36" s="62">
        <f>C35*30%</f>
        <v>735.11699999999996</v>
      </c>
    </row>
    <row r="37" spans="1:3" x14ac:dyDescent="0.3">
      <c r="A37" s="39" t="s">
        <v>14</v>
      </c>
      <c r="B37" s="51" t="s">
        <v>15</v>
      </c>
      <c r="C37" s="62"/>
    </row>
    <row r="38" spans="1:3" x14ac:dyDescent="0.3">
      <c r="A38" s="39" t="s">
        <v>17</v>
      </c>
      <c r="B38" s="51" t="s">
        <v>20</v>
      </c>
      <c r="C38" s="62"/>
    </row>
    <row r="39" spans="1:3" x14ac:dyDescent="0.3">
      <c r="A39" s="117" t="s">
        <v>0</v>
      </c>
      <c r="B39" s="117"/>
      <c r="C39" s="63">
        <f>SUM(C35:C38)</f>
        <v>3185.5069999999996</v>
      </c>
    </row>
    <row r="42" spans="1:3" x14ac:dyDescent="0.3">
      <c r="A42" s="129" t="s">
        <v>21</v>
      </c>
      <c r="B42" s="129"/>
      <c r="C42" s="129"/>
    </row>
    <row r="43" spans="1:3" x14ac:dyDescent="0.3">
      <c r="A43" s="40"/>
    </row>
    <row r="44" spans="1:3" x14ac:dyDescent="0.3">
      <c r="A44" s="118" t="s">
        <v>22</v>
      </c>
      <c r="B44" s="118"/>
      <c r="C44" s="118"/>
    </row>
    <row r="46" spans="1:3" x14ac:dyDescent="0.3">
      <c r="A46" s="105" t="s">
        <v>23</v>
      </c>
      <c r="B46" s="105" t="s">
        <v>24</v>
      </c>
      <c r="C46" s="105" t="s">
        <v>11</v>
      </c>
    </row>
    <row r="47" spans="1:3" x14ac:dyDescent="0.3">
      <c r="A47" s="39" t="s">
        <v>12</v>
      </c>
      <c r="B47" s="51" t="s">
        <v>25</v>
      </c>
      <c r="C47" s="62">
        <f>C39/12</f>
        <v>265.45891666666665</v>
      </c>
    </row>
    <row r="48" spans="1:3" x14ac:dyDescent="0.3">
      <c r="A48" s="39" t="s">
        <v>13</v>
      </c>
      <c r="B48" s="51" t="s">
        <v>66</v>
      </c>
      <c r="C48" s="62">
        <f>C39/12</f>
        <v>265.45891666666665</v>
      </c>
    </row>
    <row r="49" spans="1:5" x14ac:dyDescent="0.3">
      <c r="A49" s="39" t="s">
        <v>14</v>
      </c>
      <c r="B49" s="51" t="s">
        <v>67</v>
      </c>
      <c r="C49" s="62">
        <f>(C39/12)/3</f>
        <v>88.486305555555546</v>
      </c>
    </row>
    <row r="50" spans="1:5" x14ac:dyDescent="0.3">
      <c r="A50" s="117" t="s">
        <v>0</v>
      </c>
      <c r="B50" s="117"/>
      <c r="C50" s="63">
        <f>SUM(C47:C49)</f>
        <v>619.40413888888884</v>
      </c>
    </row>
    <row r="53" spans="1:5" ht="32.25" customHeight="1" x14ac:dyDescent="0.3">
      <c r="A53" s="122" t="s">
        <v>26</v>
      </c>
      <c r="B53" s="122"/>
      <c r="C53" s="122"/>
      <c r="D53" s="122"/>
    </row>
    <row r="55" spans="1:5" x14ac:dyDescent="0.3">
      <c r="A55" s="105" t="s">
        <v>27</v>
      </c>
      <c r="B55" s="105" t="s">
        <v>28</v>
      </c>
      <c r="C55" s="105" t="s">
        <v>29</v>
      </c>
      <c r="D55" s="105" t="s">
        <v>11</v>
      </c>
    </row>
    <row r="56" spans="1:5" x14ac:dyDescent="0.3">
      <c r="A56" s="39" t="s">
        <v>12</v>
      </c>
      <c r="B56" s="51" t="s">
        <v>30</v>
      </c>
      <c r="C56" s="68">
        <v>0.2</v>
      </c>
      <c r="D56" s="62">
        <f>(C39+C50)*C56</f>
        <v>760.98222777777778</v>
      </c>
    </row>
    <row r="57" spans="1:5" x14ac:dyDescent="0.3">
      <c r="A57" s="39" t="s">
        <v>13</v>
      </c>
      <c r="B57" s="51" t="s">
        <v>31</v>
      </c>
      <c r="C57" s="68">
        <v>2.5000000000000001E-2</v>
      </c>
      <c r="D57" s="62">
        <f>(C39+C50)*C57</f>
        <v>95.122778472222222</v>
      </c>
    </row>
    <row r="58" spans="1:5" x14ac:dyDescent="0.3">
      <c r="A58" s="39" t="s">
        <v>14</v>
      </c>
      <c r="B58" s="51" t="s">
        <v>32</v>
      </c>
      <c r="C58" s="69">
        <v>0.03</v>
      </c>
      <c r="D58" s="62">
        <f>(C39+C50)*C58</f>
        <v>114.14733416666665</v>
      </c>
      <c r="E58" s="104" t="s">
        <v>182</v>
      </c>
    </row>
    <row r="59" spans="1:5" x14ac:dyDescent="0.3">
      <c r="A59" s="39" t="s">
        <v>16</v>
      </c>
      <c r="B59" s="51" t="s">
        <v>33</v>
      </c>
      <c r="C59" s="68">
        <v>1.4999999999999999E-2</v>
      </c>
      <c r="D59" s="62">
        <f>(C39+C50)*C59</f>
        <v>57.073667083333326</v>
      </c>
    </row>
    <row r="60" spans="1:5" x14ac:dyDescent="0.3">
      <c r="A60" s="39" t="s">
        <v>17</v>
      </c>
      <c r="B60" s="51" t="s">
        <v>34</v>
      </c>
      <c r="C60" s="68">
        <v>0.01</v>
      </c>
      <c r="D60" s="62">
        <f>(C39+C50)*C60</f>
        <v>38.049111388888889</v>
      </c>
    </row>
    <row r="61" spans="1:5" x14ac:dyDescent="0.3">
      <c r="A61" s="39" t="s">
        <v>18</v>
      </c>
      <c r="B61" s="51" t="s">
        <v>1</v>
      </c>
      <c r="C61" s="68">
        <v>6.0000000000000001E-3</v>
      </c>
      <c r="D61" s="62">
        <f>(C39+C39)*C61</f>
        <v>38.226083999999993</v>
      </c>
    </row>
    <row r="62" spans="1:5" x14ac:dyDescent="0.3">
      <c r="A62" s="39" t="s">
        <v>19</v>
      </c>
      <c r="B62" s="51" t="s">
        <v>2</v>
      </c>
      <c r="C62" s="68">
        <v>2E-3</v>
      </c>
      <c r="D62" s="62">
        <f>(C39+C50)*C62</f>
        <v>7.6098222777777771</v>
      </c>
    </row>
    <row r="63" spans="1:5" x14ac:dyDescent="0.3">
      <c r="A63" s="123" t="s">
        <v>68</v>
      </c>
      <c r="B63" s="123"/>
      <c r="C63" s="70">
        <f>SUM(C56:C62)</f>
        <v>0.28800000000000003</v>
      </c>
      <c r="D63" s="71">
        <f>SUM(D56:D62)</f>
        <v>1111.2110251666663</v>
      </c>
    </row>
    <row r="64" spans="1:5" x14ac:dyDescent="0.3">
      <c r="A64" s="39" t="s">
        <v>35</v>
      </c>
      <c r="B64" s="51" t="s">
        <v>3</v>
      </c>
      <c r="C64" s="68">
        <v>0.08</v>
      </c>
      <c r="D64" s="62">
        <f>(C39+C50)*C64</f>
        <v>304.39289111111111</v>
      </c>
    </row>
    <row r="65" spans="1:5" x14ac:dyDescent="0.3">
      <c r="A65" s="117" t="s">
        <v>36</v>
      </c>
      <c r="B65" s="117"/>
      <c r="C65" s="74">
        <f>SUM(C63:C64)</f>
        <v>0.36800000000000005</v>
      </c>
      <c r="D65" s="63">
        <f>SUM(D63:D64)</f>
        <v>1415.6039162777774</v>
      </c>
    </row>
    <row r="68" spans="1:5" x14ac:dyDescent="0.3">
      <c r="A68" s="118" t="s">
        <v>37</v>
      </c>
      <c r="B68" s="118"/>
      <c r="C68" s="118"/>
    </row>
    <row r="70" spans="1:5" x14ac:dyDescent="0.3">
      <c r="A70" s="105" t="s">
        <v>38</v>
      </c>
      <c r="B70" s="105" t="s">
        <v>39</v>
      </c>
      <c r="C70" s="105" t="s">
        <v>11</v>
      </c>
    </row>
    <row r="71" spans="1:5" x14ac:dyDescent="0.3">
      <c r="A71" s="39" t="s">
        <v>12</v>
      </c>
      <c r="B71" s="51" t="s">
        <v>141</v>
      </c>
      <c r="C71" s="98">
        <f>(5.5*2*15)-(C35/100)*6</f>
        <v>17.976600000000019</v>
      </c>
      <c r="D71" s="45"/>
      <c r="E71" s="45"/>
    </row>
    <row r="72" spans="1:5" x14ac:dyDescent="0.3">
      <c r="A72" s="39" t="s">
        <v>13</v>
      </c>
      <c r="B72" s="51" t="s">
        <v>138</v>
      </c>
      <c r="C72" s="62">
        <f>(42.63*15)-(42.63*15*2%)</f>
        <v>626.66100000000006</v>
      </c>
      <c r="D72" s="42"/>
    </row>
    <row r="73" spans="1:5" x14ac:dyDescent="0.3">
      <c r="A73" s="39" t="s">
        <v>14</v>
      </c>
      <c r="B73" s="51" t="s">
        <v>139</v>
      </c>
      <c r="C73" s="62">
        <v>151.9</v>
      </c>
    </row>
    <row r="74" spans="1:5" x14ac:dyDescent="0.3">
      <c r="A74" s="39" t="s">
        <v>16</v>
      </c>
      <c r="B74" s="1" t="s">
        <v>140</v>
      </c>
      <c r="C74" s="62">
        <v>9.76</v>
      </c>
    </row>
    <row r="75" spans="1:5" ht="26" x14ac:dyDescent="0.3">
      <c r="A75" s="39" t="s">
        <v>17</v>
      </c>
      <c r="B75" s="1" t="s">
        <v>70</v>
      </c>
      <c r="C75" s="62">
        <v>15.19</v>
      </c>
    </row>
    <row r="76" spans="1:5" x14ac:dyDescent="0.3">
      <c r="A76" s="117" t="s">
        <v>0</v>
      </c>
      <c r="B76" s="117"/>
      <c r="C76" s="63">
        <f>SUM(C71:C75)</f>
        <v>821.48760000000004</v>
      </c>
    </row>
    <row r="79" spans="1:5" x14ac:dyDescent="0.3">
      <c r="A79" s="118" t="s">
        <v>40</v>
      </c>
      <c r="B79" s="118"/>
      <c r="C79" s="118"/>
    </row>
    <row r="81" spans="1:3" x14ac:dyDescent="0.3">
      <c r="A81" s="105">
        <v>2</v>
      </c>
      <c r="B81" s="105" t="s">
        <v>41</v>
      </c>
      <c r="C81" s="105" t="s">
        <v>11</v>
      </c>
    </row>
    <row r="82" spans="1:3" x14ac:dyDescent="0.3">
      <c r="A82" s="39" t="s">
        <v>23</v>
      </c>
      <c r="B82" s="51" t="s">
        <v>24</v>
      </c>
      <c r="C82" s="53">
        <f>C50</f>
        <v>619.40413888888884</v>
      </c>
    </row>
    <row r="83" spans="1:3" x14ac:dyDescent="0.3">
      <c r="A83" s="39" t="s">
        <v>27</v>
      </c>
      <c r="B83" s="51" t="s">
        <v>28</v>
      </c>
      <c r="C83" s="53">
        <f>D65</f>
        <v>1415.6039162777774</v>
      </c>
    </row>
    <row r="84" spans="1:3" x14ac:dyDescent="0.3">
      <c r="A84" s="39" t="s">
        <v>38</v>
      </c>
      <c r="B84" s="51" t="s">
        <v>39</v>
      </c>
      <c r="C84" s="53">
        <f>C76</f>
        <v>821.48760000000004</v>
      </c>
    </row>
    <row r="85" spans="1:3" x14ac:dyDescent="0.3">
      <c r="A85" s="117" t="s">
        <v>0</v>
      </c>
      <c r="B85" s="117"/>
      <c r="C85" s="56">
        <f>SUM(C82:C84)</f>
        <v>2856.4956551666664</v>
      </c>
    </row>
    <row r="86" spans="1:3" x14ac:dyDescent="0.3">
      <c r="A86" s="41"/>
    </row>
    <row r="87" spans="1:3" ht="13.5" thickBot="1" x14ac:dyDescent="0.35"/>
    <row r="88" spans="1:3" ht="13.5" thickBot="1" x14ac:dyDescent="0.35">
      <c r="A88" s="144" t="s">
        <v>42</v>
      </c>
      <c r="B88" s="145"/>
      <c r="C88" s="146"/>
    </row>
    <row r="90" spans="1:3" x14ac:dyDescent="0.3">
      <c r="A90" s="105">
        <v>3</v>
      </c>
      <c r="B90" s="105" t="s">
        <v>43</v>
      </c>
      <c r="C90" s="105" t="s">
        <v>11</v>
      </c>
    </row>
    <row r="91" spans="1:3" x14ac:dyDescent="0.3">
      <c r="A91" s="39" t="s">
        <v>12</v>
      </c>
      <c r="B91" s="64" t="s">
        <v>170</v>
      </c>
      <c r="C91" s="62">
        <f>(C39/100)*1.81</f>
        <v>57.657676699999996</v>
      </c>
    </row>
    <row r="92" spans="1:3" x14ac:dyDescent="0.3">
      <c r="A92" s="39" t="s">
        <v>13</v>
      </c>
      <c r="B92" s="64" t="s">
        <v>171</v>
      </c>
      <c r="C92" s="62">
        <f>(C39/100)*0.14</f>
        <v>4.4597097999999997</v>
      </c>
    </row>
    <row r="93" spans="1:3" x14ac:dyDescent="0.3">
      <c r="A93" s="39" t="s">
        <v>14</v>
      </c>
      <c r="B93" s="64" t="s">
        <v>172</v>
      </c>
      <c r="C93" s="62">
        <f>(C39/100)*3.4</f>
        <v>108.30723799999998</v>
      </c>
    </row>
    <row r="94" spans="1:3" x14ac:dyDescent="0.3">
      <c r="A94" s="142" t="s">
        <v>71</v>
      </c>
      <c r="B94" s="143"/>
      <c r="C94" s="63">
        <f>SUM(C91:C93)</f>
        <v>170.42462449999999</v>
      </c>
    </row>
    <row r="95" spans="1:3" ht="32" customHeight="1" x14ac:dyDescent="0.3">
      <c r="A95" s="39" t="s">
        <v>16</v>
      </c>
      <c r="B95" s="66" t="s">
        <v>173</v>
      </c>
      <c r="C95" s="65">
        <f>(C39/100)*0.29</f>
        <v>9.2379702999999989</v>
      </c>
    </row>
    <row r="96" spans="1:3" ht="26" x14ac:dyDescent="0.3">
      <c r="A96" s="39" t="s">
        <v>17</v>
      </c>
      <c r="B96" s="64" t="s">
        <v>174</v>
      </c>
      <c r="C96" s="65">
        <f>(C39/100)*0.11</f>
        <v>3.5040576999999997</v>
      </c>
    </row>
    <row r="97" spans="1:4" x14ac:dyDescent="0.3">
      <c r="A97" s="39" t="s">
        <v>18</v>
      </c>
      <c r="B97" s="64" t="s">
        <v>44</v>
      </c>
      <c r="C97" s="65">
        <f>(C39/100)*0.6</f>
        <v>19.113041999999997</v>
      </c>
    </row>
    <row r="98" spans="1:4" x14ac:dyDescent="0.3">
      <c r="A98" s="142" t="s">
        <v>72</v>
      </c>
      <c r="B98" s="143"/>
      <c r="C98" s="63">
        <f>SUM(C95:C97)</f>
        <v>31.855069999999994</v>
      </c>
    </row>
    <row r="99" spans="1:4" x14ac:dyDescent="0.3">
      <c r="A99" s="125" t="s">
        <v>73</v>
      </c>
      <c r="B99" s="125"/>
      <c r="C99" s="67">
        <f>C94+C98</f>
        <v>202.27969449999998</v>
      </c>
    </row>
    <row r="101" spans="1:4" ht="13.5" thickBot="1" x14ac:dyDescent="0.35"/>
    <row r="102" spans="1:4" ht="16" thickBot="1" x14ac:dyDescent="0.35">
      <c r="A102" s="119" t="s">
        <v>45</v>
      </c>
      <c r="B102" s="120"/>
      <c r="C102" s="121"/>
    </row>
    <row r="104" spans="1:4" x14ac:dyDescent="0.3">
      <c r="A104" s="118" t="s">
        <v>46</v>
      </c>
      <c r="B104" s="118"/>
      <c r="C104" s="118"/>
    </row>
    <row r="105" spans="1:4" x14ac:dyDescent="0.3">
      <c r="A105" s="40"/>
    </row>
    <row r="106" spans="1:4" x14ac:dyDescent="0.3">
      <c r="A106" s="105" t="s">
        <v>47</v>
      </c>
      <c r="B106" s="152" t="s">
        <v>48</v>
      </c>
      <c r="C106" s="105" t="s">
        <v>11</v>
      </c>
    </row>
    <row r="107" spans="1:4" x14ac:dyDescent="0.3">
      <c r="A107" s="150" t="s">
        <v>12</v>
      </c>
      <c r="B107" s="51" t="s">
        <v>175</v>
      </c>
      <c r="C107" s="151">
        <f>(C39/100)*0.95</f>
        <v>30.262316499999997</v>
      </c>
      <c r="D107" s="45"/>
    </row>
    <row r="108" spans="1:4" x14ac:dyDescent="0.3">
      <c r="A108" s="150" t="s">
        <v>13</v>
      </c>
      <c r="B108" s="51" t="s">
        <v>176</v>
      </c>
      <c r="C108" s="151">
        <f>(C39/100)*3.88</f>
        <v>123.59767159999998</v>
      </c>
      <c r="D108" s="44"/>
    </row>
    <row r="109" spans="1:4" x14ac:dyDescent="0.3">
      <c r="A109" s="150" t="s">
        <v>14</v>
      </c>
      <c r="B109" s="51" t="s">
        <v>177</v>
      </c>
      <c r="C109" s="151">
        <f>(C39/100)*0.1</f>
        <v>3.1855069999999999</v>
      </c>
    </row>
    <row r="110" spans="1:4" x14ac:dyDescent="0.3">
      <c r="A110" s="150" t="s">
        <v>16</v>
      </c>
      <c r="B110" s="51" t="s">
        <v>178</v>
      </c>
      <c r="C110" s="151">
        <f>(C39/100)*0.42</f>
        <v>13.379129399999998</v>
      </c>
    </row>
    <row r="111" spans="1:4" x14ac:dyDescent="0.3">
      <c r="A111" s="150" t="s">
        <v>17</v>
      </c>
      <c r="B111" s="51" t="s">
        <v>179</v>
      </c>
      <c r="C111" s="151">
        <f>(C39/100)*0.02</f>
        <v>0.63710139999999993</v>
      </c>
    </row>
    <row r="112" spans="1:4" ht="26" x14ac:dyDescent="0.3">
      <c r="A112" s="150" t="s">
        <v>18</v>
      </c>
      <c r="B112" s="51" t="s">
        <v>180</v>
      </c>
      <c r="C112" s="151">
        <f>(C39/100)*9.49</f>
        <v>302.30461429999997</v>
      </c>
    </row>
    <row r="113" spans="1:6" x14ac:dyDescent="0.3">
      <c r="A113" s="117" t="s">
        <v>36</v>
      </c>
      <c r="B113" s="153"/>
      <c r="C113" s="56">
        <f>SUM(C107:C112)</f>
        <v>473.36634019999997</v>
      </c>
    </row>
    <row r="116" spans="1:6" x14ac:dyDescent="0.3">
      <c r="A116" s="118" t="s">
        <v>49</v>
      </c>
      <c r="B116" s="118"/>
      <c r="C116" s="118"/>
      <c r="D116" s="42"/>
      <c r="E116" s="42"/>
    </row>
    <row r="117" spans="1:6" x14ac:dyDescent="0.3">
      <c r="A117" s="40"/>
    </row>
    <row r="118" spans="1:6" x14ac:dyDescent="0.3">
      <c r="A118" s="105" t="s">
        <v>50</v>
      </c>
      <c r="B118" s="105" t="s">
        <v>51</v>
      </c>
      <c r="C118" s="105" t="s">
        <v>11</v>
      </c>
    </row>
    <row r="119" spans="1:6" x14ac:dyDescent="0.3">
      <c r="A119" s="39" t="s">
        <v>12</v>
      </c>
      <c r="B119" s="51" t="s">
        <v>135</v>
      </c>
      <c r="C119" s="62">
        <f>21.72*15</f>
        <v>325.79999999999995</v>
      </c>
      <c r="D119" s="45"/>
      <c r="E119" s="42"/>
      <c r="F119" s="45"/>
    </row>
    <row r="120" spans="1:6" x14ac:dyDescent="0.3">
      <c r="A120" s="117" t="s">
        <v>0</v>
      </c>
      <c r="B120" s="117"/>
      <c r="C120" s="63">
        <f>C119</f>
        <v>325.79999999999995</v>
      </c>
    </row>
    <row r="123" spans="1:6" x14ac:dyDescent="0.3">
      <c r="A123" s="118" t="s">
        <v>52</v>
      </c>
      <c r="B123" s="118"/>
      <c r="C123" s="118"/>
    </row>
    <row r="124" spans="1:6" x14ac:dyDescent="0.3">
      <c r="A124" s="40"/>
    </row>
    <row r="125" spans="1:6" x14ac:dyDescent="0.3">
      <c r="A125" s="105">
        <v>4</v>
      </c>
      <c r="B125" s="106" t="s">
        <v>53</v>
      </c>
      <c r="C125" s="105" t="s">
        <v>11</v>
      </c>
    </row>
    <row r="126" spans="1:6" x14ac:dyDescent="0.3">
      <c r="A126" s="39" t="s">
        <v>47</v>
      </c>
      <c r="B126" s="51" t="s">
        <v>48</v>
      </c>
      <c r="C126" s="53">
        <f>C113</f>
        <v>473.36634019999997</v>
      </c>
    </row>
    <row r="127" spans="1:6" x14ac:dyDescent="0.3">
      <c r="A127" s="39" t="s">
        <v>50</v>
      </c>
      <c r="B127" s="51" t="s">
        <v>136</v>
      </c>
      <c r="C127" s="53">
        <f>C119</f>
        <v>325.79999999999995</v>
      </c>
    </row>
    <row r="128" spans="1:6" x14ac:dyDescent="0.3">
      <c r="A128" s="117" t="s">
        <v>0</v>
      </c>
      <c r="B128" s="117"/>
      <c r="C128" s="56">
        <f>SUM(C126:C127)</f>
        <v>799.16634019999992</v>
      </c>
    </row>
    <row r="130" spans="1:4" ht="13.5" thickBot="1" x14ac:dyDescent="0.35"/>
    <row r="131" spans="1:4" ht="16" thickBot="1" x14ac:dyDescent="0.35">
      <c r="A131" s="119" t="s">
        <v>54</v>
      </c>
      <c r="B131" s="120"/>
      <c r="C131" s="121"/>
    </row>
    <row r="133" spans="1:4" x14ac:dyDescent="0.3">
      <c r="A133" s="105">
        <v>5</v>
      </c>
      <c r="B133" s="50" t="s">
        <v>4</v>
      </c>
      <c r="C133" s="105" t="s">
        <v>11</v>
      </c>
    </row>
    <row r="134" spans="1:4" x14ac:dyDescent="0.3">
      <c r="A134" s="39" t="s">
        <v>12</v>
      </c>
      <c r="B134" s="51" t="s">
        <v>55</v>
      </c>
      <c r="C134" s="62">
        <f>INSUMOS!E12</f>
        <v>118.5175</v>
      </c>
    </row>
    <row r="135" spans="1:4" x14ac:dyDescent="0.3">
      <c r="A135" s="39" t="s">
        <v>13</v>
      </c>
      <c r="B135" s="51" t="s">
        <v>56</v>
      </c>
      <c r="C135" s="62">
        <f>INSUMOS!E40</f>
        <v>30.855</v>
      </c>
    </row>
    <row r="136" spans="1:4" x14ac:dyDescent="0.3">
      <c r="A136" s="39" t="s">
        <v>14</v>
      </c>
      <c r="B136" s="51" t="s">
        <v>157</v>
      </c>
      <c r="C136" s="62">
        <f>INSUMOS!E57</f>
        <v>68.890708333333336</v>
      </c>
    </row>
    <row r="137" spans="1:4" x14ac:dyDescent="0.3">
      <c r="A137" s="39" t="s">
        <v>16</v>
      </c>
      <c r="B137" s="51" t="s">
        <v>69</v>
      </c>
      <c r="C137" s="62"/>
    </row>
    <row r="138" spans="1:4" x14ac:dyDescent="0.3">
      <c r="A138" s="117" t="s">
        <v>36</v>
      </c>
      <c r="B138" s="117"/>
      <c r="C138" s="63">
        <f>SUM(C134:C137)</f>
        <v>218.26320833333335</v>
      </c>
    </row>
    <row r="140" spans="1:4" ht="13.5" thickBot="1" x14ac:dyDescent="0.35"/>
    <row r="141" spans="1:4" ht="16" thickBot="1" x14ac:dyDescent="0.35">
      <c r="A141" s="119" t="s">
        <v>57</v>
      </c>
      <c r="B141" s="120"/>
      <c r="C141" s="120"/>
      <c r="D141" s="121"/>
    </row>
    <row r="143" spans="1:4" x14ac:dyDescent="0.3">
      <c r="A143" s="105">
        <v>6</v>
      </c>
      <c r="B143" s="50" t="s">
        <v>5</v>
      </c>
      <c r="C143" s="105" t="s">
        <v>29</v>
      </c>
      <c r="D143" s="105" t="s">
        <v>11</v>
      </c>
    </row>
    <row r="144" spans="1:4" x14ac:dyDescent="0.3">
      <c r="A144" s="39" t="s">
        <v>12</v>
      </c>
      <c r="B144" s="51" t="s">
        <v>6</v>
      </c>
      <c r="C144" s="52">
        <v>0.06</v>
      </c>
      <c r="D144" s="53">
        <f>(C39+C85+C99+C128+C138)*C144</f>
        <v>435.70271389199996</v>
      </c>
    </row>
    <row r="145" spans="1:6" x14ac:dyDescent="0.3">
      <c r="A145" s="39" t="s">
        <v>13</v>
      </c>
      <c r="B145" s="51" t="s">
        <v>8</v>
      </c>
      <c r="C145" s="52">
        <v>6.7900000000000002E-2</v>
      </c>
      <c r="D145" s="53">
        <f>(C39+C85+C99+C128+C138)*C145</f>
        <v>493.07023788777997</v>
      </c>
    </row>
    <row r="146" spans="1:6" x14ac:dyDescent="0.3">
      <c r="A146" s="39" t="s">
        <v>14</v>
      </c>
      <c r="B146" s="51" t="s">
        <v>7</v>
      </c>
      <c r="C146" s="52"/>
      <c r="D146" s="53"/>
    </row>
    <row r="147" spans="1:6" x14ac:dyDescent="0.3">
      <c r="A147" s="39"/>
      <c r="B147" s="51" t="s">
        <v>64</v>
      </c>
      <c r="C147" s="108">
        <v>1.6500000000000001E-2</v>
      </c>
      <c r="D147" s="53">
        <f>(C39+C85+C99+C128+C138)*C147</f>
        <v>119.81824632029999</v>
      </c>
      <c r="E147" s="104" t="s">
        <v>183</v>
      </c>
    </row>
    <row r="148" spans="1:6" x14ac:dyDescent="0.3">
      <c r="A148" s="39"/>
      <c r="B148" s="51" t="s">
        <v>65</v>
      </c>
      <c r="C148" s="108">
        <v>7.5999999999999998E-2</v>
      </c>
      <c r="D148" s="53">
        <f>(C39+C85+C99+C128+C138)*C148</f>
        <v>551.89010426319999</v>
      </c>
      <c r="E148" s="104" t="s">
        <v>183</v>
      </c>
    </row>
    <row r="149" spans="1:6" x14ac:dyDescent="0.3">
      <c r="A149" s="39"/>
      <c r="B149" s="51" t="s">
        <v>58</v>
      </c>
      <c r="C149" s="52"/>
      <c r="D149" s="53"/>
    </row>
    <row r="150" spans="1:6" x14ac:dyDescent="0.3">
      <c r="A150" s="39"/>
      <c r="B150" s="51" t="s">
        <v>142</v>
      </c>
      <c r="C150" s="52">
        <v>0.05</v>
      </c>
      <c r="D150" s="154">
        <f>(C39+C85+C99+C128+C138)*C150</f>
        <v>363.08559491</v>
      </c>
    </row>
    <row r="151" spans="1:6" x14ac:dyDescent="0.3">
      <c r="A151" s="39"/>
      <c r="B151" s="51" t="s">
        <v>78</v>
      </c>
      <c r="C151" s="54">
        <f>SUM(C144:C150)</f>
        <v>0.27040000000000003</v>
      </c>
      <c r="D151" s="53">
        <f>(C39+C85+C99+C128+C138)*C151</f>
        <v>1963.5668972732801</v>
      </c>
      <c r="E151" s="43"/>
      <c r="F151" s="44"/>
    </row>
    <row r="152" spans="1:6" x14ac:dyDescent="0.3">
      <c r="A152" s="117" t="s">
        <v>36</v>
      </c>
      <c r="B152" s="117"/>
      <c r="C152" s="52"/>
      <c r="D152" s="56">
        <f>D151</f>
        <v>1963.5668972732801</v>
      </c>
    </row>
    <row r="154" spans="1:6" ht="13.5" thickBot="1" x14ac:dyDescent="0.35"/>
    <row r="155" spans="1:6" ht="16" thickBot="1" x14ac:dyDescent="0.35">
      <c r="A155" s="114" t="s">
        <v>59</v>
      </c>
      <c r="B155" s="115"/>
      <c r="C155" s="116"/>
    </row>
    <row r="157" spans="1:6" x14ac:dyDescent="0.3">
      <c r="A157" s="105"/>
      <c r="B157" s="105" t="s">
        <v>60</v>
      </c>
      <c r="C157" s="105" t="s">
        <v>11</v>
      </c>
    </row>
    <row r="158" spans="1:6" x14ac:dyDescent="0.3">
      <c r="A158" s="105" t="s">
        <v>12</v>
      </c>
      <c r="B158" s="51" t="s">
        <v>9</v>
      </c>
      <c r="C158" s="57">
        <f>C39</f>
        <v>3185.5069999999996</v>
      </c>
    </row>
    <row r="159" spans="1:6" x14ac:dyDescent="0.3">
      <c r="A159" s="105" t="s">
        <v>13</v>
      </c>
      <c r="B159" s="51" t="s">
        <v>21</v>
      </c>
      <c r="C159" s="57">
        <f>C85</f>
        <v>2856.4956551666664</v>
      </c>
    </row>
    <row r="160" spans="1:6" x14ac:dyDescent="0.3">
      <c r="A160" s="105" t="s">
        <v>14</v>
      </c>
      <c r="B160" s="51" t="s">
        <v>42</v>
      </c>
      <c r="C160" s="57">
        <f>C99</f>
        <v>202.27969449999998</v>
      </c>
    </row>
    <row r="161" spans="1:5" x14ac:dyDescent="0.3">
      <c r="A161" s="105" t="s">
        <v>16</v>
      </c>
      <c r="B161" s="58" t="s">
        <v>45</v>
      </c>
      <c r="C161" s="57">
        <f>C128</f>
        <v>799.16634019999992</v>
      </c>
    </row>
    <row r="162" spans="1:5" x14ac:dyDescent="0.3">
      <c r="A162" s="105" t="s">
        <v>17</v>
      </c>
      <c r="B162" s="51" t="s">
        <v>54</v>
      </c>
      <c r="C162" s="57">
        <f>C138</f>
        <v>218.26320833333335</v>
      </c>
    </row>
    <row r="163" spans="1:5" x14ac:dyDescent="0.3">
      <c r="A163" s="117" t="s">
        <v>61</v>
      </c>
      <c r="B163" s="117"/>
      <c r="C163" s="59">
        <f>SUM(C158:C162)</f>
        <v>7261.7118981999993</v>
      </c>
    </row>
    <row r="164" spans="1:5" x14ac:dyDescent="0.3">
      <c r="A164" s="105" t="s">
        <v>18</v>
      </c>
      <c r="B164" s="51" t="s">
        <v>62</v>
      </c>
      <c r="C164" s="57">
        <f>D152</f>
        <v>1963.5668972732801</v>
      </c>
    </row>
    <row r="165" spans="1:5" x14ac:dyDescent="0.3">
      <c r="A165" s="117" t="s">
        <v>63</v>
      </c>
      <c r="B165" s="117"/>
      <c r="C165" s="60">
        <f>C163+C164</f>
        <v>9225.2787954732794</v>
      </c>
    </row>
    <row r="166" spans="1:5" ht="13.5" thickBot="1" x14ac:dyDescent="0.35">
      <c r="A166" s="124" t="s">
        <v>146</v>
      </c>
      <c r="B166" s="124"/>
      <c r="C166" s="61"/>
      <c r="D166" s="49"/>
      <c r="E166" s="44"/>
    </row>
    <row r="167" spans="1:5" ht="91.25" customHeight="1" thickBot="1" x14ac:dyDescent="0.35">
      <c r="A167" s="126" t="s">
        <v>147</v>
      </c>
      <c r="B167" s="127"/>
      <c r="C167" s="128"/>
    </row>
  </sheetData>
  <mergeCells count="40">
    <mergeCell ref="A155:C155"/>
    <mergeCell ref="A163:B163"/>
    <mergeCell ref="A165:B165"/>
    <mergeCell ref="A166:B166"/>
    <mergeCell ref="A167:C167"/>
    <mergeCell ref="A123:C123"/>
    <mergeCell ref="A128:B128"/>
    <mergeCell ref="A131:C131"/>
    <mergeCell ref="A138:B138"/>
    <mergeCell ref="A141:D141"/>
    <mergeCell ref="A152:B152"/>
    <mergeCell ref="A102:C102"/>
    <mergeCell ref="A104:C104"/>
    <mergeCell ref="A113:B113"/>
    <mergeCell ref="A116:C116"/>
    <mergeCell ref="A120:B120"/>
    <mergeCell ref="A79:C79"/>
    <mergeCell ref="A85:B85"/>
    <mergeCell ref="A88:C88"/>
    <mergeCell ref="A94:B94"/>
    <mergeCell ref="A98:B98"/>
    <mergeCell ref="A99:B99"/>
    <mergeCell ref="A50:B50"/>
    <mergeCell ref="A53:D53"/>
    <mergeCell ref="A63:B63"/>
    <mergeCell ref="A65:B65"/>
    <mergeCell ref="A68:C68"/>
    <mergeCell ref="A76:B76"/>
    <mergeCell ref="A17:C17"/>
    <mergeCell ref="A24:C24"/>
    <mergeCell ref="A32:C32"/>
    <mergeCell ref="A39:B39"/>
    <mergeCell ref="A42:C42"/>
    <mergeCell ref="A44:C44"/>
    <mergeCell ref="A1:C1"/>
    <mergeCell ref="A2:C2"/>
    <mergeCell ref="A4:C4"/>
    <mergeCell ref="A5:C5"/>
    <mergeCell ref="A6:C6"/>
    <mergeCell ref="A10:C10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AF68-47F8-49E5-94BA-0DE0B28DA7ED}">
  <sheetPr>
    <pageSetUpPr fitToPage="1"/>
  </sheetPr>
  <dimension ref="A1:F172"/>
  <sheetViews>
    <sheetView showGridLines="0" topLeftCell="B154" zoomScale="115" zoomScaleNormal="115" workbookViewId="0">
      <selection activeCell="C160" sqref="C160:C167"/>
    </sheetView>
  </sheetViews>
  <sheetFormatPr defaultColWidth="9.1796875" defaultRowHeight="13" x14ac:dyDescent="0.3"/>
  <cols>
    <col min="1" max="1" width="9.1796875" style="22"/>
    <col min="2" max="2" width="72.1796875" style="22" customWidth="1"/>
    <col min="3" max="3" width="27.7265625" style="22" customWidth="1"/>
    <col min="4" max="4" width="15.26953125" style="22" bestFit="1" customWidth="1"/>
    <col min="5" max="5" width="16.26953125" style="22" customWidth="1"/>
    <col min="6" max="6" width="12" style="22" customWidth="1"/>
    <col min="7" max="7" width="15.1796875" style="22" customWidth="1"/>
    <col min="8" max="16384" width="9.1796875" style="22"/>
  </cols>
  <sheetData>
    <row r="1" spans="1:3" x14ac:dyDescent="0.3">
      <c r="A1" s="112" t="s">
        <v>107</v>
      </c>
      <c r="B1" s="112"/>
      <c r="C1" s="112"/>
    </row>
    <row r="2" spans="1:3" x14ac:dyDescent="0.3">
      <c r="A2" s="113" t="s">
        <v>108</v>
      </c>
      <c r="B2" s="113"/>
      <c r="C2" s="113"/>
    </row>
    <row r="3" spans="1:3" x14ac:dyDescent="0.3">
      <c r="A3" s="75"/>
      <c r="B3" s="75"/>
      <c r="C3" s="75"/>
    </row>
    <row r="4" spans="1:3" x14ac:dyDescent="0.3">
      <c r="A4" s="110" t="s">
        <v>109</v>
      </c>
      <c r="B4" s="110"/>
      <c r="C4" s="110"/>
    </row>
    <row r="5" spans="1:3" x14ac:dyDescent="0.3">
      <c r="A5" s="111" t="s">
        <v>167</v>
      </c>
      <c r="B5" s="111"/>
      <c r="C5" s="111"/>
    </row>
    <row r="6" spans="1:3" x14ac:dyDescent="0.3">
      <c r="A6" s="110" t="s">
        <v>169</v>
      </c>
      <c r="B6" s="110"/>
      <c r="C6" s="110"/>
    </row>
    <row r="10" spans="1:3" x14ac:dyDescent="0.3">
      <c r="A10" s="109" t="s">
        <v>110</v>
      </c>
      <c r="B10" s="109"/>
      <c r="C10" s="109"/>
    </row>
    <row r="11" spans="1:3" x14ac:dyDescent="0.3">
      <c r="A11" s="39" t="s">
        <v>12</v>
      </c>
      <c r="B11" s="38" t="s">
        <v>111</v>
      </c>
      <c r="C11" s="24" t="s">
        <v>112</v>
      </c>
    </row>
    <row r="12" spans="1:3" x14ac:dyDescent="0.3">
      <c r="A12" s="39" t="s">
        <v>13</v>
      </c>
      <c r="B12" s="38" t="s">
        <v>113</v>
      </c>
      <c r="C12" s="25" t="s">
        <v>114</v>
      </c>
    </row>
    <row r="13" spans="1:3" ht="15.65" customHeight="1" x14ac:dyDescent="0.3">
      <c r="A13" s="39" t="s">
        <v>14</v>
      </c>
      <c r="B13" s="38" t="s">
        <v>115</v>
      </c>
      <c r="C13" s="26" t="s">
        <v>116</v>
      </c>
    </row>
    <row r="14" spans="1:3" x14ac:dyDescent="0.3">
      <c r="A14" s="39" t="s">
        <v>16</v>
      </c>
      <c r="B14" s="38" t="s">
        <v>117</v>
      </c>
      <c r="C14" s="27">
        <v>12</v>
      </c>
    </row>
    <row r="17" spans="1:3" ht="15" customHeight="1" x14ac:dyDescent="0.3">
      <c r="A17" s="109" t="s">
        <v>133</v>
      </c>
      <c r="B17" s="109"/>
      <c r="C17" s="109"/>
    </row>
    <row r="18" spans="1:3" ht="26" x14ac:dyDescent="0.3">
      <c r="A18" s="39">
        <v>1</v>
      </c>
      <c r="B18" s="37" t="s">
        <v>118</v>
      </c>
      <c r="C18" s="107" t="s">
        <v>119</v>
      </c>
    </row>
    <row r="19" spans="1:3" ht="15" customHeight="1" x14ac:dyDescent="0.3">
      <c r="A19" s="39">
        <v>2</v>
      </c>
      <c r="B19" s="36" t="s">
        <v>120</v>
      </c>
      <c r="C19" s="28" t="s">
        <v>121</v>
      </c>
    </row>
    <row r="20" spans="1:3" ht="15" customHeight="1" x14ac:dyDescent="0.3">
      <c r="A20" s="39">
        <v>3</v>
      </c>
      <c r="B20" s="36" t="s">
        <v>122</v>
      </c>
      <c r="C20" s="29">
        <v>2</v>
      </c>
    </row>
    <row r="21" spans="1:3" ht="15" customHeight="1" x14ac:dyDescent="0.3">
      <c r="A21" s="39">
        <v>4</v>
      </c>
      <c r="B21" s="23" t="s">
        <v>123</v>
      </c>
      <c r="C21" s="30" t="s">
        <v>124</v>
      </c>
    </row>
    <row r="23" spans="1:3" ht="15" customHeight="1" x14ac:dyDescent="0.3"/>
    <row r="24" spans="1:3" ht="15" customHeight="1" x14ac:dyDescent="0.3">
      <c r="A24" s="109" t="s">
        <v>125</v>
      </c>
      <c r="B24" s="109"/>
      <c r="C24" s="109"/>
    </row>
    <row r="25" spans="1:3" ht="15" customHeight="1" x14ac:dyDescent="0.3">
      <c r="A25" s="39">
        <v>1</v>
      </c>
      <c r="B25" s="31" t="s">
        <v>126</v>
      </c>
      <c r="C25" s="32" t="s">
        <v>127</v>
      </c>
    </row>
    <row r="26" spans="1:3" ht="15" customHeight="1" x14ac:dyDescent="0.3">
      <c r="A26" s="39">
        <v>2</v>
      </c>
      <c r="B26" s="31" t="s">
        <v>128</v>
      </c>
      <c r="C26" s="33" t="s">
        <v>129</v>
      </c>
    </row>
    <row r="27" spans="1:3" ht="15" customHeight="1" x14ac:dyDescent="0.3">
      <c r="A27" s="39">
        <v>3</v>
      </c>
      <c r="B27" s="34" t="s">
        <v>130</v>
      </c>
      <c r="C27" s="48">
        <v>2450.39</v>
      </c>
    </row>
    <row r="28" spans="1:3" ht="15" customHeight="1" x14ac:dyDescent="0.3">
      <c r="A28" s="39">
        <v>4</v>
      </c>
      <c r="B28" s="31" t="s">
        <v>131</v>
      </c>
      <c r="C28" s="30" t="s">
        <v>124</v>
      </c>
    </row>
    <row r="29" spans="1:3" ht="15" customHeight="1" x14ac:dyDescent="0.3">
      <c r="A29" s="39">
        <v>5</v>
      </c>
      <c r="B29" s="31" t="s">
        <v>132</v>
      </c>
      <c r="C29" s="35">
        <v>44562</v>
      </c>
    </row>
    <row r="31" spans="1:3" ht="15" customHeight="1" x14ac:dyDescent="0.3"/>
    <row r="32" spans="1:3" ht="13.5" thickBot="1" x14ac:dyDescent="0.35"/>
    <row r="33" spans="1:3" ht="13.5" thickBot="1" x14ac:dyDescent="0.35">
      <c r="A33" s="144" t="s">
        <v>9</v>
      </c>
      <c r="B33" s="145"/>
      <c r="C33" s="146"/>
    </row>
    <row r="35" spans="1:3" x14ac:dyDescent="0.3">
      <c r="A35" s="105">
        <v>1</v>
      </c>
      <c r="B35" s="105" t="s">
        <v>10</v>
      </c>
      <c r="C35" s="105" t="s">
        <v>11</v>
      </c>
    </row>
    <row r="36" spans="1:3" x14ac:dyDescent="0.3">
      <c r="A36" s="39" t="s">
        <v>12</v>
      </c>
      <c r="B36" s="51" t="s">
        <v>143</v>
      </c>
      <c r="C36" s="62">
        <f>C27</f>
        <v>2450.39</v>
      </c>
    </row>
    <row r="37" spans="1:3" x14ac:dyDescent="0.3">
      <c r="A37" s="39" t="s">
        <v>13</v>
      </c>
      <c r="B37" s="51" t="s">
        <v>134</v>
      </c>
      <c r="C37" s="62">
        <f>C36*30%</f>
        <v>735.11699999999996</v>
      </c>
    </row>
    <row r="38" spans="1:3" x14ac:dyDescent="0.3">
      <c r="A38" s="39" t="s">
        <v>14</v>
      </c>
      <c r="B38" s="51" t="s">
        <v>15</v>
      </c>
      <c r="C38" s="62"/>
    </row>
    <row r="39" spans="1:3" x14ac:dyDescent="0.3">
      <c r="A39" s="39" t="s">
        <v>16</v>
      </c>
      <c r="B39" s="58" t="s">
        <v>144</v>
      </c>
      <c r="C39" s="72">
        <f>(C36+C37)*58.33%*20%</f>
        <v>371.62124661999997</v>
      </c>
    </row>
    <row r="40" spans="1:3" x14ac:dyDescent="0.3">
      <c r="A40" s="39" t="s">
        <v>17</v>
      </c>
      <c r="B40" s="51" t="s">
        <v>20</v>
      </c>
      <c r="C40" s="62"/>
    </row>
    <row r="41" spans="1:3" x14ac:dyDescent="0.3">
      <c r="A41" s="117" t="s">
        <v>0</v>
      </c>
      <c r="B41" s="117"/>
      <c r="C41" s="63">
        <f>SUM(C36:C40)</f>
        <v>3557.1282466199996</v>
      </c>
    </row>
    <row r="43" spans="1:3" ht="13.5" thickBot="1" x14ac:dyDescent="0.35"/>
    <row r="44" spans="1:3" ht="13.5" thickBot="1" x14ac:dyDescent="0.35">
      <c r="A44" s="144" t="s">
        <v>21</v>
      </c>
      <c r="B44" s="145"/>
      <c r="C44" s="146"/>
    </row>
    <row r="45" spans="1:3" x14ac:dyDescent="0.3">
      <c r="A45" s="40"/>
    </row>
    <row r="46" spans="1:3" x14ac:dyDescent="0.3">
      <c r="A46" s="118" t="s">
        <v>22</v>
      </c>
      <c r="B46" s="118"/>
      <c r="C46" s="118"/>
    </row>
    <row r="48" spans="1:3" x14ac:dyDescent="0.3">
      <c r="A48" s="105" t="s">
        <v>23</v>
      </c>
      <c r="B48" s="105" t="s">
        <v>24</v>
      </c>
      <c r="C48" s="105" t="s">
        <v>11</v>
      </c>
    </row>
    <row r="49" spans="1:5" x14ac:dyDescent="0.3">
      <c r="A49" s="39" t="s">
        <v>12</v>
      </c>
      <c r="B49" s="51" t="s">
        <v>25</v>
      </c>
      <c r="C49" s="62">
        <f>C41/12</f>
        <v>296.42735388499995</v>
      </c>
    </row>
    <row r="50" spans="1:5" x14ac:dyDescent="0.3">
      <c r="A50" s="39" t="s">
        <v>13</v>
      </c>
      <c r="B50" s="51" t="s">
        <v>66</v>
      </c>
      <c r="C50" s="62">
        <f>C41/12</f>
        <v>296.42735388499995</v>
      </c>
    </row>
    <row r="51" spans="1:5" x14ac:dyDescent="0.3">
      <c r="A51" s="39" t="s">
        <v>14</v>
      </c>
      <c r="B51" s="51" t="s">
        <v>67</v>
      </c>
      <c r="C51" s="62">
        <f>(C41/12)/3</f>
        <v>98.809117961666644</v>
      </c>
    </row>
    <row r="52" spans="1:5" x14ac:dyDescent="0.3">
      <c r="A52" s="117" t="s">
        <v>0</v>
      </c>
      <c r="B52" s="117"/>
      <c r="C52" s="63">
        <f>SUM(C49:C51)</f>
        <v>691.66382573166652</v>
      </c>
    </row>
    <row r="55" spans="1:5" ht="32.25" customHeight="1" x14ac:dyDescent="0.3">
      <c r="A55" s="122" t="s">
        <v>26</v>
      </c>
      <c r="B55" s="122"/>
      <c r="C55" s="122"/>
      <c r="D55" s="122"/>
    </row>
    <row r="57" spans="1:5" x14ac:dyDescent="0.3">
      <c r="A57" s="105" t="s">
        <v>27</v>
      </c>
      <c r="B57" s="105" t="s">
        <v>28</v>
      </c>
      <c r="C57" s="105" t="s">
        <v>29</v>
      </c>
      <c r="D57" s="105" t="s">
        <v>11</v>
      </c>
    </row>
    <row r="58" spans="1:5" x14ac:dyDescent="0.3">
      <c r="A58" s="39" t="s">
        <v>12</v>
      </c>
      <c r="B58" s="51" t="s">
        <v>30</v>
      </c>
      <c r="C58" s="68">
        <v>0.2</v>
      </c>
      <c r="D58" s="155">
        <f>(C41+C52)*C58</f>
        <v>849.75841447033326</v>
      </c>
    </row>
    <row r="59" spans="1:5" x14ac:dyDescent="0.3">
      <c r="A59" s="39" t="s">
        <v>13</v>
      </c>
      <c r="B59" s="51" t="s">
        <v>31</v>
      </c>
      <c r="C59" s="68">
        <v>2.5000000000000001E-2</v>
      </c>
      <c r="D59" s="155">
        <f>(C41+C52)*C59</f>
        <v>106.21980180879166</v>
      </c>
    </row>
    <row r="60" spans="1:5" x14ac:dyDescent="0.3">
      <c r="A60" s="39" t="s">
        <v>14</v>
      </c>
      <c r="B60" s="51" t="s">
        <v>32</v>
      </c>
      <c r="C60" s="69">
        <v>0.03</v>
      </c>
      <c r="D60" s="155">
        <f>(C41+C52)*C60</f>
        <v>127.46376217054998</v>
      </c>
      <c r="E60" s="104" t="s">
        <v>182</v>
      </c>
    </row>
    <row r="61" spans="1:5" x14ac:dyDescent="0.3">
      <c r="A61" s="39" t="s">
        <v>16</v>
      </c>
      <c r="B61" s="51" t="s">
        <v>33</v>
      </c>
      <c r="C61" s="68">
        <v>1.4999999999999999E-2</v>
      </c>
      <c r="D61" s="155">
        <f>(C41+C52)*C61</f>
        <v>63.731881085274992</v>
      </c>
    </row>
    <row r="62" spans="1:5" x14ac:dyDescent="0.3">
      <c r="A62" s="39" t="s">
        <v>17</v>
      </c>
      <c r="B62" s="51" t="s">
        <v>34</v>
      </c>
      <c r="C62" s="68">
        <v>0.01</v>
      </c>
      <c r="D62" s="155">
        <f>(C41+C52)*C62</f>
        <v>42.487920723516666</v>
      </c>
    </row>
    <row r="63" spans="1:5" x14ac:dyDescent="0.3">
      <c r="A63" s="39" t="s">
        <v>18</v>
      </c>
      <c r="B63" s="51" t="s">
        <v>1</v>
      </c>
      <c r="C63" s="68">
        <v>6.0000000000000001E-3</v>
      </c>
      <c r="D63" s="155">
        <f>(C41+C41)*C63</f>
        <v>42.685538959439995</v>
      </c>
    </row>
    <row r="64" spans="1:5" x14ac:dyDescent="0.3">
      <c r="A64" s="39" t="s">
        <v>19</v>
      </c>
      <c r="B64" s="51" t="s">
        <v>2</v>
      </c>
      <c r="C64" s="68">
        <v>2E-3</v>
      </c>
      <c r="D64" s="155">
        <f>(C41+C52)*C64</f>
        <v>8.4975841447033336</v>
      </c>
    </row>
    <row r="65" spans="1:4" x14ac:dyDescent="0.3">
      <c r="A65" s="123" t="s">
        <v>68</v>
      </c>
      <c r="B65" s="123"/>
      <c r="C65" s="70">
        <f>SUM(C58:C64)</f>
        <v>0.28800000000000003</v>
      </c>
      <c r="D65" s="71">
        <f>SUM(D58:D64)</f>
        <v>1240.84490336261</v>
      </c>
    </row>
    <row r="66" spans="1:4" x14ac:dyDescent="0.3">
      <c r="A66" s="39" t="s">
        <v>35</v>
      </c>
      <c r="B66" s="51" t="s">
        <v>3</v>
      </c>
      <c r="C66" s="68">
        <v>0.08</v>
      </c>
      <c r="D66" s="62">
        <f>(C41+C52)*C66</f>
        <v>339.90336578813333</v>
      </c>
    </row>
    <row r="67" spans="1:4" x14ac:dyDescent="0.3">
      <c r="A67" s="117" t="s">
        <v>36</v>
      </c>
      <c r="B67" s="117"/>
      <c r="C67" s="68">
        <f>SUM(C65:C66)</f>
        <v>0.36800000000000005</v>
      </c>
      <c r="D67" s="63">
        <f>SUM(D65:D66)</f>
        <v>1580.7482691507435</v>
      </c>
    </row>
    <row r="70" spans="1:4" x14ac:dyDescent="0.3">
      <c r="A70" s="118" t="s">
        <v>37</v>
      </c>
      <c r="B70" s="118"/>
      <c r="C70" s="118"/>
    </row>
    <row r="72" spans="1:4" x14ac:dyDescent="0.3">
      <c r="A72" s="105" t="s">
        <v>38</v>
      </c>
      <c r="B72" s="105" t="s">
        <v>39</v>
      </c>
      <c r="C72" s="105" t="s">
        <v>11</v>
      </c>
    </row>
    <row r="73" spans="1:4" x14ac:dyDescent="0.3">
      <c r="A73" s="39" t="s">
        <v>12</v>
      </c>
      <c r="B73" s="51" t="s">
        <v>141</v>
      </c>
      <c r="C73" s="62">
        <f>(5.5*2*15)-(C36/100)*6</f>
        <v>17.976600000000019</v>
      </c>
    </row>
    <row r="74" spans="1:4" x14ac:dyDescent="0.3">
      <c r="A74" s="39" t="s">
        <v>13</v>
      </c>
      <c r="B74" s="51" t="s">
        <v>138</v>
      </c>
      <c r="C74" s="62">
        <f>(42.63*15)-(42.63*15*2%)</f>
        <v>626.66100000000006</v>
      </c>
    </row>
    <row r="75" spans="1:4" x14ac:dyDescent="0.3">
      <c r="A75" s="39" t="s">
        <v>14</v>
      </c>
      <c r="B75" s="51" t="s">
        <v>139</v>
      </c>
      <c r="C75" s="62">
        <v>151.9</v>
      </c>
    </row>
    <row r="76" spans="1:4" x14ac:dyDescent="0.3">
      <c r="A76" s="39" t="s">
        <v>16</v>
      </c>
      <c r="B76" s="1" t="s">
        <v>140</v>
      </c>
      <c r="C76" s="62">
        <v>9.76</v>
      </c>
    </row>
    <row r="77" spans="1:4" ht="26" x14ac:dyDescent="0.3">
      <c r="A77" s="39" t="s">
        <v>17</v>
      </c>
      <c r="B77" s="1" t="s">
        <v>70</v>
      </c>
      <c r="C77" s="62">
        <v>15.19</v>
      </c>
    </row>
    <row r="78" spans="1:4" x14ac:dyDescent="0.3">
      <c r="A78" s="117" t="s">
        <v>0</v>
      </c>
      <c r="B78" s="117"/>
      <c r="C78" s="63">
        <f>SUM(C73:C77)</f>
        <v>821.48760000000004</v>
      </c>
    </row>
    <row r="81" spans="1:3" x14ac:dyDescent="0.3">
      <c r="A81" s="118" t="s">
        <v>40</v>
      </c>
      <c r="B81" s="118"/>
      <c r="C81" s="118"/>
    </row>
    <row r="83" spans="1:3" x14ac:dyDescent="0.3">
      <c r="A83" s="105">
        <v>2</v>
      </c>
      <c r="B83" s="105" t="s">
        <v>41</v>
      </c>
      <c r="C83" s="105" t="s">
        <v>11</v>
      </c>
    </row>
    <row r="84" spans="1:3" x14ac:dyDescent="0.3">
      <c r="A84" s="39" t="s">
        <v>23</v>
      </c>
      <c r="B84" s="51" t="s">
        <v>24</v>
      </c>
      <c r="C84" s="53">
        <f>C52</f>
        <v>691.66382573166652</v>
      </c>
    </row>
    <row r="85" spans="1:3" x14ac:dyDescent="0.3">
      <c r="A85" s="39" t="s">
        <v>27</v>
      </c>
      <c r="B85" s="51" t="s">
        <v>28</v>
      </c>
      <c r="C85" s="53">
        <f>D67</f>
        <v>1580.7482691507435</v>
      </c>
    </row>
    <row r="86" spans="1:3" x14ac:dyDescent="0.3">
      <c r="A86" s="39" t="s">
        <v>38</v>
      </c>
      <c r="B86" s="51" t="s">
        <v>39</v>
      </c>
      <c r="C86" s="53">
        <f>C78</f>
        <v>821.48760000000004</v>
      </c>
    </row>
    <row r="87" spans="1:3" x14ac:dyDescent="0.3">
      <c r="A87" s="117" t="s">
        <v>0</v>
      </c>
      <c r="B87" s="117"/>
      <c r="C87" s="56">
        <f>SUM(C84:C86)</f>
        <v>3093.8996948824101</v>
      </c>
    </row>
    <row r="88" spans="1:3" x14ac:dyDescent="0.3">
      <c r="A88" s="41"/>
    </row>
    <row r="89" spans="1:3" ht="13.5" thickBot="1" x14ac:dyDescent="0.35"/>
    <row r="90" spans="1:3" ht="13.5" thickBot="1" x14ac:dyDescent="0.35">
      <c r="A90" s="144" t="s">
        <v>42</v>
      </c>
      <c r="B90" s="145"/>
      <c r="C90" s="146"/>
    </row>
    <row r="92" spans="1:3" x14ac:dyDescent="0.3">
      <c r="A92" s="105">
        <v>3</v>
      </c>
      <c r="B92" s="105" t="s">
        <v>43</v>
      </c>
      <c r="C92" s="105" t="s">
        <v>11</v>
      </c>
    </row>
    <row r="93" spans="1:3" x14ac:dyDescent="0.3">
      <c r="A93" s="39" t="s">
        <v>12</v>
      </c>
      <c r="B93" s="64" t="s">
        <v>170</v>
      </c>
      <c r="C93" s="156">
        <f>(C41/100)*1.81</f>
        <v>64.384021263821992</v>
      </c>
    </row>
    <row r="94" spans="1:3" x14ac:dyDescent="0.3">
      <c r="A94" s="39" t="s">
        <v>13</v>
      </c>
      <c r="B94" s="64" t="s">
        <v>171</v>
      </c>
      <c r="C94" s="156">
        <f>(C41/100)*0.14</f>
        <v>4.9799795452679998</v>
      </c>
    </row>
    <row r="95" spans="1:3" x14ac:dyDescent="0.3">
      <c r="A95" s="39" t="s">
        <v>14</v>
      </c>
      <c r="B95" s="64" t="s">
        <v>172</v>
      </c>
      <c r="C95" s="156">
        <f>(C41/100)*3.4</f>
        <v>120.94236038507998</v>
      </c>
    </row>
    <row r="96" spans="1:3" x14ac:dyDescent="0.3">
      <c r="A96" s="142" t="s">
        <v>71</v>
      </c>
      <c r="B96" s="143"/>
      <c r="C96" s="157">
        <f>SUM(C93:C95)</f>
        <v>190.30636119416997</v>
      </c>
    </row>
    <row r="97" spans="1:4" ht="32" customHeight="1" x14ac:dyDescent="0.3">
      <c r="A97" s="39" t="s">
        <v>16</v>
      </c>
      <c r="B97" s="66" t="s">
        <v>173</v>
      </c>
      <c r="C97" s="158">
        <f>(C41/100)*0.29</f>
        <v>10.315671915197997</v>
      </c>
    </row>
    <row r="98" spans="1:4" ht="26" x14ac:dyDescent="0.3">
      <c r="A98" s="39" t="s">
        <v>17</v>
      </c>
      <c r="B98" s="64" t="s">
        <v>174</v>
      </c>
      <c r="C98" s="158">
        <f>(C41/100)*0.11</f>
        <v>3.9128410712819996</v>
      </c>
    </row>
    <row r="99" spans="1:4" x14ac:dyDescent="0.3">
      <c r="A99" s="39" t="s">
        <v>18</v>
      </c>
      <c r="B99" s="64" t="s">
        <v>44</v>
      </c>
      <c r="C99" s="158">
        <f>(C41/100)*0.6</f>
        <v>21.342769479719998</v>
      </c>
    </row>
    <row r="100" spans="1:4" x14ac:dyDescent="0.3">
      <c r="A100" s="142" t="s">
        <v>72</v>
      </c>
      <c r="B100" s="143"/>
      <c r="C100" s="157">
        <f>SUM(C97:C99)</f>
        <v>35.571282466199996</v>
      </c>
    </row>
    <row r="101" spans="1:4" x14ac:dyDescent="0.3">
      <c r="A101" s="125" t="s">
        <v>73</v>
      </c>
      <c r="B101" s="125"/>
      <c r="C101" s="159">
        <f>C96+C100</f>
        <v>225.87764366036996</v>
      </c>
    </row>
    <row r="103" spans="1:4" ht="13.5" thickBot="1" x14ac:dyDescent="0.35"/>
    <row r="104" spans="1:4" ht="13.5" thickBot="1" x14ac:dyDescent="0.35">
      <c r="A104" s="144" t="s">
        <v>45</v>
      </c>
      <c r="B104" s="145"/>
      <c r="C104" s="146"/>
    </row>
    <row r="106" spans="1:4" x14ac:dyDescent="0.3">
      <c r="A106" s="118" t="s">
        <v>46</v>
      </c>
      <c r="B106" s="118"/>
      <c r="C106" s="118"/>
    </row>
    <row r="107" spans="1:4" x14ac:dyDescent="0.3">
      <c r="A107" s="40"/>
    </row>
    <row r="108" spans="1:4" x14ac:dyDescent="0.3">
      <c r="A108" s="105" t="s">
        <v>47</v>
      </c>
      <c r="B108" s="152" t="s">
        <v>48</v>
      </c>
      <c r="C108" s="105" t="s">
        <v>11</v>
      </c>
    </row>
    <row r="109" spans="1:4" x14ac:dyDescent="0.3">
      <c r="A109" s="150" t="s">
        <v>12</v>
      </c>
      <c r="B109" s="51" t="s">
        <v>175</v>
      </c>
      <c r="C109" s="160">
        <f>(C41/100)*0.95</f>
        <v>33.792718342889998</v>
      </c>
      <c r="D109" s="45"/>
    </row>
    <row r="110" spans="1:4" x14ac:dyDescent="0.3">
      <c r="A110" s="150" t="s">
        <v>13</v>
      </c>
      <c r="B110" s="51" t="s">
        <v>176</v>
      </c>
      <c r="C110" s="160">
        <f>(C41/100)*3.88</f>
        <v>138.01657596885599</v>
      </c>
      <c r="D110" s="44"/>
    </row>
    <row r="111" spans="1:4" x14ac:dyDescent="0.3">
      <c r="A111" s="150" t="s">
        <v>14</v>
      </c>
      <c r="B111" s="51" t="s">
        <v>177</v>
      </c>
      <c r="C111" s="160">
        <f>(C41/100)*0.1</f>
        <v>3.5571282466199996</v>
      </c>
    </row>
    <row r="112" spans="1:4" x14ac:dyDescent="0.3">
      <c r="A112" s="150" t="s">
        <v>16</v>
      </c>
      <c r="B112" s="51" t="s">
        <v>178</v>
      </c>
      <c r="C112" s="160">
        <f>(C41/100)*0.42</f>
        <v>14.939938635803998</v>
      </c>
    </row>
    <row r="113" spans="1:3" x14ac:dyDescent="0.3">
      <c r="A113" s="150" t="s">
        <v>17</v>
      </c>
      <c r="B113" s="51" t="s">
        <v>179</v>
      </c>
      <c r="C113" s="160">
        <f>(C41/100)*0.02</f>
        <v>0.71142564932399999</v>
      </c>
    </row>
    <row r="114" spans="1:3" ht="26" x14ac:dyDescent="0.3">
      <c r="A114" s="150" t="s">
        <v>18</v>
      </c>
      <c r="B114" s="51" t="s">
        <v>180</v>
      </c>
      <c r="C114" s="160">
        <f>(C41/100)*9.49</f>
        <v>337.57147060423796</v>
      </c>
    </row>
    <row r="115" spans="1:3" x14ac:dyDescent="0.3">
      <c r="A115" s="117" t="s">
        <v>36</v>
      </c>
      <c r="B115" s="153"/>
      <c r="C115" s="161">
        <f>SUM(C109:C114)</f>
        <v>528.58925744773194</v>
      </c>
    </row>
    <row r="118" spans="1:3" x14ac:dyDescent="0.3">
      <c r="A118" s="118" t="s">
        <v>49</v>
      </c>
      <c r="B118" s="118"/>
      <c r="C118" s="118"/>
    </row>
    <row r="119" spans="1:3" x14ac:dyDescent="0.3">
      <c r="A119" s="40"/>
    </row>
    <row r="120" spans="1:3" x14ac:dyDescent="0.3">
      <c r="A120" s="105" t="s">
        <v>50</v>
      </c>
      <c r="B120" s="105" t="s">
        <v>51</v>
      </c>
      <c r="C120" s="105" t="s">
        <v>11</v>
      </c>
    </row>
    <row r="121" spans="1:3" x14ac:dyDescent="0.3">
      <c r="A121" s="39" t="s">
        <v>12</v>
      </c>
      <c r="B121" s="51" t="s">
        <v>135</v>
      </c>
      <c r="C121" s="62">
        <f>26.43*15</f>
        <v>396.45</v>
      </c>
    </row>
    <row r="122" spans="1:3" x14ac:dyDescent="0.3">
      <c r="A122" s="117" t="s">
        <v>0</v>
      </c>
      <c r="B122" s="117"/>
      <c r="C122" s="63">
        <f>C121</f>
        <v>396.45</v>
      </c>
    </row>
    <row r="125" spans="1:3" x14ac:dyDescent="0.3">
      <c r="A125" s="118" t="s">
        <v>52</v>
      </c>
      <c r="B125" s="118"/>
      <c r="C125" s="118"/>
    </row>
    <row r="126" spans="1:3" x14ac:dyDescent="0.3">
      <c r="A126" s="40"/>
    </row>
    <row r="127" spans="1:3" x14ac:dyDescent="0.3">
      <c r="A127" s="105">
        <v>4</v>
      </c>
      <c r="B127" s="106" t="s">
        <v>53</v>
      </c>
      <c r="C127" s="105" t="s">
        <v>11</v>
      </c>
    </row>
    <row r="128" spans="1:3" x14ac:dyDescent="0.3">
      <c r="A128" s="39" t="s">
        <v>47</v>
      </c>
      <c r="B128" s="51" t="s">
        <v>48</v>
      </c>
      <c r="C128" s="53">
        <f>C115</f>
        <v>528.58925744773194</v>
      </c>
    </row>
    <row r="129" spans="1:4" x14ac:dyDescent="0.3">
      <c r="A129" s="39" t="s">
        <v>50</v>
      </c>
      <c r="B129" s="51" t="s">
        <v>136</v>
      </c>
      <c r="C129" s="53">
        <f>C122</f>
        <v>396.45</v>
      </c>
    </row>
    <row r="130" spans="1:4" x14ac:dyDescent="0.3">
      <c r="A130" s="117" t="s">
        <v>0</v>
      </c>
      <c r="B130" s="117"/>
      <c r="C130" s="56">
        <f>SUM(C128:C129)</f>
        <v>925.03925744773187</v>
      </c>
    </row>
    <row r="132" spans="1:4" ht="13.5" thickBot="1" x14ac:dyDescent="0.35"/>
    <row r="133" spans="1:4" ht="13.5" thickBot="1" x14ac:dyDescent="0.35">
      <c r="A133" s="144" t="s">
        <v>54</v>
      </c>
      <c r="B133" s="145"/>
      <c r="C133" s="146"/>
    </row>
    <row r="135" spans="1:4" x14ac:dyDescent="0.3">
      <c r="A135" s="105">
        <v>5</v>
      </c>
      <c r="B135" s="50" t="s">
        <v>4</v>
      </c>
      <c r="C135" s="105" t="s">
        <v>11</v>
      </c>
    </row>
    <row r="136" spans="1:4" x14ac:dyDescent="0.3">
      <c r="A136" s="39" t="s">
        <v>12</v>
      </c>
      <c r="B136" s="51" t="s">
        <v>55</v>
      </c>
      <c r="C136" s="62">
        <f>INSUMOS!E12</f>
        <v>118.5175</v>
      </c>
    </row>
    <row r="137" spans="1:4" x14ac:dyDescent="0.3">
      <c r="A137" s="39" t="s">
        <v>13</v>
      </c>
      <c r="B137" s="51" t="s">
        <v>56</v>
      </c>
      <c r="C137" s="62">
        <f>INSUMOS!E26</f>
        <v>35.888333333333328</v>
      </c>
    </row>
    <row r="138" spans="1:4" x14ac:dyDescent="0.3">
      <c r="A138" s="39" t="s">
        <v>14</v>
      </c>
      <c r="B138" s="51" t="s">
        <v>158</v>
      </c>
      <c r="C138" s="62">
        <f>INSUMOS!E57</f>
        <v>68.890708333333336</v>
      </c>
    </row>
    <row r="139" spans="1:4" x14ac:dyDescent="0.3">
      <c r="A139" s="39" t="s">
        <v>16</v>
      </c>
      <c r="B139" s="51" t="s">
        <v>69</v>
      </c>
      <c r="C139" s="62"/>
      <c r="D139" s="45"/>
    </row>
    <row r="140" spans="1:4" x14ac:dyDescent="0.3">
      <c r="A140" s="117" t="s">
        <v>36</v>
      </c>
      <c r="B140" s="117"/>
      <c r="C140" s="63">
        <f>SUM(C136:C139)</f>
        <v>223.29654166666666</v>
      </c>
    </row>
    <row r="142" spans="1:4" ht="13.5" thickBot="1" x14ac:dyDescent="0.35"/>
    <row r="143" spans="1:4" ht="13.5" thickBot="1" x14ac:dyDescent="0.35">
      <c r="A143" s="144" t="s">
        <v>57</v>
      </c>
      <c r="B143" s="145"/>
      <c r="C143" s="145"/>
      <c r="D143" s="146"/>
    </row>
    <row r="145" spans="1:6" x14ac:dyDescent="0.3">
      <c r="A145" s="105">
        <v>6</v>
      </c>
      <c r="B145" s="50" t="s">
        <v>5</v>
      </c>
      <c r="C145" s="105" t="s">
        <v>29</v>
      </c>
      <c r="D145" s="105" t="s">
        <v>11</v>
      </c>
    </row>
    <row r="146" spans="1:6" x14ac:dyDescent="0.3">
      <c r="A146" s="39" t="s">
        <v>12</v>
      </c>
      <c r="B146" s="51" t="s">
        <v>6</v>
      </c>
      <c r="C146" s="52">
        <v>0.06</v>
      </c>
      <c r="D146" s="53">
        <f>(C41+C87+C101+C130+C140)*C146</f>
        <v>481.5144830566307</v>
      </c>
    </row>
    <row r="147" spans="1:6" x14ac:dyDescent="0.3">
      <c r="A147" s="39" t="s">
        <v>13</v>
      </c>
      <c r="B147" s="51" t="s">
        <v>8</v>
      </c>
      <c r="C147" s="52">
        <v>6.7900000000000002E-2</v>
      </c>
      <c r="D147" s="53">
        <f>(C41+C87+C101+C130+C140)*C147</f>
        <v>544.91388999242042</v>
      </c>
    </row>
    <row r="148" spans="1:6" x14ac:dyDescent="0.3">
      <c r="A148" s="39" t="s">
        <v>14</v>
      </c>
      <c r="B148" s="51" t="s">
        <v>7</v>
      </c>
      <c r="C148" s="52"/>
      <c r="D148" s="53"/>
    </row>
    <row r="149" spans="1:6" x14ac:dyDescent="0.3">
      <c r="A149" s="39"/>
      <c r="B149" s="51" t="s">
        <v>64</v>
      </c>
      <c r="C149" s="108">
        <v>1.6500000000000001E-2</v>
      </c>
      <c r="D149" s="53">
        <f>(C41+C87+C101+C130+C140)*C149</f>
        <v>132.41648284057345</v>
      </c>
      <c r="E149" s="104" t="s">
        <v>168</v>
      </c>
    </row>
    <row r="150" spans="1:6" x14ac:dyDescent="0.3">
      <c r="A150" s="39"/>
      <c r="B150" s="51" t="s">
        <v>65</v>
      </c>
      <c r="C150" s="108">
        <v>7.5999999999999998E-2</v>
      </c>
      <c r="D150" s="53">
        <f>(C41+C87+C101+C130+C140)*C150</f>
        <v>609.91834520506552</v>
      </c>
      <c r="E150" s="104" t="s">
        <v>168</v>
      </c>
    </row>
    <row r="151" spans="1:6" x14ac:dyDescent="0.3">
      <c r="A151" s="39"/>
      <c r="B151" s="51" t="s">
        <v>58</v>
      </c>
      <c r="C151" s="52"/>
      <c r="D151" s="53"/>
    </row>
    <row r="152" spans="1:6" x14ac:dyDescent="0.3">
      <c r="A152" s="39"/>
      <c r="B152" s="51" t="s">
        <v>161</v>
      </c>
      <c r="C152" s="52">
        <v>0.05</v>
      </c>
      <c r="D152" s="53">
        <f>(C41+C87+C101+C130+C140)*C152</f>
        <v>401.26206921385892</v>
      </c>
    </row>
    <row r="153" spans="1:6" x14ac:dyDescent="0.3">
      <c r="A153" s="39"/>
      <c r="B153" s="51" t="s">
        <v>78</v>
      </c>
      <c r="C153" s="54">
        <v>0.27039999999999997</v>
      </c>
      <c r="D153" s="55">
        <f>(C140+C130+C101+C87+C41)*C153</f>
        <v>2170.0252703085489</v>
      </c>
      <c r="F153" s="44"/>
    </row>
    <row r="154" spans="1:6" x14ac:dyDescent="0.3">
      <c r="A154" s="117" t="s">
        <v>36</v>
      </c>
      <c r="B154" s="117"/>
      <c r="C154" s="52"/>
      <c r="D154" s="56">
        <f>D153</f>
        <v>2170.0252703085489</v>
      </c>
    </row>
    <row r="156" spans="1:6" ht="13.5" thickBot="1" x14ac:dyDescent="0.35"/>
    <row r="157" spans="1:6" ht="13.5" thickBot="1" x14ac:dyDescent="0.35">
      <c r="A157" s="147" t="s">
        <v>59</v>
      </c>
      <c r="B157" s="148"/>
      <c r="C157" s="149"/>
    </row>
    <row r="159" spans="1:6" x14ac:dyDescent="0.3">
      <c r="A159" s="105"/>
      <c r="B159" s="105" t="s">
        <v>60</v>
      </c>
      <c r="C159" s="105" t="s">
        <v>11</v>
      </c>
    </row>
    <row r="160" spans="1:6" x14ac:dyDescent="0.3">
      <c r="A160" s="105" t="s">
        <v>12</v>
      </c>
      <c r="B160" s="51" t="s">
        <v>9</v>
      </c>
      <c r="C160" s="162">
        <f>C41</f>
        <v>3557.1282466199996</v>
      </c>
    </row>
    <row r="161" spans="1:4" x14ac:dyDescent="0.3">
      <c r="A161" s="105" t="s">
        <v>13</v>
      </c>
      <c r="B161" s="51" t="s">
        <v>21</v>
      </c>
      <c r="C161" s="162">
        <f>C87</f>
        <v>3093.8996948824101</v>
      </c>
    </row>
    <row r="162" spans="1:4" x14ac:dyDescent="0.3">
      <c r="A162" s="105" t="s">
        <v>14</v>
      </c>
      <c r="B162" s="51" t="s">
        <v>42</v>
      </c>
      <c r="C162" s="162">
        <f>C101</f>
        <v>225.87764366036996</v>
      </c>
    </row>
    <row r="163" spans="1:4" x14ac:dyDescent="0.3">
      <c r="A163" s="105" t="s">
        <v>16</v>
      </c>
      <c r="B163" s="58" t="s">
        <v>45</v>
      </c>
      <c r="C163" s="162">
        <f>C130</f>
        <v>925.03925744773187</v>
      </c>
    </row>
    <row r="164" spans="1:4" x14ac:dyDescent="0.3">
      <c r="A164" s="105" t="s">
        <v>17</v>
      </c>
      <c r="B164" s="51" t="s">
        <v>54</v>
      </c>
      <c r="C164" s="162">
        <f>C140</f>
        <v>223.29654166666666</v>
      </c>
    </row>
    <row r="165" spans="1:4" x14ac:dyDescent="0.3">
      <c r="A165" s="117" t="s">
        <v>61</v>
      </c>
      <c r="B165" s="117"/>
      <c r="C165" s="163">
        <f>SUM(C160:C164)</f>
        <v>8025.2413842771784</v>
      </c>
    </row>
    <row r="166" spans="1:4" x14ac:dyDescent="0.3">
      <c r="A166" s="105" t="s">
        <v>18</v>
      </c>
      <c r="B166" s="51" t="s">
        <v>62</v>
      </c>
      <c r="C166" s="162">
        <f>D154</f>
        <v>2170.0252703085489</v>
      </c>
    </row>
    <row r="167" spans="1:4" x14ac:dyDescent="0.3">
      <c r="A167" s="117" t="s">
        <v>63</v>
      </c>
      <c r="B167" s="117"/>
      <c r="C167" s="164">
        <f>C165+C166</f>
        <v>10195.266654585728</v>
      </c>
    </row>
    <row r="168" spans="1:4" ht="13.5" thickBot="1" x14ac:dyDescent="0.35">
      <c r="A168" s="124" t="s">
        <v>145</v>
      </c>
      <c r="B168" s="124"/>
      <c r="C168" s="76"/>
      <c r="D168" s="49"/>
    </row>
    <row r="169" spans="1:4" ht="91.25" customHeight="1" thickBot="1" x14ac:dyDescent="0.35">
      <c r="A169" s="126" t="s">
        <v>147</v>
      </c>
      <c r="B169" s="127"/>
      <c r="C169" s="128"/>
    </row>
    <row r="171" spans="1:4" x14ac:dyDescent="0.3">
      <c r="B171" s="44"/>
    </row>
    <row r="172" spans="1:4" x14ac:dyDescent="0.3">
      <c r="B172" s="44"/>
    </row>
  </sheetData>
  <mergeCells count="40">
    <mergeCell ref="A157:C157"/>
    <mergeCell ref="A165:B165"/>
    <mergeCell ref="A167:B167"/>
    <mergeCell ref="A168:B168"/>
    <mergeCell ref="A169:C169"/>
    <mergeCell ref="A125:C125"/>
    <mergeCell ref="A130:B130"/>
    <mergeCell ref="A133:C133"/>
    <mergeCell ref="A140:B140"/>
    <mergeCell ref="A143:D143"/>
    <mergeCell ref="A154:B154"/>
    <mergeCell ref="A101:B101"/>
    <mergeCell ref="A104:C104"/>
    <mergeCell ref="A106:C106"/>
    <mergeCell ref="A115:B115"/>
    <mergeCell ref="A118:C118"/>
    <mergeCell ref="A122:B122"/>
    <mergeCell ref="A81:C81"/>
    <mergeCell ref="A87:B87"/>
    <mergeCell ref="A90:C90"/>
    <mergeCell ref="A96:B96"/>
    <mergeCell ref="A100:B100"/>
    <mergeCell ref="A52:B52"/>
    <mergeCell ref="A55:D55"/>
    <mergeCell ref="A65:B65"/>
    <mergeCell ref="A67:B67"/>
    <mergeCell ref="A70:C70"/>
    <mergeCell ref="A78:B78"/>
    <mergeCell ref="A17:C17"/>
    <mergeCell ref="A24:C24"/>
    <mergeCell ref="A33:C33"/>
    <mergeCell ref="A41:B41"/>
    <mergeCell ref="A44:C44"/>
    <mergeCell ref="A46:C46"/>
    <mergeCell ref="A1:C1"/>
    <mergeCell ref="A2:C2"/>
    <mergeCell ref="A4:C4"/>
    <mergeCell ref="A5:C5"/>
    <mergeCell ref="A6:C6"/>
    <mergeCell ref="A10:C10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283E-EEEF-4DED-996D-B152BD45103D}">
  <sheetPr>
    <pageSetUpPr fitToPage="1"/>
  </sheetPr>
  <dimension ref="A1:E57"/>
  <sheetViews>
    <sheetView topLeftCell="A28" workbookViewId="0">
      <selection activeCell="L8" sqref="L8"/>
    </sheetView>
  </sheetViews>
  <sheetFormatPr defaultColWidth="8.7265625" defaultRowHeight="13" x14ac:dyDescent="0.3"/>
  <cols>
    <col min="1" max="1" width="4.54296875" style="4" bestFit="1" customWidth="1"/>
    <col min="2" max="2" width="65.26953125" style="4" customWidth="1"/>
    <col min="3" max="3" width="11" style="4" customWidth="1"/>
    <col min="4" max="4" width="12.1796875" style="4" bestFit="1" customWidth="1"/>
    <col min="5" max="5" width="14.26953125" style="4" bestFit="1" customWidth="1"/>
    <col min="6" max="9" width="8.7265625" style="4"/>
    <col min="10" max="10" width="9.6328125" style="4" bestFit="1" customWidth="1"/>
    <col min="11" max="16384" width="8.7265625" style="4"/>
  </cols>
  <sheetData>
    <row r="1" spans="1:5" ht="26" x14ac:dyDescent="0.3">
      <c r="A1" s="83" t="s">
        <v>74</v>
      </c>
      <c r="B1" s="3" t="s">
        <v>75</v>
      </c>
      <c r="C1" s="3" t="s">
        <v>76</v>
      </c>
      <c r="D1" s="3" t="s">
        <v>77</v>
      </c>
      <c r="E1" s="83" t="s">
        <v>78</v>
      </c>
    </row>
    <row r="2" spans="1:5" ht="14.5" x14ac:dyDescent="0.35">
      <c r="A2" s="5">
        <v>1</v>
      </c>
      <c r="B2" s="97" t="s">
        <v>163</v>
      </c>
      <c r="C2" s="95">
        <v>4</v>
      </c>
      <c r="D2" s="94">
        <v>75.37</v>
      </c>
      <c r="E2" s="94">
        <f>C2*D2</f>
        <v>301.48</v>
      </c>
    </row>
    <row r="3" spans="1:5" ht="14.5" x14ac:dyDescent="0.35">
      <c r="A3" s="5">
        <v>2</v>
      </c>
      <c r="B3" s="97" t="s">
        <v>164</v>
      </c>
      <c r="C3" s="95">
        <v>4</v>
      </c>
      <c r="D3" s="94">
        <v>69.010000000000005</v>
      </c>
      <c r="E3" s="94">
        <f t="shared" ref="E3:E10" si="0">C3*D3</f>
        <v>276.04000000000002</v>
      </c>
    </row>
    <row r="4" spans="1:5" ht="15.5" x14ac:dyDescent="0.35">
      <c r="A4" s="5">
        <v>3</v>
      </c>
      <c r="B4" s="96" t="s">
        <v>79</v>
      </c>
      <c r="C4" s="7">
        <v>1</v>
      </c>
      <c r="D4" s="94">
        <v>19.18</v>
      </c>
      <c r="E4" s="94">
        <f t="shared" si="0"/>
        <v>19.18</v>
      </c>
    </row>
    <row r="5" spans="1:5" ht="15.5" x14ac:dyDescent="0.35">
      <c r="A5" s="5">
        <v>4</v>
      </c>
      <c r="B5" s="6" t="s">
        <v>80</v>
      </c>
      <c r="C5" s="7">
        <v>2</v>
      </c>
      <c r="D5" s="94">
        <v>145.52000000000001</v>
      </c>
      <c r="E5" s="94">
        <f t="shared" si="0"/>
        <v>291.04000000000002</v>
      </c>
    </row>
    <row r="6" spans="1:5" ht="15.5" x14ac:dyDescent="0.35">
      <c r="A6" s="5">
        <v>5</v>
      </c>
      <c r="B6" s="6" t="s">
        <v>81</v>
      </c>
      <c r="C6" s="7">
        <v>8</v>
      </c>
      <c r="D6" s="94">
        <v>16.46</v>
      </c>
      <c r="E6" s="94">
        <f t="shared" si="0"/>
        <v>131.68</v>
      </c>
    </row>
    <row r="7" spans="1:5" ht="15.5" x14ac:dyDescent="0.35">
      <c r="A7" s="5">
        <v>6</v>
      </c>
      <c r="B7" s="6" t="s">
        <v>82</v>
      </c>
      <c r="C7" s="7">
        <v>2</v>
      </c>
      <c r="D7" s="94">
        <v>18.05</v>
      </c>
      <c r="E7" s="94">
        <f t="shared" si="0"/>
        <v>36.1</v>
      </c>
    </row>
    <row r="8" spans="1:5" ht="15.5" x14ac:dyDescent="0.35">
      <c r="A8" s="5">
        <v>7</v>
      </c>
      <c r="B8" s="6" t="s">
        <v>83</v>
      </c>
      <c r="C8" s="7">
        <v>1</v>
      </c>
      <c r="D8" s="94">
        <v>68.790000000000006</v>
      </c>
      <c r="E8" s="94">
        <f t="shared" si="0"/>
        <v>68.790000000000006</v>
      </c>
    </row>
    <row r="9" spans="1:5" ht="15.5" x14ac:dyDescent="0.35">
      <c r="A9" s="5">
        <v>8</v>
      </c>
      <c r="B9" s="6" t="s">
        <v>84</v>
      </c>
      <c r="C9" s="7">
        <v>1</v>
      </c>
      <c r="D9" s="94">
        <v>49</v>
      </c>
      <c r="E9" s="94">
        <f t="shared" si="0"/>
        <v>49</v>
      </c>
    </row>
    <row r="10" spans="1:5" ht="15.5" x14ac:dyDescent="0.35">
      <c r="A10" s="5">
        <v>9</v>
      </c>
      <c r="B10" s="6" t="s">
        <v>150</v>
      </c>
      <c r="C10" s="7">
        <v>1</v>
      </c>
      <c r="D10" s="94">
        <v>248.9</v>
      </c>
      <c r="E10" s="94">
        <f t="shared" si="0"/>
        <v>248.9</v>
      </c>
    </row>
    <row r="11" spans="1:5" ht="14.5" x14ac:dyDescent="0.35">
      <c r="A11" s="130" t="s">
        <v>85</v>
      </c>
      <c r="B11" s="130"/>
      <c r="C11" s="130"/>
      <c r="D11" s="130"/>
      <c r="E11" s="8">
        <f>SUM(E2:E10)</f>
        <v>1422.21</v>
      </c>
    </row>
    <row r="12" spans="1:5" ht="14.5" x14ac:dyDescent="0.35">
      <c r="A12" s="130" t="s">
        <v>86</v>
      </c>
      <c r="B12" s="130"/>
      <c r="C12" s="130"/>
      <c r="D12" s="130"/>
      <c r="E12" s="9">
        <f>E11/12</f>
        <v>118.5175</v>
      </c>
    </row>
    <row r="15" spans="1:5" ht="26" x14ac:dyDescent="0.3">
      <c r="A15" s="83" t="s">
        <v>74</v>
      </c>
      <c r="B15" s="3" t="s">
        <v>165</v>
      </c>
      <c r="C15" s="3" t="s">
        <v>76</v>
      </c>
      <c r="D15" s="3" t="s">
        <v>77</v>
      </c>
      <c r="E15" s="83" t="s">
        <v>78</v>
      </c>
    </row>
    <row r="16" spans="1:5" ht="15.5" x14ac:dyDescent="0.35">
      <c r="A16" s="5">
        <v>10</v>
      </c>
      <c r="B16" s="6" t="s">
        <v>87</v>
      </c>
      <c r="C16" s="7">
        <v>1</v>
      </c>
      <c r="D16" s="94">
        <v>39.01</v>
      </c>
      <c r="E16" s="94">
        <f>C16*D16</f>
        <v>39.01</v>
      </c>
    </row>
    <row r="17" spans="1:5" ht="15.5" x14ac:dyDescent="0.35">
      <c r="A17" s="5">
        <v>11</v>
      </c>
      <c r="B17" s="6" t="s">
        <v>88</v>
      </c>
      <c r="C17" s="7">
        <v>1</v>
      </c>
      <c r="D17" s="94">
        <v>15.36</v>
      </c>
      <c r="E17" s="94">
        <f t="shared" ref="E17:E24" si="1">C17*D17</f>
        <v>15.36</v>
      </c>
    </row>
    <row r="18" spans="1:5" ht="15.5" x14ac:dyDescent="0.35">
      <c r="A18" s="5">
        <v>12</v>
      </c>
      <c r="B18" s="6" t="s">
        <v>89</v>
      </c>
      <c r="C18" s="7">
        <v>15</v>
      </c>
      <c r="D18" s="94">
        <v>4.25</v>
      </c>
      <c r="E18" s="94">
        <f t="shared" si="1"/>
        <v>63.75</v>
      </c>
    </row>
    <row r="19" spans="1:5" ht="15.5" x14ac:dyDescent="0.35">
      <c r="A19" s="5">
        <v>13</v>
      </c>
      <c r="B19" s="6" t="s">
        <v>90</v>
      </c>
      <c r="C19" s="7">
        <v>1</v>
      </c>
      <c r="D19" s="94">
        <v>54.19</v>
      </c>
      <c r="E19" s="94">
        <f t="shared" si="1"/>
        <v>54.19</v>
      </c>
    </row>
    <row r="20" spans="1:5" ht="15.5" x14ac:dyDescent="0.35">
      <c r="A20" s="5">
        <v>14</v>
      </c>
      <c r="B20" s="6" t="s">
        <v>91</v>
      </c>
      <c r="C20" s="7">
        <v>1</v>
      </c>
      <c r="D20" s="94">
        <v>19.46</v>
      </c>
      <c r="E20" s="94">
        <f t="shared" si="1"/>
        <v>19.46</v>
      </c>
    </row>
    <row r="21" spans="1:5" ht="15.5" x14ac:dyDescent="0.35">
      <c r="A21" s="5">
        <v>15</v>
      </c>
      <c r="B21" s="6" t="s">
        <v>92</v>
      </c>
      <c r="C21" s="7">
        <v>2</v>
      </c>
      <c r="D21" s="94">
        <v>17.41</v>
      </c>
      <c r="E21" s="94">
        <f t="shared" si="1"/>
        <v>34.82</v>
      </c>
    </row>
    <row r="22" spans="1:5" ht="15.5" x14ac:dyDescent="0.35">
      <c r="A22" s="5">
        <v>16</v>
      </c>
      <c r="B22" s="6" t="s">
        <v>93</v>
      </c>
      <c r="C22" s="7">
        <v>1</v>
      </c>
      <c r="D22" s="94">
        <v>60.4</v>
      </c>
      <c r="E22" s="94">
        <f t="shared" si="1"/>
        <v>60.4</v>
      </c>
    </row>
    <row r="23" spans="1:5" ht="15.5" x14ac:dyDescent="0.35">
      <c r="A23" s="5">
        <v>17</v>
      </c>
      <c r="B23" s="6" t="s">
        <v>94</v>
      </c>
      <c r="C23" s="7">
        <v>1</v>
      </c>
      <c r="D23" s="94">
        <v>15.27</v>
      </c>
      <c r="E23" s="94">
        <f t="shared" si="1"/>
        <v>15.27</v>
      </c>
    </row>
    <row r="24" spans="1:5" ht="15.5" x14ac:dyDescent="0.35">
      <c r="A24" s="5">
        <v>18</v>
      </c>
      <c r="B24" s="6" t="s">
        <v>153</v>
      </c>
      <c r="C24" s="7">
        <v>24</v>
      </c>
      <c r="D24" s="94">
        <v>5.35</v>
      </c>
      <c r="E24" s="94">
        <f t="shared" si="1"/>
        <v>128.39999999999998</v>
      </c>
    </row>
    <row r="25" spans="1:5" ht="14.5" x14ac:dyDescent="0.35">
      <c r="A25" s="130" t="s">
        <v>85</v>
      </c>
      <c r="B25" s="130"/>
      <c r="C25" s="130"/>
      <c r="D25" s="130"/>
      <c r="E25" s="8">
        <f>SUM(E16:E24)</f>
        <v>430.65999999999997</v>
      </c>
    </row>
    <row r="26" spans="1:5" ht="14.5" x14ac:dyDescent="0.35">
      <c r="A26" s="130" t="s">
        <v>86</v>
      </c>
      <c r="B26" s="130"/>
      <c r="C26" s="130"/>
      <c r="D26" s="130"/>
      <c r="E26" s="9">
        <f>E25/12</f>
        <v>35.888333333333328</v>
      </c>
    </row>
    <row r="29" spans="1:5" ht="26" x14ac:dyDescent="0.3">
      <c r="A29" s="2" t="s">
        <v>74</v>
      </c>
      <c r="B29" s="3" t="s">
        <v>166</v>
      </c>
      <c r="C29" s="3" t="s">
        <v>76</v>
      </c>
      <c r="D29" s="3" t="s">
        <v>77</v>
      </c>
      <c r="E29" s="83" t="s">
        <v>78</v>
      </c>
    </row>
    <row r="30" spans="1:5" ht="15.5" x14ac:dyDescent="0.35">
      <c r="A30" s="5">
        <v>10</v>
      </c>
      <c r="B30" s="6" t="s">
        <v>87</v>
      </c>
      <c r="C30" s="7">
        <v>1</v>
      </c>
      <c r="D30" s="8">
        <v>39.01</v>
      </c>
      <c r="E30" s="8">
        <f>C30*D30</f>
        <v>39.01</v>
      </c>
    </row>
    <row r="31" spans="1:5" ht="15.5" x14ac:dyDescent="0.35">
      <c r="A31" s="5">
        <v>11</v>
      </c>
      <c r="B31" s="6" t="s">
        <v>88</v>
      </c>
      <c r="C31" s="7">
        <v>1</v>
      </c>
      <c r="D31" s="8">
        <v>15.36</v>
      </c>
      <c r="E31" s="8">
        <f t="shared" ref="E31:E38" si="2">C31*D31</f>
        <v>15.36</v>
      </c>
    </row>
    <row r="32" spans="1:5" ht="15.5" x14ac:dyDescent="0.35">
      <c r="A32" s="5">
        <v>12</v>
      </c>
      <c r="B32" s="6" t="s">
        <v>89</v>
      </c>
      <c r="C32" s="7">
        <v>15</v>
      </c>
      <c r="D32" s="8">
        <v>4.25</v>
      </c>
      <c r="E32" s="8">
        <f t="shared" si="2"/>
        <v>63.75</v>
      </c>
    </row>
    <row r="33" spans="1:5" ht="15.5" x14ac:dyDescent="0.35">
      <c r="A33" s="5">
        <v>13</v>
      </c>
      <c r="B33" s="6" t="s">
        <v>90</v>
      </c>
      <c r="C33" s="7">
        <v>1</v>
      </c>
      <c r="D33" s="8">
        <v>54.19</v>
      </c>
      <c r="E33" s="8">
        <f t="shared" si="2"/>
        <v>54.19</v>
      </c>
    </row>
    <row r="34" spans="1:5" ht="15.5" x14ac:dyDescent="0.35">
      <c r="A34" s="5">
        <v>14</v>
      </c>
      <c r="B34" s="6" t="s">
        <v>91</v>
      </c>
      <c r="C34" s="7">
        <v>1</v>
      </c>
      <c r="D34" s="8">
        <v>19.46</v>
      </c>
      <c r="E34" s="8">
        <f t="shared" si="2"/>
        <v>19.46</v>
      </c>
    </row>
    <row r="35" spans="1:5" ht="15.5" x14ac:dyDescent="0.35">
      <c r="A35" s="5">
        <v>15</v>
      </c>
      <c r="B35" s="6" t="s">
        <v>92</v>
      </c>
      <c r="C35" s="7">
        <v>2</v>
      </c>
      <c r="D35" s="8">
        <v>17.41</v>
      </c>
      <c r="E35" s="8">
        <f t="shared" si="2"/>
        <v>34.82</v>
      </c>
    </row>
    <row r="36" spans="1:5" ht="15.5" x14ac:dyDescent="0.35">
      <c r="A36" s="91">
        <v>16</v>
      </c>
      <c r="B36" s="92" t="s">
        <v>93</v>
      </c>
      <c r="C36" s="134" t="s">
        <v>162</v>
      </c>
      <c r="D36" s="135"/>
      <c r="E36" s="8"/>
    </row>
    <row r="37" spans="1:5" ht="15.5" x14ac:dyDescent="0.35">
      <c r="A37" s="5">
        <v>17</v>
      </c>
      <c r="B37" s="6" t="s">
        <v>94</v>
      </c>
      <c r="C37" s="7">
        <v>1</v>
      </c>
      <c r="D37" s="8">
        <v>15.27</v>
      </c>
      <c r="E37" s="8">
        <f t="shared" si="2"/>
        <v>15.27</v>
      </c>
    </row>
    <row r="38" spans="1:5" ht="15.5" x14ac:dyDescent="0.35">
      <c r="A38" s="5">
        <v>18</v>
      </c>
      <c r="B38" s="6" t="s">
        <v>153</v>
      </c>
      <c r="C38" s="7">
        <v>24</v>
      </c>
      <c r="D38" s="8">
        <v>5.35</v>
      </c>
      <c r="E38" s="8">
        <f t="shared" si="2"/>
        <v>128.39999999999998</v>
      </c>
    </row>
    <row r="39" spans="1:5" ht="14.5" x14ac:dyDescent="0.35">
      <c r="A39" s="130" t="s">
        <v>85</v>
      </c>
      <c r="B39" s="130"/>
      <c r="C39" s="130"/>
      <c r="D39" s="130"/>
      <c r="E39" s="8">
        <f>SUM(E30:E38)</f>
        <v>370.26</v>
      </c>
    </row>
    <row r="40" spans="1:5" ht="14.5" x14ac:dyDescent="0.35">
      <c r="A40" s="130" t="s">
        <v>86</v>
      </c>
      <c r="B40" s="130"/>
      <c r="C40" s="130"/>
      <c r="D40" s="130"/>
      <c r="E40" s="9">
        <f>E39/12</f>
        <v>30.855</v>
      </c>
    </row>
    <row r="43" spans="1:5" ht="26" x14ac:dyDescent="0.3">
      <c r="A43" s="83" t="s">
        <v>74</v>
      </c>
      <c r="B43" s="3" t="s">
        <v>95</v>
      </c>
      <c r="C43" s="3" t="s">
        <v>76</v>
      </c>
      <c r="D43" s="3" t="s">
        <v>77</v>
      </c>
      <c r="E43" s="83" t="s">
        <v>78</v>
      </c>
    </row>
    <row r="44" spans="1:5" s="12" customFormat="1" ht="15.5" x14ac:dyDescent="0.35">
      <c r="A44" s="10">
        <v>19</v>
      </c>
      <c r="B44" s="11" t="s">
        <v>96</v>
      </c>
      <c r="C44" s="7">
        <v>1</v>
      </c>
      <c r="D44" s="8">
        <v>4671.1099999999997</v>
      </c>
      <c r="E44" s="8">
        <f>C44*D44</f>
        <v>4671.1099999999997</v>
      </c>
    </row>
    <row r="45" spans="1:5" ht="14.5" x14ac:dyDescent="0.35">
      <c r="A45" s="131" t="s">
        <v>97</v>
      </c>
      <c r="B45" s="132"/>
      <c r="C45" s="132"/>
      <c r="D45" s="133"/>
      <c r="E45" s="8">
        <f>E44/10</f>
        <v>467.11099999999999</v>
      </c>
    </row>
    <row r="46" spans="1:5" ht="14.5" x14ac:dyDescent="0.35">
      <c r="A46" s="131" t="s">
        <v>86</v>
      </c>
      <c r="B46" s="132"/>
      <c r="C46" s="132"/>
      <c r="D46" s="133"/>
      <c r="E46" s="9">
        <f>E45/12</f>
        <v>38.925916666666666</v>
      </c>
    </row>
    <row r="47" spans="1:5" ht="26" x14ac:dyDescent="0.3">
      <c r="A47" s="83" t="s">
        <v>74</v>
      </c>
      <c r="B47" s="3" t="s">
        <v>151</v>
      </c>
      <c r="C47" s="3" t="s">
        <v>76</v>
      </c>
      <c r="D47" s="3" t="s">
        <v>77</v>
      </c>
      <c r="E47" s="83" t="s">
        <v>78</v>
      </c>
    </row>
    <row r="48" spans="1:5" ht="15.5" x14ac:dyDescent="0.35">
      <c r="A48" s="5">
        <v>20</v>
      </c>
      <c r="B48" s="78" t="s">
        <v>149</v>
      </c>
      <c r="C48" s="7">
        <v>1</v>
      </c>
      <c r="D48" s="80">
        <v>1062.2</v>
      </c>
      <c r="E48" s="81">
        <f>D48</f>
        <v>1062.2</v>
      </c>
    </row>
    <row r="49" spans="1:5" x14ac:dyDescent="0.3">
      <c r="A49" s="131" t="s">
        <v>154</v>
      </c>
      <c r="B49" s="132"/>
      <c r="C49" s="132"/>
      <c r="D49" s="133"/>
      <c r="E49" s="81">
        <f>(E48/100)*20</f>
        <v>212.44</v>
      </c>
    </row>
    <row r="50" spans="1:5" x14ac:dyDescent="0.3">
      <c r="A50" s="131" t="s">
        <v>86</v>
      </c>
      <c r="B50" s="132"/>
      <c r="C50" s="132"/>
      <c r="D50" s="133"/>
      <c r="E50" s="84">
        <f>E49/12</f>
        <v>17.703333333333333</v>
      </c>
    </row>
    <row r="51" spans="1:5" ht="26" x14ac:dyDescent="0.3">
      <c r="A51" s="83" t="s">
        <v>74</v>
      </c>
      <c r="B51" s="3" t="s">
        <v>152</v>
      </c>
      <c r="C51" s="3" t="s">
        <v>76</v>
      </c>
      <c r="D51" s="3" t="s">
        <v>77</v>
      </c>
      <c r="E51" s="83" t="s">
        <v>78</v>
      </c>
    </row>
    <row r="52" spans="1:5" ht="29" x14ac:dyDescent="0.35">
      <c r="A52" s="5">
        <v>21</v>
      </c>
      <c r="B52" s="77" t="s">
        <v>159</v>
      </c>
      <c r="C52" s="79">
        <v>1</v>
      </c>
      <c r="D52" s="82">
        <v>588.54999999999995</v>
      </c>
      <c r="E52" s="85">
        <f>D52</f>
        <v>588.54999999999995</v>
      </c>
    </row>
    <row r="53" spans="1:5" x14ac:dyDescent="0.3">
      <c r="A53" s="136" t="s">
        <v>160</v>
      </c>
      <c r="B53" s="137"/>
      <c r="C53" s="137"/>
      <c r="D53" s="138"/>
      <c r="E53" s="85">
        <f>E52/2</f>
        <v>294.27499999999998</v>
      </c>
    </row>
    <row r="54" spans="1:5" x14ac:dyDescent="0.3">
      <c r="A54" s="131" t="s">
        <v>155</v>
      </c>
      <c r="B54" s="132"/>
      <c r="C54" s="132"/>
      <c r="D54" s="133"/>
      <c r="E54" s="85">
        <f>(E53/100)*50</f>
        <v>147.13749999999999</v>
      </c>
    </row>
    <row r="55" spans="1:5" x14ac:dyDescent="0.3">
      <c r="A55" s="131" t="s">
        <v>86</v>
      </c>
      <c r="B55" s="132"/>
      <c r="C55" s="132"/>
      <c r="D55" s="133"/>
      <c r="E55" s="87">
        <f>E54/12</f>
        <v>12.261458333333332</v>
      </c>
    </row>
    <row r="57" spans="1:5" x14ac:dyDescent="0.3">
      <c r="A57" s="130" t="s">
        <v>156</v>
      </c>
      <c r="B57" s="130"/>
      <c r="C57" s="130"/>
      <c r="D57" s="130"/>
      <c r="E57" s="86">
        <f>E46+E50+E55</f>
        <v>68.890708333333336</v>
      </c>
    </row>
  </sheetData>
  <mergeCells count="15">
    <mergeCell ref="A54:D54"/>
    <mergeCell ref="A55:D55"/>
    <mergeCell ref="A57:D57"/>
    <mergeCell ref="A53:D53"/>
    <mergeCell ref="A46:D46"/>
    <mergeCell ref="A49:D49"/>
    <mergeCell ref="A50:D50"/>
    <mergeCell ref="A11:D11"/>
    <mergeCell ref="A12:D12"/>
    <mergeCell ref="A25:D25"/>
    <mergeCell ref="A26:D26"/>
    <mergeCell ref="A45:D45"/>
    <mergeCell ref="A39:D39"/>
    <mergeCell ref="A40:D40"/>
    <mergeCell ref="C36:D36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E7A8-731E-4E20-824F-827AE588452C}">
  <sheetPr>
    <pageSetUpPr fitToPage="1"/>
  </sheetPr>
  <dimension ref="A1:I15"/>
  <sheetViews>
    <sheetView tabSelected="1" topLeftCell="C1" workbookViewId="0">
      <selection activeCell="I5" sqref="I5:I6"/>
    </sheetView>
  </sheetViews>
  <sheetFormatPr defaultColWidth="8.7265625" defaultRowHeight="15.5" x14ac:dyDescent="0.35"/>
  <cols>
    <col min="1" max="1" width="8.81640625" style="13" bestFit="1" customWidth="1"/>
    <col min="2" max="3" width="33.7265625" style="13" customWidth="1"/>
    <col min="4" max="4" width="20.36328125" style="13" customWidth="1"/>
    <col min="5" max="5" width="14.54296875" style="13" customWidth="1"/>
    <col min="6" max="6" width="18.7265625" style="13" customWidth="1"/>
    <col min="7" max="7" width="20.81640625" style="13" customWidth="1"/>
    <col min="8" max="8" width="19.54296875" style="13" customWidth="1"/>
    <col min="9" max="9" width="16.6328125" style="13" bestFit="1" customWidth="1"/>
    <col min="10" max="16384" width="8.7265625" style="13"/>
  </cols>
  <sheetData>
    <row r="1" spans="1:9" ht="18.5" x14ac:dyDescent="0.45">
      <c r="A1" s="139" t="s">
        <v>148</v>
      </c>
      <c r="B1" s="140"/>
      <c r="C1" s="140"/>
      <c r="D1" s="140"/>
      <c r="E1" s="140"/>
      <c r="F1" s="140"/>
      <c r="G1" s="140"/>
      <c r="H1" s="141"/>
    </row>
    <row r="2" spans="1:9" ht="31" x14ac:dyDescent="0.35">
      <c r="A2" s="14" t="s">
        <v>74</v>
      </c>
      <c r="B2" s="15" t="s">
        <v>98</v>
      </c>
      <c r="C2" s="15" t="s">
        <v>105</v>
      </c>
      <c r="D2" s="15" t="s">
        <v>99</v>
      </c>
      <c r="E2" s="15" t="s">
        <v>104</v>
      </c>
      <c r="F2" s="15" t="s">
        <v>106</v>
      </c>
      <c r="G2" s="15" t="s">
        <v>100</v>
      </c>
      <c r="H2" s="15" t="s">
        <v>101</v>
      </c>
    </row>
    <row r="3" spans="1:9" ht="31" x14ac:dyDescent="0.35">
      <c r="A3" s="16">
        <v>1</v>
      </c>
      <c r="B3" s="17" t="s">
        <v>102</v>
      </c>
      <c r="C3" s="90">
        <f>'DIURNO DF'!C165</f>
        <v>9225.2787954732794</v>
      </c>
      <c r="D3" s="18">
        <v>32</v>
      </c>
      <c r="E3" s="18">
        <v>16</v>
      </c>
      <c r="F3" s="99">
        <f>2*C3</f>
        <v>18450.557590946559</v>
      </c>
      <c r="G3" s="100">
        <f>F3*E3</f>
        <v>295208.92145514494</v>
      </c>
      <c r="H3" s="101">
        <f>12*G3</f>
        <v>3542507.0574617395</v>
      </c>
    </row>
    <row r="4" spans="1:9" ht="31" x14ac:dyDescent="0.35">
      <c r="A4" s="16">
        <v>2</v>
      </c>
      <c r="B4" s="17" t="s">
        <v>103</v>
      </c>
      <c r="C4" s="90">
        <f>'NOTURNO DF'!C167</f>
        <v>10195.266654585728</v>
      </c>
      <c r="D4" s="18">
        <v>26</v>
      </c>
      <c r="E4" s="18">
        <v>13</v>
      </c>
      <c r="F4" s="99">
        <f>2*C4</f>
        <v>20390.533309171456</v>
      </c>
      <c r="G4" s="100">
        <f>F4*E4</f>
        <v>265076.93301922892</v>
      </c>
      <c r="H4" s="101">
        <f>12*G4</f>
        <v>3180923.1962307468</v>
      </c>
    </row>
    <row r="5" spans="1:9" x14ac:dyDescent="0.35">
      <c r="A5" s="21"/>
      <c r="B5" s="21"/>
      <c r="C5" s="21"/>
      <c r="D5" s="19">
        <f>SUM(D3:D4)</f>
        <v>58</v>
      </c>
      <c r="E5" s="19">
        <f>SUM(E3:E4)</f>
        <v>29</v>
      </c>
      <c r="F5" s="21"/>
      <c r="G5" s="102">
        <f>SUM(G3:G4)</f>
        <v>560285.85447437386</v>
      </c>
      <c r="H5" s="103">
        <f>SUM(H3:H4)</f>
        <v>6723430.2536924863</v>
      </c>
      <c r="I5" s="89"/>
    </row>
    <row r="6" spans="1:9" x14ac:dyDescent="0.35">
      <c r="A6" s="20"/>
      <c r="B6" s="20"/>
      <c r="C6" s="20"/>
      <c r="D6" s="20"/>
      <c r="E6" s="20"/>
      <c r="F6" s="20"/>
      <c r="G6" s="20"/>
      <c r="H6" s="20"/>
      <c r="I6" s="89"/>
    </row>
    <row r="7" spans="1:9" x14ac:dyDescent="0.35">
      <c r="I7" s="89"/>
    </row>
    <row r="8" spans="1:9" x14ac:dyDescent="0.35">
      <c r="H8" s="88"/>
    </row>
    <row r="9" spans="1:9" x14ac:dyDescent="0.35">
      <c r="H9" s="88"/>
    </row>
    <row r="12" spans="1:9" x14ac:dyDescent="0.35">
      <c r="F12" s="88"/>
    </row>
    <row r="13" spans="1:9" x14ac:dyDescent="0.35">
      <c r="F13" s="88"/>
      <c r="G13" s="89"/>
    </row>
    <row r="14" spans="1:9" x14ac:dyDescent="0.35">
      <c r="D14" s="88"/>
    </row>
    <row r="15" spans="1:9" x14ac:dyDescent="0.35">
      <c r="D15" s="88"/>
      <c r="E15" s="93"/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DIURNO DF</vt:lpstr>
      <vt:lpstr>NOTURNO DF</vt:lpstr>
      <vt:lpstr>INSUMOS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Eliezer Gentil de Souza</cp:lastModifiedBy>
  <cp:lastPrinted>2022-08-31T16:22:31Z</cp:lastPrinted>
  <dcterms:created xsi:type="dcterms:W3CDTF">2018-01-23T19:35:16Z</dcterms:created>
  <dcterms:modified xsi:type="dcterms:W3CDTF">2022-10-25T01:39:58Z</dcterms:modified>
</cp:coreProperties>
</file>