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S:\CPL\1- CPL\7 - 2021\16 - PREGÕES\1 - PREGÕES EM ANDAMENTO\PE N° 19-2021 - LIMPEZA\EDITAL E ANEXOS PUBLICADOS\"/>
    </mc:Choice>
  </mc:AlternateContent>
  <xr:revisionPtr revIDLastSave="0" documentId="13_ncr:1_{E7ACEFB8-EA57-4DEF-8A18-1E5400D8FC4B}" xr6:coauthVersionLast="47" xr6:coauthVersionMax="47" xr10:uidLastSave="{00000000-0000-0000-0000-000000000000}"/>
  <bookViews>
    <workbookView xWindow="-28890" yWindow="-90" windowWidth="28980" windowHeight="15780" tabRatio="649" firstSheet="2" activeTab="6" xr2:uid="{00000000-000D-0000-FFFF-FFFF00000000}"/>
  </bookViews>
  <sheets>
    <sheet name="Nº de Empregados" sheetId="13" r:id="rId1"/>
    <sheet name="Preço por m2 SRAC" sheetId="14" r:id="rId2"/>
    <sheet name="Preço por m2 Epitaciolândia" sheetId="15" r:id="rId3"/>
    <sheet name="Preço por m2 Cruzeiro do Sul" sheetId="16" r:id="rId4"/>
    <sheet name="Preço por m2 Posto Assis Brasil" sheetId="17" r:id="rId5"/>
    <sheet name="Uniforme + Transport. + V. Alim" sheetId="18" r:id="rId6"/>
    <sheet name="Material + Equip." sheetId="19" r:id="rId7"/>
    <sheet name="RIO BRANCO - ENCARREGADO" sheetId="1" r:id="rId8"/>
    <sheet name="RIO BRANCO - SERVENTE" sheetId="20" r:id="rId9"/>
    <sheet name="RIO BRANCO - LIMPADOR DE VIDRO" sheetId="21" r:id="rId10"/>
    <sheet name="EPA - SERVENTE " sheetId="23" r:id="rId11"/>
    <sheet name="CZS - SERVENTE" sheetId="22" r:id="rId12"/>
    <sheet name="ASSIS BRASIL- SERVENTE" sheetId="24" r:id="rId13"/>
    <sheet name="RESUMO DA PROPOSTA " sheetId="25" r:id="rId14"/>
  </sheets>
  <externalReferences>
    <externalReference r:id="rId15"/>
  </externalReferences>
  <definedNames>
    <definedName name="ARMAM.">[1]INSUMOS!$G$30</definedName>
    <definedName name="EQUIP">[1]INSUMOS!$G$45</definedName>
    <definedName name="UNIF">[1]INSUMOS!$G$21</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18" l="1"/>
  <c r="F34" i="18"/>
  <c r="C34" i="18"/>
  <c r="F19" i="18"/>
  <c r="F20" i="18"/>
  <c r="F21" i="18"/>
  <c r="F18" i="18"/>
  <c r="F7" i="18"/>
  <c r="F8" i="18"/>
  <c r="F9" i="18"/>
  <c r="F10" i="18"/>
  <c r="F11" i="18"/>
  <c r="F6" i="18"/>
  <c r="J62" i="19"/>
  <c r="S68" i="19" l="1"/>
  <c r="S69" i="19"/>
  <c r="S70" i="19"/>
  <c r="S71" i="19"/>
  <c r="S72" i="19"/>
  <c r="S73" i="19"/>
  <c r="S74" i="19"/>
  <c r="S75" i="19"/>
  <c r="S76" i="19"/>
  <c r="S77" i="19"/>
  <c r="S67" i="19"/>
  <c r="P68" i="19"/>
  <c r="P69" i="19"/>
  <c r="P70" i="19"/>
  <c r="P71" i="19"/>
  <c r="P72" i="19"/>
  <c r="P73" i="19"/>
  <c r="P74" i="19"/>
  <c r="P75" i="19"/>
  <c r="P76" i="19"/>
  <c r="P77" i="19"/>
  <c r="P67" i="19"/>
  <c r="M68" i="19"/>
  <c r="M69" i="19"/>
  <c r="M70" i="19"/>
  <c r="M71" i="19"/>
  <c r="M72" i="19"/>
  <c r="M73" i="19"/>
  <c r="M74" i="19"/>
  <c r="M75" i="19"/>
  <c r="M76" i="19"/>
  <c r="M77" i="19"/>
  <c r="M67" i="19"/>
  <c r="J68" i="19"/>
  <c r="J69" i="19"/>
  <c r="J70" i="19"/>
  <c r="J71" i="19"/>
  <c r="J72" i="19"/>
  <c r="J73" i="19"/>
  <c r="J74" i="19"/>
  <c r="J75" i="19"/>
  <c r="J76" i="19"/>
  <c r="J77" i="19"/>
  <c r="J67" i="19"/>
  <c r="S62" i="19"/>
  <c r="P62" i="19"/>
  <c r="M62" i="19"/>
  <c r="S39" i="19"/>
  <c r="S40" i="19"/>
  <c r="S41" i="19"/>
  <c r="S42" i="19"/>
  <c r="S43" i="19"/>
  <c r="S44" i="19"/>
  <c r="S45" i="19"/>
  <c r="S46" i="19"/>
  <c r="S47" i="19"/>
  <c r="S48" i="19"/>
  <c r="S49" i="19"/>
  <c r="S50" i="19"/>
  <c r="S51" i="19"/>
  <c r="S52" i="19"/>
  <c r="S53" i="19"/>
  <c r="S54" i="19"/>
  <c r="S55" i="19"/>
  <c r="S56" i="19"/>
  <c r="S38" i="19"/>
  <c r="P39" i="19"/>
  <c r="P40" i="19"/>
  <c r="P41" i="19"/>
  <c r="P42" i="19"/>
  <c r="P43" i="19"/>
  <c r="P44" i="19"/>
  <c r="P45" i="19"/>
  <c r="P46" i="19"/>
  <c r="P47" i="19"/>
  <c r="P48" i="19"/>
  <c r="P49" i="19"/>
  <c r="P50" i="19"/>
  <c r="P51" i="19"/>
  <c r="P52" i="19"/>
  <c r="P53" i="19"/>
  <c r="P54" i="19"/>
  <c r="P55" i="19"/>
  <c r="P56" i="19"/>
  <c r="P38" i="19"/>
  <c r="M39" i="19"/>
  <c r="M40" i="19"/>
  <c r="M41" i="19"/>
  <c r="M42" i="19"/>
  <c r="M43" i="19"/>
  <c r="M44" i="19"/>
  <c r="M45" i="19"/>
  <c r="M46" i="19"/>
  <c r="M47" i="19"/>
  <c r="M48" i="19"/>
  <c r="M49" i="19"/>
  <c r="M50" i="19"/>
  <c r="M51" i="19"/>
  <c r="M52" i="19"/>
  <c r="M53" i="19"/>
  <c r="M54" i="19"/>
  <c r="M55" i="19"/>
  <c r="M56" i="19"/>
  <c r="M38" i="19"/>
  <c r="J39" i="19"/>
  <c r="J40" i="19"/>
  <c r="J41" i="19"/>
  <c r="J42" i="19"/>
  <c r="J43" i="19"/>
  <c r="J44" i="19"/>
  <c r="J45" i="19"/>
  <c r="J46" i="19"/>
  <c r="J47" i="19"/>
  <c r="J48" i="19"/>
  <c r="J49" i="19"/>
  <c r="J50" i="19"/>
  <c r="J51" i="19"/>
  <c r="J52" i="19"/>
  <c r="J53" i="19"/>
  <c r="J54" i="19"/>
  <c r="J55" i="19"/>
  <c r="J56" i="19"/>
  <c r="J38" i="19"/>
  <c r="J57" i="19" s="1"/>
  <c r="S5" i="19"/>
  <c r="S6" i="19"/>
  <c r="S7" i="19"/>
  <c r="S8" i="19"/>
  <c r="S9" i="19"/>
  <c r="S10" i="19"/>
  <c r="S11" i="19"/>
  <c r="S12" i="19"/>
  <c r="S13" i="19"/>
  <c r="S14" i="19"/>
  <c r="S15" i="19"/>
  <c r="S16" i="19"/>
  <c r="S17" i="19"/>
  <c r="S18" i="19"/>
  <c r="S19" i="19"/>
  <c r="S20" i="19"/>
  <c r="S21" i="19"/>
  <c r="S22" i="19"/>
  <c r="S23" i="19"/>
  <c r="S24" i="19"/>
  <c r="S25" i="19"/>
  <c r="S26" i="19"/>
  <c r="S27" i="19"/>
  <c r="S28" i="19"/>
  <c r="S29" i="19"/>
  <c r="S30" i="19"/>
  <c r="S31" i="19"/>
  <c r="S4" i="19"/>
  <c r="S32" i="19" s="1"/>
  <c r="P5" i="19"/>
  <c r="P6" i="19"/>
  <c r="P7" i="19"/>
  <c r="P8" i="19"/>
  <c r="P9" i="19"/>
  <c r="P10" i="19"/>
  <c r="P11" i="19"/>
  <c r="P12" i="19"/>
  <c r="P13" i="19"/>
  <c r="P14" i="19"/>
  <c r="P15" i="19"/>
  <c r="P16" i="19"/>
  <c r="P17" i="19"/>
  <c r="P18" i="19"/>
  <c r="P19" i="19"/>
  <c r="P20" i="19"/>
  <c r="P21" i="19"/>
  <c r="P22" i="19"/>
  <c r="P23" i="19"/>
  <c r="P24" i="19"/>
  <c r="P25" i="19"/>
  <c r="P26" i="19"/>
  <c r="P27" i="19"/>
  <c r="P28" i="19"/>
  <c r="P29" i="19"/>
  <c r="P30" i="19"/>
  <c r="P31" i="19"/>
  <c r="P4" i="19"/>
  <c r="M5" i="19"/>
  <c r="M6" i="19"/>
  <c r="M7" i="19"/>
  <c r="M8" i="19"/>
  <c r="M9" i="19"/>
  <c r="M10" i="19"/>
  <c r="M11" i="19"/>
  <c r="M12" i="19"/>
  <c r="M13" i="19"/>
  <c r="M14" i="19"/>
  <c r="M15" i="19"/>
  <c r="M16" i="19"/>
  <c r="M17" i="19"/>
  <c r="M18" i="19"/>
  <c r="M19" i="19"/>
  <c r="M20" i="19"/>
  <c r="M21" i="19"/>
  <c r="M22" i="19"/>
  <c r="M23" i="19"/>
  <c r="M24" i="19"/>
  <c r="M25" i="19"/>
  <c r="M26" i="19"/>
  <c r="M27" i="19"/>
  <c r="M28" i="19"/>
  <c r="M29" i="19"/>
  <c r="M30" i="19"/>
  <c r="M31" i="19"/>
  <c r="M4" i="19"/>
  <c r="M32" i="19" s="1"/>
  <c r="J5" i="19"/>
  <c r="J6" i="19"/>
  <c r="J7" i="19"/>
  <c r="J8" i="19"/>
  <c r="J9" i="19"/>
  <c r="J10" i="19"/>
  <c r="J11" i="19"/>
  <c r="J12" i="19"/>
  <c r="J13" i="19"/>
  <c r="J14" i="19"/>
  <c r="J15" i="19"/>
  <c r="J16" i="19"/>
  <c r="J17" i="19"/>
  <c r="J18" i="19"/>
  <c r="J19" i="19"/>
  <c r="J20" i="19"/>
  <c r="J21" i="19"/>
  <c r="J22" i="19"/>
  <c r="J23" i="19"/>
  <c r="J24" i="19"/>
  <c r="J25" i="19"/>
  <c r="J26" i="19"/>
  <c r="J27" i="19"/>
  <c r="J28" i="19"/>
  <c r="J29" i="19"/>
  <c r="J30" i="19"/>
  <c r="J31" i="19"/>
  <c r="J4" i="19"/>
  <c r="E19" i="18"/>
  <c r="E20" i="18"/>
  <c r="E21" i="18"/>
  <c r="E18" i="18"/>
  <c r="E7" i="18"/>
  <c r="E8" i="18"/>
  <c r="E9" i="18"/>
  <c r="E10" i="18"/>
  <c r="E11" i="18"/>
  <c r="E6" i="18"/>
  <c r="C32" i="25"/>
  <c r="C27" i="25"/>
  <c r="C22" i="25"/>
  <c r="C17" i="25"/>
  <c r="D126" i="24"/>
  <c r="C119" i="24" s="1"/>
  <c r="D119" i="24" s="1"/>
  <c r="E94" i="24"/>
  <c r="E98" i="24" s="1"/>
  <c r="D88" i="24"/>
  <c r="D87" i="24"/>
  <c r="D86" i="24"/>
  <c r="D85" i="24"/>
  <c r="D84" i="24"/>
  <c r="D75" i="24"/>
  <c r="D73" i="24"/>
  <c r="D72" i="24"/>
  <c r="D71" i="24"/>
  <c r="D70" i="24"/>
  <c r="E55" i="24"/>
  <c r="D51" i="24"/>
  <c r="D74" i="24" s="1"/>
  <c r="D34" i="24"/>
  <c r="D36" i="24" s="1"/>
  <c r="E29" i="24"/>
  <c r="E30" i="24" s="1"/>
  <c r="D126" i="23"/>
  <c r="C119" i="23" s="1"/>
  <c r="D119" i="23" s="1"/>
  <c r="E94" i="23"/>
  <c r="E98" i="23" s="1"/>
  <c r="D88" i="23"/>
  <c r="D87" i="23"/>
  <c r="D86" i="23"/>
  <c r="D85" i="23"/>
  <c r="D84" i="23"/>
  <c r="D75" i="23"/>
  <c r="D74" i="23"/>
  <c r="D73" i="23"/>
  <c r="D72" i="23"/>
  <c r="D71" i="23"/>
  <c r="D70" i="23"/>
  <c r="E55" i="23"/>
  <c r="D51" i="23"/>
  <c r="D36" i="23"/>
  <c r="D34" i="23"/>
  <c r="E25" i="23"/>
  <c r="E29" i="23" s="1"/>
  <c r="E30" i="23" s="1"/>
  <c r="E54" i="21"/>
  <c r="E54" i="20"/>
  <c r="C43" i="18"/>
  <c r="S78" i="19" l="1"/>
  <c r="P78" i="19"/>
  <c r="M78" i="19"/>
  <c r="J78" i="19"/>
  <c r="L63" i="19"/>
  <c r="S57" i="19"/>
  <c r="P57" i="19"/>
  <c r="M57" i="19"/>
  <c r="P32" i="19"/>
  <c r="J32" i="19"/>
  <c r="L33" i="19" s="1"/>
  <c r="E131" i="24"/>
  <c r="E75" i="24"/>
  <c r="E56" i="24"/>
  <c r="E61" i="24" s="1"/>
  <c r="E66" i="24" s="1"/>
  <c r="E70" i="24"/>
  <c r="E77" i="24"/>
  <c r="E72" i="24"/>
  <c r="E108" i="24"/>
  <c r="E35" i="24"/>
  <c r="E73" i="24"/>
  <c r="E74" i="24" s="1"/>
  <c r="E34" i="24"/>
  <c r="E36" i="24" s="1"/>
  <c r="E37" i="24" s="1"/>
  <c r="E38" i="24"/>
  <c r="E70" i="23"/>
  <c r="E108" i="23"/>
  <c r="E35" i="23"/>
  <c r="E56" i="23"/>
  <c r="E61" i="23" s="1"/>
  <c r="E66" i="23" s="1"/>
  <c r="E73" i="23"/>
  <c r="E74" i="23" s="1"/>
  <c r="E34" i="23"/>
  <c r="E36" i="23" s="1"/>
  <c r="E37" i="23" s="1"/>
  <c r="E77" i="23"/>
  <c r="E72" i="23"/>
  <c r="E75" i="23"/>
  <c r="E38" i="23"/>
  <c r="E131" i="23"/>
  <c r="D126" i="22"/>
  <c r="C119" i="22" s="1"/>
  <c r="D119" i="22" s="1"/>
  <c r="E94" i="22"/>
  <c r="E98" i="22" s="1"/>
  <c r="D88" i="22"/>
  <c r="D87" i="22"/>
  <c r="D86" i="22"/>
  <c r="D85" i="22"/>
  <c r="D84" i="22"/>
  <c r="D75" i="22"/>
  <c r="D73" i="22"/>
  <c r="D72" i="22"/>
  <c r="D71" i="22"/>
  <c r="D70" i="22"/>
  <c r="E55" i="22"/>
  <c r="D51" i="22"/>
  <c r="D74" i="22" s="1"/>
  <c r="D34" i="22"/>
  <c r="D36" i="22" s="1"/>
  <c r="E29" i="22"/>
  <c r="E30" i="22" s="1"/>
  <c r="E25" i="22"/>
  <c r="D126" i="21"/>
  <c r="C119" i="21"/>
  <c r="D119" i="21" s="1"/>
  <c r="E94" i="21"/>
  <c r="E98" i="21" s="1"/>
  <c r="D88" i="21"/>
  <c r="D87" i="21"/>
  <c r="D86" i="21"/>
  <c r="D85" i="21"/>
  <c r="D84" i="21"/>
  <c r="D75" i="21"/>
  <c r="D73" i="21"/>
  <c r="D72" i="21"/>
  <c r="D71" i="21"/>
  <c r="D70" i="21"/>
  <c r="E55" i="21"/>
  <c r="D51" i="21"/>
  <c r="D74" i="21" s="1"/>
  <c r="D34" i="21"/>
  <c r="D36" i="21" s="1"/>
  <c r="E29" i="21"/>
  <c r="E30" i="21" s="1"/>
  <c r="E25" i="21"/>
  <c r="D126" i="20"/>
  <c r="C119" i="20" s="1"/>
  <c r="D119" i="20" s="1"/>
  <c r="E98" i="20"/>
  <c r="E94" i="20"/>
  <c r="D88" i="20"/>
  <c r="D87" i="20"/>
  <c r="D86" i="20"/>
  <c r="D85" i="20"/>
  <c r="D84" i="20"/>
  <c r="D75" i="20"/>
  <c r="D74" i="20"/>
  <c r="D73" i="20"/>
  <c r="D72" i="20"/>
  <c r="D71" i="20"/>
  <c r="D70" i="20"/>
  <c r="E55" i="20"/>
  <c r="D51" i="20"/>
  <c r="D36" i="20"/>
  <c r="D34" i="20"/>
  <c r="E25" i="20"/>
  <c r="L79" i="19" l="1"/>
  <c r="E71" i="24"/>
  <c r="E76" i="24" s="1"/>
  <c r="E39" i="24"/>
  <c r="E40" i="24" s="1"/>
  <c r="E64" i="24"/>
  <c r="E39" i="23"/>
  <c r="E40" i="23" s="1"/>
  <c r="E64" i="23"/>
  <c r="E71" i="23"/>
  <c r="E76" i="23" s="1"/>
  <c r="E56" i="22"/>
  <c r="E61" i="22" s="1"/>
  <c r="E66" i="22" s="1"/>
  <c r="E108" i="22"/>
  <c r="E73" i="22"/>
  <c r="E74" i="22" s="1"/>
  <c r="E70" i="22"/>
  <c r="E35" i="22"/>
  <c r="E77" i="22"/>
  <c r="E72" i="22"/>
  <c r="E75" i="22"/>
  <c r="E34" i="22"/>
  <c r="E36" i="22" s="1"/>
  <c r="E37" i="22" s="1"/>
  <c r="E38" i="22"/>
  <c r="E131" i="22"/>
  <c r="E75" i="21"/>
  <c r="E38" i="21"/>
  <c r="E77" i="21"/>
  <c r="E56" i="21"/>
  <c r="E70" i="21"/>
  <c r="E72" i="21"/>
  <c r="E108" i="21"/>
  <c r="E35" i="21"/>
  <c r="E34" i="21"/>
  <c r="E36" i="21" s="1"/>
  <c r="E37" i="21" s="1"/>
  <c r="E73" i="21"/>
  <c r="E74" i="21" s="1"/>
  <c r="E131" i="21"/>
  <c r="E61" i="21"/>
  <c r="E66" i="21" s="1"/>
  <c r="E29" i="20"/>
  <c r="E30" i="20" s="1"/>
  <c r="E47" i="24" l="1"/>
  <c r="E46" i="24"/>
  <c r="E49" i="24"/>
  <c r="E45" i="24"/>
  <c r="E50" i="24"/>
  <c r="E44" i="24"/>
  <c r="E43" i="24"/>
  <c r="E48" i="24"/>
  <c r="E110" i="24"/>
  <c r="E133" i="24"/>
  <c r="E79" i="24"/>
  <c r="E45" i="23"/>
  <c r="E44" i="23"/>
  <c r="E46" i="23"/>
  <c r="E43" i="23"/>
  <c r="E50" i="23"/>
  <c r="E49" i="23"/>
  <c r="E47" i="23"/>
  <c r="E48" i="23"/>
  <c r="E110" i="23"/>
  <c r="E79" i="23"/>
  <c r="E133" i="23"/>
  <c r="E71" i="22"/>
  <c r="E76" i="22"/>
  <c r="E64" i="22"/>
  <c r="E39" i="22"/>
  <c r="E40" i="22" s="1"/>
  <c r="E71" i="21"/>
  <c r="E76" i="21" s="1"/>
  <c r="E64" i="21"/>
  <c r="E39" i="21"/>
  <c r="E40" i="21" s="1"/>
  <c r="E131" i="20"/>
  <c r="E73" i="20"/>
  <c r="E74" i="20" s="1"/>
  <c r="E35" i="20"/>
  <c r="E34" i="20"/>
  <c r="E108" i="20"/>
  <c r="E38" i="20"/>
  <c r="E77" i="20"/>
  <c r="E72" i="20"/>
  <c r="E75" i="20"/>
  <c r="E70" i="20"/>
  <c r="E56" i="20"/>
  <c r="E61" i="20" s="1"/>
  <c r="E66" i="20" s="1"/>
  <c r="E51" i="24" l="1"/>
  <c r="E65" i="24" s="1"/>
  <c r="E67" i="24" s="1"/>
  <c r="E132" i="24" s="1"/>
  <c r="E51" i="23"/>
  <c r="E65" i="23" s="1"/>
  <c r="E67" i="23" s="1"/>
  <c r="E48" i="22"/>
  <c r="E47" i="22"/>
  <c r="E45" i="22"/>
  <c r="E46" i="22"/>
  <c r="E50" i="22"/>
  <c r="E44" i="22"/>
  <c r="E43" i="22"/>
  <c r="E49" i="22"/>
  <c r="E110" i="22"/>
  <c r="E79" i="22"/>
  <c r="E133" i="22"/>
  <c r="E48" i="21"/>
  <c r="E47" i="21"/>
  <c r="E46" i="21"/>
  <c r="E50" i="21"/>
  <c r="E45" i="21"/>
  <c r="E44" i="21"/>
  <c r="E43" i="21"/>
  <c r="E49" i="21"/>
  <c r="E110" i="21"/>
  <c r="E79" i="21"/>
  <c r="E133" i="21"/>
  <c r="E36" i="20"/>
  <c r="E37" i="20" s="1"/>
  <c r="E64" i="20" s="1"/>
  <c r="E39" i="20"/>
  <c r="E40" i="20" s="1"/>
  <c r="E71" i="20"/>
  <c r="E76" i="20" s="1"/>
  <c r="E78" i="24" l="1"/>
  <c r="E80" i="24" s="1"/>
  <c r="E84" i="24" s="1"/>
  <c r="E109" i="24"/>
  <c r="E88" i="24"/>
  <c r="E109" i="23"/>
  <c r="E78" i="23"/>
  <c r="E80" i="23" s="1"/>
  <c r="E132" i="23"/>
  <c r="E51" i="22"/>
  <c r="E65" i="22" s="1"/>
  <c r="E67" i="22" s="1"/>
  <c r="E51" i="21"/>
  <c r="E65" i="21" s="1"/>
  <c r="E67" i="21" s="1"/>
  <c r="E79" i="20"/>
  <c r="E110" i="20"/>
  <c r="E133" i="20"/>
  <c r="E44" i="20"/>
  <c r="E46" i="20"/>
  <c r="E43" i="20"/>
  <c r="E47" i="20"/>
  <c r="E50" i="20"/>
  <c r="E49" i="20"/>
  <c r="E48" i="20"/>
  <c r="E45" i="20"/>
  <c r="E85" i="24" l="1"/>
  <c r="E86" i="24"/>
  <c r="E89" i="24"/>
  <c r="E87" i="24"/>
  <c r="E87" i="23"/>
  <c r="E88" i="23"/>
  <c r="E84" i="23"/>
  <c r="E89" i="23"/>
  <c r="E86" i="23"/>
  <c r="E85" i="23"/>
  <c r="E109" i="22"/>
  <c r="E78" i="22"/>
  <c r="E80" i="22" s="1"/>
  <c r="E132" i="22"/>
  <c r="E109" i="21"/>
  <c r="E78" i="21"/>
  <c r="E80" i="21" s="1"/>
  <c r="E132" i="21"/>
  <c r="E51" i="20"/>
  <c r="E65" i="20" s="1"/>
  <c r="E67" i="20" s="1"/>
  <c r="E90" i="24" l="1"/>
  <c r="E97" i="24" s="1"/>
  <c r="E99" i="24" s="1"/>
  <c r="E100" i="24" s="1"/>
  <c r="E134" i="24" s="1"/>
  <c r="E111" i="24"/>
  <c r="E90" i="23"/>
  <c r="E97" i="23" s="1"/>
  <c r="E99" i="23" s="1"/>
  <c r="E100" i="23" s="1"/>
  <c r="E89" i="22"/>
  <c r="E88" i="22"/>
  <c r="E84" i="22"/>
  <c r="E87" i="22"/>
  <c r="E86" i="22"/>
  <c r="E85" i="22"/>
  <c r="E89" i="21"/>
  <c r="E88" i="21"/>
  <c r="E87" i="21"/>
  <c r="E86" i="21"/>
  <c r="E84" i="21"/>
  <c r="E85" i="21"/>
  <c r="E132" i="20"/>
  <c r="E78" i="20"/>
  <c r="E80" i="20" s="1"/>
  <c r="E109" i="20"/>
  <c r="E134" i="23" l="1"/>
  <c r="E111" i="23"/>
  <c r="E90" i="22"/>
  <c r="E97" i="22" s="1"/>
  <c r="E99" i="22" s="1"/>
  <c r="E100" i="22" s="1"/>
  <c r="E134" i="22" s="1"/>
  <c r="E90" i="21"/>
  <c r="E97" i="21" s="1"/>
  <c r="E99" i="21" s="1"/>
  <c r="E100" i="21" s="1"/>
  <c r="E86" i="20"/>
  <c r="E87" i="20"/>
  <c r="E89" i="20"/>
  <c r="E84" i="20"/>
  <c r="E85" i="20"/>
  <c r="E88" i="20"/>
  <c r="E111" i="22" l="1"/>
  <c r="E134" i="21"/>
  <c r="E111" i="21"/>
  <c r="E90" i="20"/>
  <c r="E97" i="20" s="1"/>
  <c r="E99" i="20" s="1"/>
  <c r="E100" i="20" s="1"/>
  <c r="E111" i="20" l="1"/>
  <c r="E134" i="20"/>
  <c r="D88" i="1" l="1"/>
  <c r="D87" i="1"/>
  <c r="D86" i="1"/>
  <c r="D85" i="1"/>
  <c r="D75" i="1"/>
  <c r="D73" i="1"/>
  <c r="D72" i="1"/>
  <c r="D70" i="1"/>
  <c r="C33" i="18"/>
  <c r="E54" i="1" s="1"/>
  <c r="C31" i="18"/>
  <c r="C76" i="18"/>
  <c r="C74" i="18"/>
  <c r="C77" i="18" s="1"/>
  <c r="C66" i="18"/>
  <c r="C64" i="18"/>
  <c r="C67" i="18" s="1"/>
  <c r="C56" i="18"/>
  <c r="C54" i="18"/>
  <c r="C41" i="18"/>
  <c r="F30" i="18"/>
  <c r="F32" i="18" s="1"/>
  <c r="E55" i="1" s="1"/>
  <c r="E22" i="18"/>
  <c r="E25" i="17"/>
  <c r="E25" i="16"/>
  <c r="E25" i="15"/>
  <c r="B10" i="14"/>
  <c r="B20" i="14"/>
  <c r="B30" i="14"/>
  <c r="E29" i="14" s="1"/>
  <c r="E31" i="14"/>
  <c r="B40" i="14"/>
  <c r="E39" i="14" s="1"/>
  <c r="E41" i="14"/>
  <c r="J39" i="13"/>
  <c r="D39" i="13"/>
  <c r="F39" i="13" s="1"/>
  <c r="J38" i="13"/>
  <c r="D38" i="13"/>
  <c r="F38" i="13" s="1"/>
  <c r="D37" i="13"/>
  <c r="F37" i="13" s="1"/>
  <c r="J36" i="13"/>
  <c r="D36" i="13"/>
  <c r="D28" i="13"/>
  <c r="D23" i="13"/>
  <c r="D18" i="13"/>
  <c r="D13" i="13"/>
  <c r="F13" i="18" l="1"/>
  <c r="C57" i="18"/>
  <c r="D41" i="13"/>
  <c r="K36" i="13"/>
  <c r="F23" i="18"/>
  <c r="E12" i="18"/>
  <c r="F36" i="13"/>
  <c r="F40" i="13" s="1"/>
  <c r="E84" i="19" l="1"/>
  <c r="E105" i="24" s="1" a="1"/>
  <c r="E105" i="24" s="1"/>
  <c r="L58" i="19"/>
  <c r="E103" i="21"/>
  <c r="E103" i="20"/>
  <c r="E103" i="22"/>
  <c r="E103" i="1"/>
  <c r="E103" i="23"/>
  <c r="E103" i="24"/>
  <c r="E105" i="22" l="1" a="1"/>
  <c r="E105" i="22" s="1"/>
  <c r="E105" i="20" a="1"/>
  <c r="E105" i="20" s="1"/>
  <c r="E105" i="23" a="1"/>
  <c r="E105" i="23" s="1"/>
  <c r="E105" i="21" a="1"/>
  <c r="E105" i="21" s="1"/>
  <c r="E83" i="19"/>
  <c r="E104" i="20" s="1" a="1"/>
  <c r="E104" i="20" s="1"/>
  <c r="D84" i="1"/>
  <c r="E107" i="20" l="1"/>
  <c r="E135" i="20" s="1"/>
  <c r="E136" i="20" s="1"/>
  <c r="E104" i="22" a="1"/>
  <c r="E104" i="22" s="1"/>
  <c r="E107" i="22" s="1"/>
  <c r="E112" i="22" s="1"/>
  <c r="E113" i="22" s="1"/>
  <c r="E116" i="22" s="1"/>
  <c r="E104" i="21" a="1"/>
  <c r="E104" i="21" s="1"/>
  <c r="E107" i="21" s="1"/>
  <c r="E112" i="21" s="1"/>
  <c r="E113" i="21" s="1"/>
  <c r="E104" i="23" a="1"/>
  <c r="E104" i="23" s="1"/>
  <c r="E107" i="23" s="1"/>
  <c r="E112" i="23" s="1"/>
  <c r="E113" i="23" s="1"/>
  <c r="E116" i="23" s="1"/>
  <c r="E117" i="23" s="1"/>
  <c r="E104" i="24" a="1"/>
  <c r="E104" i="24" s="1"/>
  <c r="E107" i="24" s="1"/>
  <c r="E112" i="24" s="1"/>
  <c r="E113" i="24" s="1"/>
  <c r="E116" i="24" s="1"/>
  <c r="E117" i="24" s="1"/>
  <c r="D34" i="1"/>
  <c r="E112" i="20" l="1"/>
  <c r="E113" i="20" s="1"/>
  <c r="E116" i="20" s="1"/>
  <c r="E117" i="20" s="1"/>
  <c r="E135" i="22"/>
  <c r="E136" i="22" s="1"/>
  <c r="E117" i="22"/>
  <c r="E118" i="22" s="1"/>
  <c r="E119" i="22" s="1"/>
  <c r="E122" i="22" s="1"/>
  <c r="E135" i="21"/>
  <c r="E136" i="21" s="1"/>
  <c r="E135" i="24"/>
  <c r="E136" i="24" s="1"/>
  <c r="E135" i="23"/>
  <c r="E136" i="23" s="1"/>
  <c r="E118" i="23"/>
  <c r="E119" i="23" s="1"/>
  <c r="E125" i="23" s="1"/>
  <c r="E118" i="24"/>
  <c r="E119" i="24" s="1"/>
  <c r="E121" i="24" s="1"/>
  <c r="E116" i="21"/>
  <c r="E117" i="21" s="1"/>
  <c r="D51" i="1"/>
  <c r="D74" i="1" s="1"/>
  <c r="E118" i="20" l="1"/>
  <c r="E119" i="20" s="1"/>
  <c r="E121" i="20" s="1"/>
  <c r="E125" i="22"/>
  <c r="E121" i="22"/>
  <c r="E125" i="24"/>
  <c r="E122" i="24"/>
  <c r="E121" i="23"/>
  <c r="E122" i="23"/>
  <c r="E118" i="21"/>
  <c r="E119" i="21" s="1"/>
  <c r="E24" i="1"/>
  <c r="E25" i="1" s="1"/>
  <c r="E122" i="20" l="1"/>
  <c r="E125" i="20"/>
  <c r="E126" i="22"/>
  <c r="E127" i="22" s="1"/>
  <c r="E128" i="22" s="1"/>
  <c r="E137" i="22" s="1"/>
  <c r="E138" i="22" s="1"/>
  <c r="C17" i="16" s="1"/>
  <c r="E126" i="24"/>
  <c r="E127" i="24" s="1"/>
  <c r="E128" i="24" s="1"/>
  <c r="E137" i="24" s="1"/>
  <c r="E138" i="24" s="1"/>
  <c r="E126" i="23"/>
  <c r="E127" i="23" s="1"/>
  <c r="E128" i="23" s="1"/>
  <c r="E137" i="23" s="1"/>
  <c r="E138" i="23" s="1"/>
  <c r="F25" i="15" s="1"/>
  <c r="E125" i="21"/>
  <c r="E121" i="21"/>
  <c r="E122" i="21"/>
  <c r="D71" i="1"/>
  <c r="E126" i="20" l="1"/>
  <c r="E127" i="20" s="1"/>
  <c r="E128" i="20" s="1"/>
  <c r="E137" i="20" s="1"/>
  <c r="E138" i="20" s="1"/>
  <c r="D17" i="16"/>
  <c r="D19" i="16" s="1"/>
  <c r="D25" i="25" s="1"/>
  <c r="E25" i="25" s="1"/>
  <c r="F25" i="25" s="1"/>
  <c r="G25" i="15"/>
  <c r="G27" i="15" s="1"/>
  <c r="D21" i="25" s="1"/>
  <c r="E21" i="25" s="1"/>
  <c r="F21" i="25" s="1"/>
  <c r="C9" i="16"/>
  <c r="F25" i="16"/>
  <c r="C9" i="17"/>
  <c r="C9" i="15"/>
  <c r="C17" i="17"/>
  <c r="C17" i="15"/>
  <c r="F25" i="17"/>
  <c r="E126" i="21"/>
  <c r="E127" i="21" s="1"/>
  <c r="E128" i="21" s="1"/>
  <c r="E137" i="21" s="1"/>
  <c r="E138" i="21" s="1"/>
  <c r="F31" i="14" s="1"/>
  <c r="G31" i="14" s="1"/>
  <c r="D126" i="1"/>
  <c r="C119" i="1" s="1"/>
  <c r="D119" i="1" s="1"/>
  <c r="E107" i="1"/>
  <c r="D36" i="1"/>
  <c r="C21" i="14" l="1"/>
  <c r="D21" i="14" s="1"/>
  <c r="C11" i="14"/>
  <c r="D11" i="14" s="1"/>
  <c r="D9" i="16"/>
  <c r="D11" i="16" s="1"/>
  <c r="D24" i="25" s="1"/>
  <c r="E24" i="25" s="1"/>
  <c r="F24" i="25" s="1"/>
  <c r="D9" i="17"/>
  <c r="D11" i="17" s="1"/>
  <c r="D29" i="25" s="1"/>
  <c r="E29" i="25" s="1"/>
  <c r="F29" i="25" s="1"/>
  <c r="G25" i="16"/>
  <c r="G27" i="16" s="1"/>
  <c r="D26" i="25" s="1"/>
  <c r="E26" i="25" s="1"/>
  <c r="F26" i="25" s="1"/>
  <c r="G25" i="17"/>
  <c r="G27" i="17" s="1"/>
  <c r="D31" i="25" s="1"/>
  <c r="E31" i="25" s="1"/>
  <c r="F31" i="25" s="1"/>
  <c r="D17" i="15"/>
  <c r="D19" i="15" s="1"/>
  <c r="D20" i="25" s="1"/>
  <c r="E20" i="25" s="1"/>
  <c r="F20" i="25" s="1"/>
  <c r="D17" i="17"/>
  <c r="D19" i="17" s="1"/>
  <c r="D30" i="25" s="1"/>
  <c r="E30" i="25" s="1"/>
  <c r="F30" i="25" s="1"/>
  <c r="D9" i="15"/>
  <c r="D11" i="15" s="1"/>
  <c r="D19" i="25" s="1"/>
  <c r="E19" i="25" s="1"/>
  <c r="F19" i="25" s="1"/>
  <c r="F41" i="14"/>
  <c r="E135" i="1"/>
  <c r="E112" i="1"/>
  <c r="F27" i="25" l="1"/>
  <c r="F22" i="25"/>
  <c r="F32" i="25"/>
  <c r="G41" i="14"/>
  <c r="G43" i="14" s="1"/>
  <c r="D16" i="25" s="1"/>
  <c r="E16" i="25" s="1"/>
  <c r="F16" i="25" s="1"/>
  <c r="E94" i="1"/>
  <c r="E98" i="1" s="1"/>
  <c r="E29" i="1" l="1"/>
  <c r="E30" i="1" s="1"/>
  <c r="E56" i="1" s="1"/>
  <c r="E61" i="1" l="1"/>
  <c r="E66" i="1" s="1"/>
  <c r="E35" i="1"/>
  <c r="E108" i="1"/>
  <c r="E131" i="1"/>
  <c r="E75" i="1"/>
  <c r="E73" i="1"/>
  <c r="E74" i="1" s="1"/>
  <c r="E72" i="1"/>
  <c r="E70" i="1"/>
  <c r="E34" i="1"/>
  <c r="E77" i="1"/>
  <c r="E38" i="1"/>
  <c r="E36" i="1" l="1"/>
  <c r="E37" i="1" s="1"/>
  <c r="E71" i="1"/>
  <c r="E76" i="1" s="1"/>
  <c r="E79" i="1" l="1"/>
  <c r="E133" i="1"/>
  <c r="E110" i="1"/>
  <c r="E64" i="1"/>
  <c r="E39" i="1"/>
  <c r="E40" i="1" s="1"/>
  <c r="E44" i="1" l="1"/>
  <c r="E45" i="1"/>
  <c r="E46" i="1"/>
  <c r="E47" i="1"/>
  <c r="E50" i="1"/>
  <c r="E49" i="1"/>
  <c r="E48" i="1"/>
  <c r="E43" i="1"/>
  <c r="E51" i="1" l="1"/>
  <c r="E65" i="1" s="1"/>
  <c r="E67" i="1" s="1"/>
  <c r="E132" i="1" s="1"/>
  <c r="E109" i="1" l="1"/>
  <c r="E78" i="1"/>
  <c r="E80" i="1" s="1"/>
  <c r="E86" i="1" s="1"/>
  <c r="E88" i="1" l="1"/>
  <c r="E84" i="1"/>
  <c r="E85" i="1"/>
  <c r="E89" i="1"/>
  <c r="E87" i="1"/>
  <c r="E90" i="1" l="1"/>
  <c r="E97" i="1" s="1"/>
  <c r="E99" i="1" s="1"/>
  <c r="E100" i="1" s="1"/>
  <c r="E134" i="1" s="1"/>
  <c r="E136" i="1" s="1"/>
  <c r="E111" i="1" l="1"/>
  <c r="E113" i="1" s="1"/>
  <c r="E116" i="1" s="1"/>
  <c r="E117" i="1" s="1"/>
  <c r="E118" i="1" l="1"/>
  <c r="E119" i="1" s="1"/>
  <c r="E125" i="1" l="1"/>
  <c r="E122" i="1"/>
  <c r="E121" i="1"/>
  <c r="E126" i="1" l="1"/>
  <c r="E127" i="1" s="1"/>
  <c r="E128" i="1" s="1"/>
  <c r="E137" i="1" s="1"/>
  <c r="E138" i="1" s="1"/>
  <c r="F39" i="14" l="1"/>
  <c r="G39" i="14" s="1"/>
  <c r="C19" i="14"/>
  <c r="F29" i="14"/>
  <c r="C9" i="14"/>
  <c r="D9" i="14" l="1"/>
  <c r="D13" i="14" s="1"/>
  <c r="D13" i="25" s="1"/>
  <c r="E13" i="25" s="1"/>
  <c r="F13" i="25" s="1"/>
  <c r="G29" i="14"/>
  <c r="G33" i="14" s="1"/>
  <c r="D15" i="25" s="1"/>
  <c r="E15" i="25" s="1"/>
  <c r="F15" i="25" s="1"/>
  <c r="D19" i="14"/>
  <c r="D23" i="14" s="1"/>
  <c r="D14" i="25" s="1"/>
  <c r="E14" i="25" s="1"/>
  <c r="F14" i="25" s="1"/>
  <c r="F17" i="25" l="1"/>
  <c r="E33"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31" authorId="0" shapeId="0" xr:uid="{BD4D90CC-35C7-4349-B056-98775EDC5D5E}">
      <text>
        <r>
          <rPr>
            <sz val="9"/>
            <color indexed="81"/>
            <rFont val="Segoe UI"/>
            <family val="2"/>
          </rPr>
          <t xml:space="preserve">Caso a empresa Inscrita no </t>
        </r>
        <r>
          <rPr>
            <b/>
            <sz val="9"/>
            <color indexed="81"/>
            <rFont val="Segoe UI"/>
            <family val="2"/>
          </rPr>
          <t>PAT - Programa de Alimentação do Trabalhador.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486914E1-5896-4A03-8278-AEA6F8775B48}">
      <text>
        <r>
          <rPr>
            <sz val="9"/>
            <color indexed="81"/>
            <rFont val="Segoe UI"/>
            <family val="2"/>
          </rPr>
          <t>Existe Laudo de Periculosidade para a localidade</t>
        </r>
      </text>
    </comment>
    <comment ref="D34" authorId="0" shapeId="0" xr:uid="{B62B2314-430E-4F4F-9B20-58128FA10990}">
      <text>
        <r>
          <rPr>
            <sz val="9"/>
            <color indexed="81"/>
            <rFont val="Segoe UI"/>
            <family val="2"/>
          </rPr>
          <t xml:space="preserve"> 1/12meses = 0,0833=8,33%;
Cotação de  8,33% sobre o valor do Módulo 1 - Composição da remuneração, conforme Anexo XII da IN 5/17
</t>
        </r>
      </text>
    </comment>
    <comment ref="D35" authorId="0" shapeId="0" xr:uid="{EE70160F-BA1E-4EDB-8218-28D0FB8662E4}">
      <text>
        <r>
          <rPr>
            <sz val="9"/>
            <color indexed="81"/>
            <rFont val="Segoe UI"/>
            <family val="2"/>
          </rPr>
          <t xml:space="preserve">Cotação de Férias e Adicional de Férias do profissional titular, conforme item 14 do ANEXO XII da IN 5/17.
</t>
        </r>
      </text>
    </comment>
    <comment ref="D45" authorId="0" shapeId="0" xr:uid="{793DA2C9-1BB9-41F8-AD5C-42923BF61CDF}">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49FB67FC-F1C2-4D1A-94FF-FF558012C26A}">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2CC55227-DAAF-473B-A269-9A43FC717B94}">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250E6C77-68C5-41DC-8A20-8B34898E2ACC}">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32B65296-F0D7-4E37-A297-6297CD5013D3}">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B97EBCF5-BA9E-4753-A09D-54A67ECB8AA3}">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CA93ACAB-6AE0-4460-8821-EDC397D22811}">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D96C7001-C70C-4AEE-8B17-898E915B2407}">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C61E592F-0AD4-41CF-9D00-53299B576EFF}">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F81C2945-6E27-4E07-A56E-A20DA88E1085}">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35104B1C-1641-45EF-92D4-95D5865A95F6}">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 ref="B115" authorId="0" shapeId="0" xr:uid="{0E7F87C3-288E-46CF-93CA-BFF0531BCD5D}">
      <text>
        <r>
          <rPr>
            <b/>
            <sz val="9"/>
            <color indexed="81"/>
            <rFont val="Segoe UI"/>
            <family val="2"/>
          </rPr>
          <t xml:space="preserve">A empresa deve ficar atenta aos custos inerentes da contratação, verificando se estes custos são abarcados pelos CUSTOS INDIRETOS e LUCRO. </t>
        </r>
        <r>
          <rPr>
            <sz val="9"/>
            <color indexed="81"/>
            <rFont val="Segoe UI"/>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FADBAC1E-8DEA-4AB8-BF91-D41C21FFBF20}">
      <text>
        <r>
          <rPr>
            <sz val="9"/>
            <color indexed="81"/>
            <rFont val="Segoe UI"/>
            <family val="2"/>
          </rPr>
          <t>Existe Laudo de Periculosidade para a localidade</t>
        </r>
      </text>
    </comment>
    <comment ref="D34" authorId="0" shapeId="0" xr:uid="{2DA61AAF-EE98-4D7F-B09C-ED2B4A5A381F}">
      <text>
        <r>
          <rPr>
            <sz val="9"/>
            <color indexed="81"/>
            <rFont val="Segoe UI"/>
            <family val="2"/>
          </rPr>
          <t xml:space="preserve"> 1/12meses = 0,0833=8,33%;
Cotação de  8,33% sobre o valor do Módulo 1 - Composição da remuneração, conforme Anexo XII da IN 5/17
</t>
        </r>
      </text>
    </comment>
    <comment ref="D35" authorId="0" shapeId="0" xr:uid="{4121E197-19A8-4A14-957F-F5245F5FA27E}">
      <text>
        <r>
          <rPr>
            <sz val="9"/>
            <color indexed="81"/>
            <rFont val="Segoe UI"/>
            <family val="2"/>
          </rPr>
          <t xml:space="preserve">Cotação de Férias e Adicional de Férias do profissional titular, conforme item 14 do ANEXO XII da IN 5/17.
</t>
        </r>
      </text>
    </comment>
    <comment ref="D45" authorId="0" shapeId="0" xr:uid="{4B94A740-F3C3-4239-805F-8FF60025E400}">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05641904-C36E-4B99-9BEF-04DDBC5FEDEC}">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95E41E90-D4B1-4C74-BFCE-C14FB7B80109}">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A84A6441-00F6-43C2-BD81-97E09A99163A}">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09EF299B-84F3-45B0-8ADC-B74DF6169608}">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D2F8C986-A8DC-49E2-8A70-1AFDB6DF36EB}">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B6C6CD98-96F1-4882-85CA-6419F18CC7EC}">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D87FF202-0EBC-488B-9A2C-86847396B2B2}">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3712AF4C-86A4-484D-B904-F99E76E0E57C}">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49452496-77DE-4B4D-816A-6BB766120F5C}">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50E7328C-FFD4-4FE9-839A-93B892700182}">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B126273A-F9AB-426E-95BD-39727431F5F7}">
      <text>
        <r>
          <rPr>
            <sz val="9"/>
            <color indexed="81"/>
            <rFont val="Segoe UI"/>
            <family val="2"/>
          </rPr>
          <t>Existe Laudo de Periculosidade para a localidade</t>
        </r>
      </text>
    </comment>
    <comment ref="D34" authorId="0" shapeId="0" xr:uid="{83332FEB-534B-4246-AAE0-CF8FBA534BBA}">
      <text>
        <r>
          <rPr>
            <sz val="9"/>
            <color indexed="81"/>
            <rFont val="Segoe UI"/>
            <family val="2"/>
          </rPr>
          <t xml:space="preserve"> 1/12meses = 0,0833=8,33%;
Cotação de  8,33% sobre o valor do Módulo 1 - Composição da remuneração, conforme Anexo XII da IN 5/17
</t>
        </r>
      </text>
    </comment>
    <comment ref="D35" authorId="0" shapeId="0" xr:uid="{8691ACBD-A6F4-4932-BA67-6BEC32A5209A}">
      <text>
        <r>
          <rPr>
            <sz val="9"/>
            <color indexed="81"/>
            <rFont val="Segoe UI"/>
            <family val="2"/>
          </rPr>
          <t xml:space="preserve">Cotação de Férias e Adicional de Férias do profissional titular, conforme item 14 do ANEXO XII da IN 5/17.
</t>
        </r>
      </text>
    </comment>
    <comment ref="D45" authorId="0" shapeId="0" xr:uid="{F6C6012F-6E12-48FA-90C5-6240E89C9776}">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CB175C36-416C-4B4D-BE0E-FA1D59164D1E}">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5126E42E-D386-4C19-8443-4B17D0B3EE4B}">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86C64A9F-7397-4462-8A13-0BDF401B2389}">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CBB3D77A-D86E-4D08-9630-12DE4CB54807}">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EA576FE2-9ADA-4AC0-9529-63C0CF3D44BC}">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C3804A2A-4604-42E4-8EF4-3C4A3C47FD30}">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4249E55E-03CF-43BD-AD8E-879397A25346}">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F581E9F3-D900-44D8-A43B-9BA9EC816737}">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843E28F1-7FD5-428E-B321-9F14F8B96D77}">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F4759A30-26CB-46F3-A7A8-B908CBA2DC68}">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55F601A5-0B30-420F-A289-2C66CFB903EE}">
      <text>
        <r>
          <rPr>
            <sz val="9"/>
            <color indexed="81"/>
            <rFont val="Segoe UI"/>
            <family val="2"/>
          </rPr>
          <t>Existe Laudo de Periculosidade para a localidade</t>
        </r>
      </text>
    </comment>
    <comment ref="D34" authorId="0" shapeId="0" xr:uid="{621E1C4A-1793-4016-9DBA-95DCCC408997}">
      <text>
        <r>
          <rPr>
            <sz val="9"/>
            <color indexed="81"/>
            <rFont val="Segoe UI"/>
            <family val="2"/>
          </rPr>
          <t xml:space="preserve"> 1/12meses = 0,0833=8,33%;
Cotação de  8,33% sobre o valor do Módulo 1 - Composição da remuneração, conforme Anexo XII da IN 5/17
</t>
        </r>
      </text>
    </comment>
    <comment ref="D35" authorId="0" shapeId="0" xr:uid="{70B145F2-3BEF-44DB-8E0C-2BC04036A5EF}">
      <text>
        <r>
          <rPr>
            <sz val="9"/>
            <color indexed="81"/>
            <rFont val="Segoe UI"/>
            <family val="2"/>
          </rPr>
          <t xml:space="preserve">Cotação de Férias e Adicional de Férias do profissional titular, conforme item 14 do ANEXO XII da IN 5/17.
</t>
        </r>
      </text>
    </comment>
    <comment ref="D45" authorId="0" shapeId="0" xr:uid="{8264804C-39DF-42EA-971B-F07BB7A57593}">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E54" authorId="0" shapeId="0" xr:uid="{CEDBFD25-E354-40B4-AE60-36412F16E1F6}">
      <text>
        <r>
          <rPr>
            <sz val="9"/>
            <color indexed="81"/>
            <rFont val="Segoe UI"/>
            <family val="2"/>
          </rPr>
          <t xml:space="preserve">Epitaciolândia </t>
        </r>
        <r>
          <rPr>
            <b/>
            <sz val="9"/>
            <color indexed="81"/>
            <rFont val="Segoe UI"/>
            <family val="2"/>
          </rPr>
          <t>não</t>
        </r>
        <r>
          <rPr>
            <sz val="9"/>
            <color indexed="81"/>
            <rFont val="Segoe UI"/>
            <family val="2"/>
          </rPr>
          <t xml:space="preserve"> tem transporte coletivo regulamentado.
</t>
        </r>
      </text>
    </comment>
    <comment ref="D70" authorId="0" shapeId="0" xr:uid="{3988A8AD-390C-41E1-BA2F-9D0898FCB127}">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5793C135-312B-4F64-8FC5-2F38A82923BB}">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B653C54E-69B2-4D16-9A59-3E9A14B75E43}">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2E7C2C95-6A10-4557-ADFB-E5C1D1245840}">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0D6B359D-F680-410C-8B30-8F98189BF87B}">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50A91331-EA4B-43D5-B92B-44D3389EE0BA}">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60BFCC4C-6CE3-460D-B187-38B4F5381D02}">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CFDC67D0-0B7A-4E0F-9588-CA1EBAFD1031}">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8A8983CD-1F3C-4D20-8AFA-5B42B695FA15}">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8D441D8F-78F8-4630-90EC-2BD6F4285AB1}">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DC33210E-5F2A-4983-9144-B10DEE6083ED}">
      <text>
        <r>
          <rPr>
            <sz val="9"/>
            <color indexed="81"/>
            <rFont val="Segoe UI"/>
            <family val="2"/>
          </rPr>
          <t>Existe Laudo de Periculosidade para a localidade</t>
        </r>
      </text>
    </comment>
    <comment ref="D34" authorId="0" shapeId="0" xr:uid="{9852E4DF-19D4-4F57-9041-B1476C046A58}">
      <text>
        <r>
          <rPr>
            <sz val="9"/>
            <color indexed="81"/>
            <rFont val="Segoe UI"/>
            <family val="2"/>
          </rPr>
          <t xml:space="preserve"> 1/12meses = 0,0833=8,33%;
Cotação de  8,33% sobre o valor do Módulo 1 - Composição da remuneração, conforme Anexo XII da IN 5/17
</t>
        </r>
      </text>
    </comment>
    <comment ref="D35" authorId="0" shapeId="0" xr:uid="{7C3D2006-85C7-4501-838C-F6B190F786C5}">
      <text>
        <r>
          <rPr>
            <sz val="9"/>
            <color indexed="81"/>
            <rFont val="Segoe UI"/>
            <family val="2"/>
          </rPr>
          <t xml:space="preserve">Cotação de Férias e Adicional de Férias do profissional titular, conforme item 14 do ANEXO XII da IN 5/17.
</t>
        </r>
      </text>
    </comment>
    <comment ref="D45" authorId="0" shapeId="0" xr:uid="{BCEA8237-155E-4B1F-BA7E-E7B77EFD87D9}">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E54" authorId="0" shapeId="0" xr:uid="{52A4CEAF-DF30-4FEE-8F17-5CAEFBD6A933}">
      <text>
        <r>
          <rPr>
            <sz val="9"/>
            <color indexed="81"/>
            <rFont val="Segoe UI"/>
            <family val="2"/>
          </rPr>
          <t xml:space="preserve">Cruzeiro do Sul </t>
        </r>
        <r>
          <rPr>
            <b/>
            <sz val="9"/>
            <color indexed="81"/>
            <rFont val="Segoe UI"/>
            <family val="2"/>
          </rPr>
          <t>não</t>
        </r>
        <r>
          <rPr>
            <sz val="9"/>
            <color indexed="81"/>
            <rFont val="Segoe UI"/>
            <family val="2"/>
          </rPr>
          <t xml:space="preserve"> tem transporte coletivo regulamentado.
</t>
        </r>
      </text>
    </comment>
    <comment ref="D70" authorId="0" shapeId="0" xr:uid="{0400A268-7528-4663-899E-F7B0B3676B9E}">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D531CD63-08EE-4EC8-B2D4-8076A025459A}">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C47987C4-C5B5-4CDB-9B03-9BD1D17C5FDA}">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65F98391-3D8A-4BFB-A962-4772A080406A}">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D35B69D2-2276-498A-8D74-73DD9F3B731E}">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1DE87767-7846-42AA-8931-91D3085634AC}">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DD10A88E-7D20-4A73-95C5-653A9915270C}">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21BBE8C3-0198-4185-98F0-F938FE566EFD}">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90E56053-46A7-4F73-8BD7-D0B8C9A1F24E}">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11947F06-02A9-4BD7-83FA-B50327F007D6}">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F4786930-A8E8-4B9F-9170-D363C9D540C3}">
      <text>
        <r>
          <rPr>
            <sz val="9"/>
            <color indexed="81"/>
            <rFont val="Segoe UI"/>
            <family val="2"/>
          </rPr>
          <t xml:space="preserve">Assis Brasil é a única localidade não não tem Laudo Pericial de Periculosidade. 
A CLÁUSULA NONA - ADICIONAL DE INSALUBRIDADE da AC 24/2021 somente aplica-se aos casos do Parágrafo Terceiro, não sendo aplicado a limpeza e recolhimento de lixo doméstico em banheiros do escritório e produção. </t>
        </r>
      </text>
    </comment>
    <comment ref="D34" authorId="0" shapeId="0" xr:uid="{4773B0B1-3AEC-4368-B5D9-F7D86162BFD9}">
      <text>
        <r>
          <rPr>
            <sz val="9"/>
            <color indexed="81"/>
            <rFont val="Segoe UI"/>
            <family val="2"/>
          </rPr>
          <t xml:space="preserve"> 1/12meses = 0,0833=8,33%;
Cotação de  8,33% sobre o valor do Módulo 1 - Composição da remuneração, conforme Anexo XII da IN 5/17
</t>
        </r>
      </text>
    </comment>
    <comment ref="D35" authorId="0" shapeId="0" xr:uid="{DEF600C7-6D6C-4668-8F04-54B184B0176A}">
      <text>
        <r>
          <rPr>
            <sz val="9"/>
            <color indexed="81"/>
            <rFont val="Segoe UI"/>
            <family val="2"/>
          </rPr>
          <t xml:space="preserve">Cotação de Férias e Adicional de Férias do profissional titular, conforme item 14 do ANEXO XII da IN 5/17.
</t>
        </r>
      </text>
    </comment>
    <comment ref="D45" authorId="0" shapeId="0" xr:uid="{46B0D823-F2F0-4F03-AC6F-A6BCC74E526F}">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E54" authorId="0" shapeId="0" xr:uid="{3CD7F9FB-2D40-40FA-86B0-F718283CA3D0}">
      <text>
        <r>
          <rPr>
            <sz val="9"/>
            <color indexed="81"/>
            <rFont val="Segoe UI"/>
            <family val="2"/>
          </rPr>
          <t xml:space="preserve">Assis Brasil </t>
        </r>
        <r>
          <rPr>
            <b/>
            <sz val="9"/>
            <color indexed="81"/>
            <rFont val="Segoe UI"/>
            <family val="2"/>
          </rPr>
          <t>não</t>
        </r>
        <r>
          <rPr>
            <sz val="9"/>
            <color indexed="81"/>
            <rFont val="Segoe UI"/>
            <family val="2"/>
          </rPr>
          <t xml:space="preserve"> tem transporte coletivo regulamentado.
</t>
        </r>
      </text>
    </comment>
    <comment ref="D70" authorId="0" shapeId="0" xr:uid="{3ED2A7E1-67FB-4E2A-9ED5-67516F45F763}">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AE34E938-C313-466D-BF92-ECFB25559FDB}">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80E069C7-7E3A-4090-A404-A11677873C55}">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B97BE730-0936-4153-BA61-7C9508D688F0}">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BA826B18-A32C-4D7E-B12C-4FBC60A8E367}">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5758FA4C-731B-47C1-8CB5-F5AC41298BFE}">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7D1C0D5E-F788-4764-91A1-BF15BC99E4ED}">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0F0A5C70-655C-4C36-9530-1EEC0DBDC4A7}">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ED4C2F8C-7DBD-4F2E-8623-188A082B3941}">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46338269-F1A7-42C5-A072-95549FF9FAA8}">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<sst xmlns="http://schemas.openxmlformats.org/spreadsheetml/2006/main" count="2073" uniqueCount="425">
  <si>
    <t>PLANILHA DE CUSTOS E FORMAÇÃO DE PREÇOS</t>
  </si>
  <si>
    <t>Discriminação dos Serviços (dados referentes à contratação)</t>
  </si>
  <si>
    <t>A</t>
  </si>
  <si>
    <t>Data de apresentação da proposta (dia/mês/ano)</t>
  </si>
  <si>
    <t>B</t>
  </si>
  <si>
    <t>Município/UF</t>
  </si>
  <si>
    <t>C</t>
  </si>
  <si>
    <t>Ano Acordo, Convenção ou Dissídio Coletivo</t>
  </si>
  <si>
    <t>D</t>
  </si>
  <si>
    <t>Número de meses de execução contratual</t>
  </si>
  <si>
    <t>12 MESES</t>
  </si>
  <si>
    <t>Identificação do Serviço</t>
  </si>
  <si>
    <t>Tipo de Serviço</t>
  </si>
  <si>
    <t>Unidade de Medida</t>
  </si>
  <si>
    <t xml:space="preserve">INSS </t>
  </si>
  <si>
    <t>MÃO DE OBRA</t>
  </si>
  <si>
    <t>Mão de obra vinculada à execução contratual</t>
  </si>
  <si>
    <t>Dados para composição dos custos referente à mão de obra</t>
  </si>
  <si>
    <t>Valor (R$)</t>
  </si>
  <si>
    <t xml:space="preserve">Classificação Brasileira de Ocupações (CBO) </t>
  </si>
  <si>
    <t>Salário Normativo da Categoria Profissional</t>
  </si>
  <si>
    <t>Total</t>
  </si>
  <si>
    <t>Categoria Profissional (vinculada à execução contratual)</t>
  </si>
  <si>
    <t>Data-Base da Categoria (dia/mês/ano)</t>
  </si>
  <si>
    <t>MÓDULO 1 : COMPOSIÇÃO DA REMUNERAÇÃO</t>
  </si>
  <si>
    <t>Composição da Remuneração</t>
  </si>
  <si>
    <t>(NOTA 1 e 2)</t>
  </si>
  <si>
    <t>Salário-Base</t>
  </si>
  <si>
    <t>Adicional de Periculosidade</t>
  </si>
  <si>
    <t>Adicional de Insalubridade</t>
  </si>
  <si>
    <t>Adicional Noturno</t>
  </si>
  <si>
    <t>E</t>
  </si>
  <si>
    <t xml:space="preserve">Adicional de Hora Noturna Reduzida </t>
  </si>
  <si>
    <t>F</t>
  </si>
  <si>
    <t>G</t>
  </si>
  <si>
    <t>TOTAL</t>
  </si>
  <si>
    <t>MÓDULO 1:   TOTAL</t>
  </si>
  <si>
    <t xml:space="preserve"> MÓDULO 2: ENCARGOS E BENEFÍCIOS ANUAIS, MENSAIS E DIÁRIOS</t>
  </si>
  <si>
    <t>SUBMÓDULO 2.1   -  DÉCIMO TERCEIRO SALÁRIO, FÉRIAS E ADICIONAL DE FÉRIAS</t>
  </si>
  <si>
    <t>2.1</t>
  </si>
  <si>
    <t>13º  Salário, Férias e Adicional de Férias</t>
  </si>
  <si>
    <t>SUBMÓDULO 2.1:   TOTAL</t>
  </si>
  <si>
    <t xml:space="preserve">BASE DE CÁLCULO PARA O MÓDULO 2.2 </t>
  </si>
  <si>
    <t xml:space="preserve"> MÓDULO 1</t>
  </si>
  <si>
    <t xml:space="preserve"> MÓDULO 2.1</t>
  </si>
  <si>
    <t>2.2</t>
  </si>
  <si>
    <t>GPS, FGTS e outras contribuições</t>
  </si>
  <si>
    <t>SALÁRIO EDUCAÇÃO</t>
  </si>
  <si>
    <t>SESI / SESC</t>
  </si>
  <si>
    <t>SENAI / SENAC</t>
  </si>
  <si>
    <t>SEBRAE</t>
  </si>
  <si>
    <t>INCRA</t>
  </si>
  <si>
    <t>H</t>
  </si>
  <si>
    <t>FGTS</t>
  </si>
  <si>
    <t>2.3</t>
  </si>
  <si>
    <t>Benefícios Mensais e Diários</t>
  </si>
  <si>
    <t xml:space="preserve">TOTAL </t>
  </si>
  <si>
    <t>QUADRO-RESUMO DO MÓDULO 2 - ENCARGOS E BENEFÍCIOS ANUAIS, MENSAIS E DIÁRIOS</t>
  </si>
  <si>
    <t xml:space="preserve"> Encargos e Benefícios Anuais, Mensais e Diários </t>
  </si>
  <si>
    <t>MÓDULO 3 - PROVISÃO PARA RESCISÃO</t>
  </si>
  <si>
    <t>Provisão para Rescisão</t>
  </si>
  <si>
    <t>Aviso Prévio Indenizado</t>
  </si>
  <si>
    <t>Aviso Prévio Trabalhado</t>
  </si>
  <si>
    <t>BASE DE CÁLCULO PARA O MÓDULO 4 = MÓDULO 1 + MÓDULO 2 + MÓDULO 3</t>
  </si>
  <si>
    <t>MÓDULO 2</t>
  </si>
  <si>
    <t xml:space="preserve"> MÓDULO 3</t>
  </si>
  <si>
    <t>MÓDULO 4 - CUSTO DE REPOSIÇÃO DO PROFISSIONAL AUSENTE</t>
  </si>
  <si>
    <t>4.1</t>
  </si>
  <si>
    <t>4.2</t>
  </si>
  <si>
    <t>QUADRO-RESUMO DO MÓDULO 4 - CUSTO DE REPOSIÇÃO DO PROFISSIONAL AUSENTE</t>
  </si>
  <si>
    <t>Custo de Reposição do Profissional Ausente</t>
  </si>
  <si>
    <t>MÓDULO 4:   TOTAL</t>
  </si>
  <si>
    <t>MÓDULO 5 - INSUMOS DIVERSOS</t>
  </si>
  <si>
    <t>Insumos Diversos</t>
  </si>
  <si>
    <t>TOTAL DE INSUMOS DIVERSOS</t>
  </si>
  <si>
    <t>BASE DE CÁLCULO PARA O MÓDULO 6 = MÓDULO 1 + MÓDULO 2 + MÓDULO 3 + MÓDULO 4 + MÓDULO 5</t>
  </si>
  <si>
    <t>MÓDULO 4</t>
  </si>
  <si>
    <t>MÓDULO 5</t>
  </si>
  <si>
    <t xml:space="preserve">MÓDULO 6 – CUSTOS INDIRETOS, TRIBUTOS E LUCRO </t>
  </si>
  <si>
    <t>nota1</t>
  </si>
  <si>
    <t>nota 2</t>
  </si>
  <si>
    <t>Custos Indiretos, Tributos e Lucro</t>
  </si>
  <si>
    <t>Custos Indiretos</t>
  </si>
  <si>
    <t>Lucro (MT + M6.A)</t>
  </si>
  <si>
    <t xml:space="preserve">  FATURAMENTO  (MT + M6A + M6B)</t>
  </si>
  <si>
    <t>CÁLCULO POR DENTRO</t>
  </si>
  <si>
    <t>Tributos</t>
  </si>
  <si>
    <t>C1. Tributos Federais</t>
  </si>
  <si>
    <t>C.2 Tributos Estaduais (especificar)</t>
  </si>
  <si>
    <t xml:space="preserve">C.3 Tributos Municipais </t>
  </si>
  <si>
    <t>SOMA DOS TRIBUTOS</t>
  </si>
  <si>
    <t>TOTAL DOS CUSTOS INDIRETOS, TRIBUTOS E LUCRO</t>
  </si>
  <si>
    <t>MÓDULO 6:   TOTAL</t>
  </si>
  <si>
    <t xml:space="preserve">QUADRO-RESUMO DO CUSTO POR EMPREGADO </t>
  </si>
  <si>
    <t>Mão-de-obra vinculada à execução contratual (valor por empregado)</t>
  </si>
  <si>
    <t>Módulo 1 – Composição da Remuneração</t>
  </si>
  <si>
    <t xml:space="preserve">Módulo 2 - Encargos e Benefícios Anuais, Mensais e Diários </t>
  </si>
  <si>
    <t xml:space="preserve"> Módulo 3 - Provisão para Rescisão </t>
  </si>
  <si>
    <t xml:space="preserve">Módulo 4 - Custo de Reposição do Profissional Ausente </t>
  </si>
  <si>
    <t xml:space="preserve">Módulo 5 - Insumos Diversos </t>
  </si>
  <si>
    <t>Subtotal (A + B + C + D + E)</t>
  </si>
  <si>
    <t>Módulo 6 – Custos indiretos, tributos e lucro</t>
  </si>
  <si>
    <t>VALOR TOTAL POR EMPREGADO</t>
  </si>
  <si>
    <t>Tipo de Serviço (mesmo serviço com características distintas)</t>
  </si>
  <si>
    <t>Incidência de GPS, FGTS e outras contribuições sobre o Aviso Prévio Trabalhado (IN 07/18)</t>
  </si>
  <si>
    <t>Substituto nas Ausências Legais (IN 07/18)</t>
  </si>
  <si>
    <t>Substituto na cobertura de Férias (IN 07/18)</t>
  </si>
  <si>
    <t>Substituto na cobertura de Ausências Legais (IN 07/18)</t>
  </si>
  <si>
    <t>Substituto na cobertura de Licença-Paternidade (IN 07/18)</t>
  </si>
  <si>
    <t>Substituto na cobertura de Ausência por acidente de trabalho (IN 07/18)</t>
  </si>
  <si>
    <t>Substituto na cobertura de Afastamento Maternidade (IN 07/18)</t>
  </si>
  <si>
    <t>Substituto na cobertura de Outras ausências (especificar) (IN 07/18)</t>
  </si>
  <si>
    <t>Nº Processo</t>
  </si>
  <si>
    <t xml:space="preserve">Licitação Nº </t>
  </si>
  <si>
    <t>30% sobre o salário-base '</t>
  </si>
  <si>
    <t>SAT (+ FAP de 0,5 a 2,0) (VARIAÇÃO: 0,5% a 6%)</t>
  </si>
  <si>
    <t xml:space="preserve">Incidência do FGTS sobre Aviso Prévio Indenizado </t>
  </si>
  <si>
    <t>SUBMÓDULO 4.1 -SUBSTITUTO NAS AUSÊNCIAS LEGAIS (alterado pela IN 07/18)</t>
  </si>
  <si>
    <t>Substituto na Intrajornada (IN 07/18)</t>
  </si>
  <si>
    <t>Substituto na cobertura de Intervalo para repouso ou alimentação (IN 07/18)</t>
  </si>
  <si>
    <t xml:space="preserve">C1-A  (PIS 0,65)   </t>
  </si>
  <si>
    <t xml:space="preserve">C1. B  (COFINS 3,0)  </t>
  </si>
  <si>
    <t xml:space="preserve">C3-A (ISS 5,0)  </t>
  </si>
  <si>
    <t>1 DE JANEIRO DE 2021</t>
  </si>
  <si>
    <r>
      <t xml:space="preserve">SUBMÓDULO 2.3   -  BENEFÍCIOS MENSAIS E DIÁRIOS </t>
    </r>
    <r>
      <rPr>
        <b/>
        <i/>
        <sz val="10"/>
        <rFont val="Times New Roman"/>
        <family val="1"/>
      </rPr>
      <t>"E OUTRAS VERBAS NÃO SALARIAIS"</t>
    </r>
  </si>
  <si>
    <t xml:space="preserve"> TAMANHO DAS ÁREAS M²</t>
  </si>
  <si>
    <t>TIPO DE ÁREA</t>
  </si>
  <si>
    <t>Qualificação do Empregado</t>
  </si>
  <si>
    <t>Área por Localidade</t>
  </si>
  <si>
    <t>Produtividade Mínima Permitida</t>
  </si>
  <si>
    <t>Produtividade Máxima Permitida</t>
  </si>
  <si>
    <t>Periodicidade</t>
  </si>
  <si>
    <t>(m²)</t>
  </si>
  <si>
    <t>(m² / dia)</t>
  </si>
  <si>
    <t>SR/PF/AC</t>
  </si>
  <si>
    <t>Área de piso interna</t>
  </si>
  <si>
    <t>Auxiliar de Limpeza/Servente</t>
  </si>
  <si>
    <t>Diária</t>
  </si>
  <si>
    <t>Área de piso externa e terra</t>
  </si>
  <si>
    <t xml:space="preserve">Esquadrias internas e externas </t>
  </si>
  <si>
    <t>Limpador de vidros/Servente</t>
  </si>
  <si>
    <t>Quinzenalmente</t>
  </si>
  <si>
    <t>Fachadas Envidraçadas</t>
  </si>
  <si>
    <t>Semestralmente</t>
  </si>
  <si>
    <t>Supervisor de todas as áreas</t>
  </si>
  <si>
    <t>Encarregado</t>
  </si>
  <si>
    <t>______</t>
  </si>
  <si>
    <t>Delegacia de Polícia Federal em EPITACIOLÂNDIA</t>
  </si>
  <si>
    <t xml:space="preserve">Área de piso externa </t>
  </si>
  <si>
    <t>Esquadrias Externas</t>
  </si>
  <si>
    <t>Delegacia de Polícia Federal em CRUZEIRO DO SUL - AC</t>
  </si>
  <si>
    <t>C deve estar entre os valores:</t>
  </si>
  <si>
    <t>Posto de Assis Brasil - AC</t>
  </si>
  <si>
    <t>Área Total Contratada</t>
  </si>
  <si>
    <t>Nº de Empregados que a Empresa Disponibilizará</t>
  </si>
  <si>
    <t>Produtividade Estabelecida por M² para o Órgão</t>
  </si>
  <si>
    <t>Resumo do Nº de Empregados Disponibilizados</t>
  </si>
  <si>
    <t>Nº Total de Empregados Disponibilizados</t>
  </si>
  <si>
    <t>C = A / B</t>
  </si>
  <si>
    <t>Servente de Limpeza/Servente</t>
  </si>
  <si>
    <t>_____</t>
  </si>
  <si>
    <r>
      <rPr>
        <b/>
        <sz val="10"/>
        <color theme="1"/>
        <rFont val="Times New Roman"/>
        <family val="1"/>
      </rPr>
      <t>Atenção:</t>
    </r>
    <r>
      <rPr>
        <sz val="10"/>
        <color theme="1"/>
        <rFont val="Times New Roman"/>
        <family val="1"/>
      </rPr>
      <t xml:space="preserve"> A empresa proponente deve informar ( nas CÉLULAS AMARELAS da coluna B " Nº de empregados que a empresa disponibilizará") para cada "Tipo de Área". Importante ressaltar que os valores para esses quantitatitos de empregados para cada "Tipo de Área" (preenchidos nas CÉLULAS AMARELAS) não precisam ser inteiro, isto é, podem ser números com até quatro casas decimais, porém devem ser observados os seguintes condicionantes ao serem preenchidos os quantitativos: O valor resultante na coluna C " Produtividade Calculada" deve estar dentro do intervalo de valores das colunas D e E " Produtividade Mínima Exigida" e " Produtividade Máxima Permitida". O valor resultante na</t>
    </r>
    <r>
      <rPr>
        <b/>
        <sz val="10"/>
        <color theme="1"/>
        <rFont val="Times New Roman"/>
        <family val="1"/>
      </rPr>
      <t xml:space="preserve"> coluna H " Nº Total de Empregados Disponibilizados" </t>
    </r>
    <r>
      <rPr>
        <sz val="10"/>
        <color theme="1"/>
        <rFont val="Times New Roman"/>
        <family val="1"/>
      </rPr>
      <t xml:space="preserve">deve ser um número </t>
    </r>
    <r>
      <rPr>
        <b/>
        <sz val="10"/>
        <color theme="1"/>
        <rFont val="Times New Roman"/>
        <family val="1"/>
      </rPr>
      <t>INTEIRO</t>
    </r>
    <r>
      <rPr>
        <sz val="10"/>
        <color theme="1"/>
        <rFont val="Times New Roman"/>
        <family val="1"/>
      </rPr>
      <t>, devendo ser arredondado para mais ou para menos.</t>
    </r>
  </si>
  <si>
    <t>Total=</t>
  </si>
  <si>
    <t>___1___</t>
  </si>
  <si>
    <t>__1__</t>
  </si>
  <si>
    <t>SERVENTE/LIMPADOR DE VIDRO</t>
  </si>
  <si>
    <t>ENCARREGADO</t>
  </si>
  <si>
    <t>(R$/M2)</t>
  </si>
  <si>
    <t>(R$)</t>
  </si>
  <si>
    <t>Ki</t>
  </si>
  <si>
    <t>(HORAS)</t>
  </si>
  <si>
    <t>(1/M2)</t>
  </si>
  <si>
    <t>SUB-TOTAL</t>
  </si>
  <si>
    <t>PREÇO HOMEM-MÊS</t>
  </si>
  <si>
    <t>= (1X2X3)</t>
  </si>
  <si>
    <t>JORNADA DE TRABALHO NO MÊS (HORAS)</t>
  </si>
  <si>
    <t>FREQÜÊNCIA NO MÊS**</t>
  </si>
  <si>
    <t>PRODUTIDADE*</t>
  </si>
  <si>
    <t>(4 X 5)</t>
  </si>
  <si>
    <t>FACHADAS ENVIDRAÇADAS</t>
  </si>
  <si>
    <t xml:space="preserve">ESQUADRIA EXTERNA </t>
  </si>
  <si>
    <t>SERVENTE</t>
  </si>
  <si>
    <t>SUBTOTAL</t>
  </si>
  <si>
    <t>PRODUTIVIDADE*</t>
  </si>
  <si>
    <t>(1 x 2)</t>
  </si>
  <si>
    <t>ÁREA EXTERNA</t>
  </si>
  <si>
    <t>Total =</t>
  </si>
  <si>
    <t>ÁREA INTERNA</t>
  </si>
  <si>
    <t>PREÇO MENSAL UNITÁRIO POR M2</t>
  </si>
  <si>
    <t>UNIDADE/LOCALIDADE: SR/PF/AC</t>
  </si>
  <si>
    <t>UNIDADE/LOCALIDADE: EPITACIOLÂNDIA</t>
  </si>
  <si>
    <t>UNIDADE/LOCALIDADE: CRUZEIRO DO SUL</t>
  </si>
  <si>
    <t>UNIDADE/LOCALIDADE: POSTO DE ASSIS BRASIL</t>
  </si>
  <si>
    <t xml:space="preserve">ANEXO I </t>
  </si>
  <si>
    <t>UNIFORME</t>
  </si>
  <si>
    <t xml:space="preserve">SERVENTE/LIMPADOR DE VIDROS </t>
  </si>
  <si>
    <t>Nº</t>
  </si>
  <si>
    <t xml:space="preserve">Descrição </t>
  </si>
  <si>
    <t>Qte.</t>
  </si>
  <si>
    <t>Cotação (R$)</t>
  </si>
  <si>
    <t>Custo anual</t>
  </si>
  <si>
    <t>Custo mensal</t>
  </si>
  <si>
    <t>Calça em tecido Oxford, Solasol ou Cedropesado</t>
  </si>
  <si>
    <t>Camiseta pólo, tecido malha fria/ malha piquet, manga curta, cor azul celeste.</t>
  </si>
  <si>
    <t>Camiseta pólo, tecido malha fria/ malha piquet, manga longa, cor azul celeste.</t>
  </si>
  <si>
    <t>Pares de meia, padrão sport, tecido algodão</t>
  </si>
  <si>
    <t>Tênis de segurança, em couro/vaqueta relax, com cadarço, solado PU</t>
  </si>
  <si>
    <t>Bota de polimérico termoplástico impermeável com forro, emborrachado, solado antiderrapante</t>
  </si>
  <si>
    <t>Custo Total AnuaL dos Uniformes</t>
  </si>
  <si>
    <t>Custo MENSAL dos uniformes (por posto)</t>
  </si>
  <si>
    <t>LIDER/ENCARREGADO</t>
  </si>
  <si>
    <t>Calça Social</t>
  </si>
  <si>
    <t>Camisa Social, com logomarca da empresa impressa ou bordada no bolso</t>
  </si>
  <si>
    <t>Sapato Social</t>
  </si>
  <si>
    <t>Pares de meias, padrão social, tecido algodão</t>
  </si>
  <si>
    <t>Vale Transporte</t>
  </si>
  <si>
    <t>Vale Refeição/Alimentação</t>
  </si>
  <si>
    <t>Vale Transporte SR/PF/AC - Seg a Sex - ENCARREGADO</t>
  </si>
  <si>
    <t>Refeição/Alimentação CE</t>
  </si>
  <si>
    <t>Valor Unitário do Vale transporte</t>
  </si>
  <si>
    <t>Valor diário</t>
  </si>
  <si>
    <t>número de passagens/dia*</t>
  </si>
  <si>
    <t xml:space="preserve">dias trabalhados </t>
  </si>
  <si>
    <t>número de dias trabalhados/mês</t>
  </si>
  <si>
    <t xml:space="preserve">subtotal </t>
  </si>
  <si>
    <t>Subtotal</t>
  </si>
  <si>
    <t xml:space="preserve">% de Desconto </t>
  </si>
  <si>
    <t>Salário da Categoria</t>
  </si>
  <si>
    <t>6% do salário do trabalhador</t>
  </si>
  <si>
    <t>Cesta básica</t>
  </si>
  <si>
    <t xml:space="preserve">Custo Mensal </t>
  </si>
  <si>
    <t xml:space="preserve">Total </t>
  </si>
  <si>
    <t>Vale Transporte SR/PF/AC - Seg a Sex - SERVENTE/LIMPADOR DE VIDROS</t>
  </si>
  <si>
    <t>Nota:</t>
  </si>
  <si>
    <t>1) O licitante deverá preencher os campos na cor AMARELA.</t>
  </si>
  <si>
    <t>Vale Transporte em EPITACIOLÂNDIA/AC - Seg a Sex</t>
  </si>
  <si>
    <t>Obs: Não se aplica em face de inexistência de transporte público regulamentado</t>
  </si>
  <si>
    <t>número de passagens/dia</t>
  </si>
  <si>
    <t>Vale Transporte em CRUZEIRO DO SUL/AC - Seg a Sex</t>
  </si>
  <si>
    <t>Vale Transporte Assis Brasil - Seg a Sex - SERVENTE</t>
  </si>
  <si>
    <t>RELAÇÃO DE MATERIAL DE LIMPEZA (Mensal)</t>
  </si>
  <si>
    <t>1.1</t>
  </si>
  <si>
    <t>RELAÇÃO DOS PRODUTOS DE LIMPEZA</t>
  </si>
  <si>
    <t>Unid. 
(1)</t>
  </si>
  <si>
    <t>Qtde - SR/PF/AC (2)</t>
  </si>
  <si>
    <t>VALOR UNITÁRIO 
(3)</t>
  </si>
  <si>
    <t>TOTAL  
(2 X 3)</t>
  </si>
  <si>
    <t>Qtde - Epitaciolândia (2)</t>
  </si>
  <si>
    <t>Qtde - Cruzeiro do Sul (2)</t>
  </si>
  <si>
    <t>Qtde - Assis Brasil (2)</t>
  </si>
  <si>
    <t>Litro</t>
  </si>
  <si>
    <t>Unid.</t>
  </si>
  <si>
    <t>Par</t>
  </si>
  <si>
    <t>Lata</t>
  </si>
  <si>
    <t>Pct.</t>
  </si>
  <si>
    <t>Flanela macia com 60x40cm, 100% algodão para limpeza de mobiliário vidros e para secagem de vasos sanitário,pia e banheiro.</t>
  </si>
  <si>
    <t xml:space="preserve">Gl </t>
  </si>
  <si>
    <t>Pacote c/ 4</t>
  </si>
  <si>
    <t>Frasco</t>
  </si>
  <si>
    <t>Saco de pano p/ limpeza tipo cobertor</t>
  </si>
  <si>
    <t>Fardo</t>
  </si>
  <si>
    <t>Und.</t>
  </si>
  <si>
    <t>Quantidade de servente=</t>
  </si>
  <si>
    <t>MATERIAIS DE UTENSÍLIOS (Vida útil considerada 12 meses)</t>
  </si>
  <si>
    <t xml:space="preserve">RELAÇÃO DE UTENSÍLIOS </t>
  </si>
  <si>
    <t>Unidade 
(1)</t>
  </si>
  <si>
    <t>Balde plástico capacidade de 10 litros, polietileno de alta densidade, alta resistência a impacto, paredes e fundo reforçados, reforço no encaixe de alça, alça em aço 1010/20 zincado.</t>
  </si>
  <si>
    <t>Desentupidor de pia, com cabo em madeira plastificado.</t>
  </si>
  <si>
    <t>Desentupidor de vaso sanitário, com cabo longo de madeira plastificado</t>
  </si>
  <si>
    <t>Kit Unger Completo - Limpeza de Vidro</t>
  </si>
  <si>
    <t>Escovão para limpeza em geral, Cerdas duras em nylon, corpo nylon</t>
  </si>
  <si>
    <t>Vasculhador c/ extensão</t>
  </si>
  <si>
    <t>Pá de ferro com cabo para área externa</t>
  </si>
  <si>
    <t>Escova de nylon p/lavanderia</t>
  </si>
  <si>
    <t>Espanador de pena para móveis, cabo de 60 cm</t>
  </si>
  <si>
    <t>Pá de lixo galvanizada, com cabo longo</t>
  </si>
  <si>
    <t>Rodo para limpeza de pia</t>
  </si>
  <si>
    <t>Rodo especial para janela/vidro</t>
  </si>
  <si>
    <t>Rodo para piso, com 40 cm, com 02 (duas) borrachas, base em polipropileno, cabo em madeira com encaixe rosqueado, comprimento de 150cm</t>
  </si>
  <si>
    <t>Vassoura de pêlo 40 cm;  Cabo: madeira, 1,50m; cerdas: pêlo sintético. Cabo perfeitamente liso, lixado.</t>
  </si>
  <si>
    <t>Vassoura de Piaçava Natural/tamanho mínimo: 22x4cm, cabo de rosca para fixação. Não será aceito piaçava com cerdas de plástico.</t>
  </si>
  <si>
    <t>Vassourão Gari 60cm, piaçava</t>
  </si>
  <si>
    <t xml:space="preserve">Vassoura vasculhar </t>
  </si>
  <si>
    <t xml:space="preserve">Dispenser para Papel Higiênico </t>
  </si>
  <si>
    <t>Unid</t>
  </si>
  <si>
    <t>Vassoura para limpeza de vaso sanitário. Material cerdas: nylon, material cabo: plástico.</t>
  </si>
  <si>
    <t>TOTAL=</t>
  </si>
  <si>
    <t>MATERIAL DE UTENSÍLIO (vida útil considerada 24 meses)</t>
  </si>
  <si>
    <t>Mangueira de nylon trançado 3/4", 50 metros</t>
  </si>
  <si>
    <t>EQUIPAMENTOS (VIDA ÚTIL - 60 MESES)</t>
  </si>
  <si>
    <t>3.1</t>
  </si>
  <si>
    <t xml:space="preserve">RELAÇÃO DE  EQUIPAMENTOS </t>
  </si>
  <si>
    <t>Unidade (1)</t>
  </si>
  <si>
    <t>VALOR UNITÁRIO (3)</t>
  </si>
  <si>
    <t xml:space="preserve">  TOTAL  
(2 X 3)</t>
  </si>
  <si>
    <t>Carrinho Funcional Multiuso, c/ 2 compartimentos estanques de cores diferentes (1 para coleta de lixo reciclável e 1 para não reciclável), diversos espaços nas laterais para fixação de pás, vassouras, rodos, panos, 3 bandejas para armazenar produtos de limpeza e baldes, 2 baldes c/ capac.de 25 l cada e 1 espremedor</t>
  </si>
  <si>
    <t>Carrinho de mão com caçamba em polipropileno, estrutura tubular bipartida em aço SAE 1020, Capacidade da Caçamba: 9 litros, pneu com câmera</t>
  </si>
  <si>
    <t>Apirador para pós e líquidos, sem a necessidade de mudar de filtro ou desligar o equipamento, reservatório com capacidade para 20 litros</t>
  </si>
  <si>
    <t>Enceradeira Industrial acompanhando todos os acessórios</t>
  </si>
  <si>
    <t>Ciscador leque cabo longo</t>
  </si>
  <si>
    <t>Enxada Cabo Longo</t>
  </si>
  <si>
    <t>Placas de sinalização de limpeza confeccionada em acrílico, tipo “Piso Molhado”</t>
  </si>
  <si>
    <t>Extensão Elétrica, fio paralelo de 3/2,5 mm e 50 m de comprimento</t>
  </si>
  <si>
    <t>Escada de alumínio tipo tesoura com 12 degraus</t>
  </si>
  <si>
    <t>Escada de alumínio tipo tesoura com 07 degraus</t>
  </si>
  <si>
    <t>Máquina de lavagem a hidrojato de alta pressão</t>
  </si>
  <si>
    <t xml:space="preserve">TOTAL= </t>
  </si>
  <si>
    <t>INSUMOS</t>
  </si>
  <si>
    <t>Material</t>
  </si>
  <si>
    <t>Equipamento</t>
  </si>
  <si>
    <t>08220.003569/2021-87</t>
  </si>
  <si>
    <t>DIA: XX/XX/2022 às 09:00</t>
  </si>
  <si>
    <t>XX/XX/2022</t>
  </si>
  <si>
    <t>2021/2022</t>
  </si>
  <si>
    <t xml:space="preserve">RIO BRANCO - AC </t>
  </si>
  <si>
    <t>M²</t>
  </si>
  <si>
    <t>ENCARREGADO - DIURNO - 44 HORAS SEMANAIS</t>
  </si>
  <si>
    <t>CBO 4141-05/4141-35</t>
  </si>
  <si>
    <t>SINDICATO DOS TRAB NAS EMPR DE LIMPEZA DO ESTADO DO AC, CNPJ n. 34.716.605/0001-03</t>
  </si>
  <si>
    <t xml:space="preserve">Férias e Adicional de Férias </t>
  </si>
  <si>
    <t>13º (décimo terceiro) Salário</t>
  </si>
  <si>
    <t>SUBMÓDULO 2.2 – ENCARGOS PREVIDENCIÁRIOS (GPS), FUNDO DE GARANTIA POR
 TEMPO DE SERVIÇOS (FGTS) E OUTRAS CONTRIBUIÇÕES</t>
  </si>
  <si>
    <r>
      <t xml:space="preserve">Transporte </t>
    </r>
    <r>
      <rPr>
        <b/>
        <i/>
        <sz val="10"/>
        <rFont val="Times New Roman"/>
        <family val="1"/>
      </rPr>
      <t>(CLÁUSULA DÉCIMA SEGUNDA)</t>
    </r>
  </si>
  <si>
    <r>
      <t xml:space="preserve">Auxílio Refeição/Alimentação </t>
    </r>
    <r>
      <rPr>
        <b/>
        <i/>
        <sz val="10"/>
        <rFont val="Times New Roman"/>
        <family val="1"/>
      </rPr>
      <t>(CLÁUSULA DÉCIMA PRIMEIRA)</t>
    </r>
  </si>
  <si>
    <t>Auxílio Funeral (CLÁUSULA DÉCIMA TERCEIRA)</t>
  </si>
  <si>
    <t>Programa de Qualificação do Trabalhador (CLÁUSULA VIGÉSIMA PRIMEIRA)</t>
  </si>
  <si>
    <t>Seguro de Vida (CLÁUSULA VIGÉSIMA QUARTA - Parágrafo Segundo)</t>
  </si>
  <si>
    <t>PCMSO/PPRA e CIPA (CLÁUSULA TRIGÉSIMA TERCEIRA - Parágrafo Único)</t>
  </si>
  <si>
    <t xml:space="preserve">Kit de Primeiros Socorros (CLÁUSULA TRIGÉSIMA SEXTA) </t>
  </si>
  <si>
    <t xml:space="preserve"> Multa do FGTS sobre o Aviso Prévio Indenizado </t>
  </si>
  <si>
    <t xml:space="preserve"> Multa do FGTS sobre o Aviso Prévio Trabalhado</t>
  </si>
  <si>
    <t>SUBMÓDULO 4.2 - SUBSTITUTO NA INTRAJORNADA (IN 07/18) - Não se aplica</t>
  </si>
  <si>
    <t xml:space="preserve">Quantidade Total a Contratar </t>
  </si>
  <si>
    <t>Uniformes -  (CLÁUSULA VIGÉSIMA SEGUNDA - Parágrafo Quinto da CCT)</t>
  </si>
  <si>
    <t>Materiais - Não Possui</t>
  </si>
  <si>
    <t>Equipamentos - Não possui</t>
  </si>
  <si>
    <t>(EPIs) - (CLÁUSULA VIGÉSIMA SEGUNDA - Parágrafo Quinto da CCT)</t>
  </si>
  <si>
    <t>Custo Mensal por Prestador</t>
  </si>
  <si>
    <t xml:space="preserve">          </t>
  </si>
  <si>
    <t>Água sanitária, uso doméstico, a base de hipoclorito de sódio. Embalagem plástica de 01 litro, com dados de identificação do produto, marca do fabricante, data de fabricação, prazo de validade e registro no Ministério da Saúde. Marca de Referência: QBOA, similar ou de melhor qualidade.</t>
  </si>
  <si>
    <t>Apanhador de lixo cabo longo. Marca de Referência: Santa Maria, similar ou de melhor qualidade.</t>
  </si>
  <si>
    <t>SERVENTE - DIURNO - 44 HORAS SEMANAIS</t>
  </si>
  <si>
    <t>CBO 5143-00 / 5143-20</t>
  </si>
  <si>
    <t>LIMPADOR (A) DE VIDROS/SERVENTE</t>
  </si>
  <si>
    <t>LIMPADOR (A) DE VIDROS/SERVENTE - DIURNO - 44 HORAS SEMANAIS</t>
  </si>
  <si>
    <t>CBO 5143-00 / 5143-05</t>
  </si>
  <si>
    <t xml:space="preserve">CRUZEIRO DO SUL - AC </t>
  </si>
  <si>
    <t xml:space="preserve">EPITACIOLÂNDIA - AC </t>
  </si>
  <si>
    <t>PROPOSTA DE PREÇOS</t>
  </si>
  <si>
    <t>1. Razão Social:</t>
  </si>
  <si>
    <t>2. CNPJ Nº</t>
  </si>
  <si>
    <t>3. Endereço:</t>
  </si>
  <si>
    <t>4. CEP.:</t>
  </si>
  <si>
    <t>5. Banco:</t>
  </si>
  <si>
    <t>Agência:</t>
  </si>
  <si>
    <t>Conta Corrente:</t>
  </si>
  <si>
    <t>3. Telefone/FAX:</t>
  </si>
  <si>
    <t>E-mail:</t>
  </si>
  <si>
    <t>4. Validade da Proposta:</t>
  </si>
  <si>
    <t>LOCALIDADE 1</t>
  </si>
  <si>
    <t>ÁREAS M²</t>
  </si>
  <si>
    <t>VALOR DO M²</t>
  </si>
  <si>
    <t>VALOR MENSAL</t>
  </si>
  <si>
    <t>VALOR ANUAL</t>
  </si>
  <si>
    <t>Área Interna</t>
  </si>
  <si>
    <t>Área Externa</t>
  </si>
  <si>
    <t>Esquadria Externa - Face interna e externa</t>
  </si>
  <si>
    <t>Fachada Envidraçada</t>
  </si>
  <si>
    <t>TOTAL ÁREA SR/PF/AC</t>
  </si>
  <si>
    <t>VALOR TOTAL 
SR/PF/AC</t>
  </si>
  <si>
    <t>LOCALIDADE 2</t>
  </si>
  <si>
    <t>Delegacia de Epitaciolândia</t>
  </si>
  <si>
    <t>TOTAL ÁREA DPF/EPA/AC</t>
  </si>
  <si>
    <t>VALOR TOTAL DPF/EPA/AC</t>
  </si>
  <si>
    <t>LOCALIDADE 3</t>
  </si>
  <si>
    <t>Delegacia de Cruzeiro do Sul</t>
  </si>
  <si>
    <t>TOTAL ÁREA DPF/CZS/AC</t>
  </si>
  <si>
    <t>VALOR TOTAL 
DPF/CZS/AC</t>
  </si>
  <si>
    <t>LOCALIDADE 4</t>
  </si>
  <si>
    <t>Posto de Assis Brasil</t>
  </si>
  <si>
    <t>TOTAL ÁREA ASSIS BRASIL</t>
  </si>
  <si>
    <t>VALOR TOTAL 
ASSIS BRASIL</t>
  </si>
  <si>
    <t>VALOR GLOBAL DA PROPOSTA</t>
  </si>
  <si>
    <t>Declarações:</t>
  </si>
  <si>
    <t>Declaramos expressamente que nos preços propostos encontram-se incluídas todas as despesas diretas e indiretas, tributos incidentes, encargos sociais, previdenciários, trabalhistas e comerciais, custos operacionais, fardamentas, vale transporte, além daqueles previstos pelas normas da categoria aplicada, frete, seguros e demais despesas e quaisquer outros ônus que porventura possam recair sobre o fornecimento do objeto da presente licitação.</t>
  </si>
  <si>
    <t>Declaramos que tomamos conhecimento de todas as informações necessárias para elaboração das nossas planilhas de formação de preços para atender as necessidades em conformidade com as especificações contidas no Anexo I - Termo de Referência do Edital.</t>
  </si>
  <si>
    <t>Dados do Representante Legal da Empresa para assinatura do Contrato:</t>
  </si>
  <si>
    <t>1. Nome:</t>
  </si>
  <si>
    <t>2. CPF.:</t>
  </si>
  <si>
    <t>4. Cargo/Função:</t>
  </si>
  <si>
    <t>Naturalidade:</t>
  </si>
  <si>
    <t>Nacionalidade:</t>
  </si>
  <si>
    <t>Estado Cívil:</t>
  </si>
  <si>
    <t xml:space="preserve">ASSIS BRASIL - AC </t>
  </si>
  <si>
    <t>TOTAL  
(2 X 3)/24</t>
  </si>
  <si>
    <t>5. Apresentamos nossa proposta de preço, para prestação dos serviços referente ao Pregão Eletrônico nº 01/2022, acatando todas as estipulações consignados no Edital e seus anexos, conforme abaixo:</t>
  </si>
  <si>
    <t>Município, XX de XX de 2022</t>
  </si>
  <si>
    <t>PREGÃO ELETRÔNICO 19/2021</t>
  </si>
  <si>
    <t>Materiais</t>
  </si>
  <si>
    <t xml:space="preserve">Equipamentos </t>
  </si>
  <si>
    <t xml:space="preserve">Materiais </t>
  </si>
  <si>
    <t>Cera para piso. Marca de Referência: Ingleza, similar ou de melhor qualidade.</t>
  </si>
  <si>
    <t>Luvas de borracha. Marca de Referência: Scotch Brite, similar ou de melhor qualidade.</t>
  </si>
  <si>
    <t>Pasta cristal. Marca de Referência: Cristal Rosa, similar ou de melhor qualidade.</t>
  </si>
  <si>
    <t>Pedra sanitária, de 40 g. Marca de Referência: Harpic, similar ou de melhor qualidade.</t>
  </si>
  <si>
    <t>Desinfetante Ambiente Spray. Marca de Referência: Lysol, similar ou de melhor qualidade.</t>
  </si>
  <si>
    <t>Detergente Líquido, neutro para louças, 1ª qualidade, embalagem de 500ml. . Marca de Referência: Ypê, similar ou de melhor qualidade.</t>
  </si>
  <si>
    <t>Álcool etílico hidratado, 70° GL, LÍQUIDO, para limpeza geral. . Marca de Referência: Start, similar ou de melhor qualidade.</t>
  </si>
  <si>
    <r>
      <t xml:space="preserve">Alcool em </t>
    </r>
    <r>
      <rPr>
        <b/>
        <sz val="10"/>
        <color theme="1"/>
        <rFont val="Times New Roman"/>
        <family val="1"/>
      </rPr>
      <t>GEL</t>
    </r>
    <r>
      <rPr>
        <sz val="10"/>
        <color theme="1"/>
        <rFont val="Times New Roman"/>
        <family val="1"/>
      </rPr>
      <t xml:space="preserve"> 70%, de primeira qualidade com ação germicida, para higiene e assepsia das mãos.. Marca de Referência: Asseptgel, similar ou de melhor qualidade.  </t>
    </r>
  </si>
  <si>
    <t>Esponja de lã de aço. Embalagem: pct. com 8 unidades. Marca de Referência: Assolan, similar ou de melhor qualidade.</t>
  </si>
  <si>
    <t>Desinfetante líquido para uso geral, de 1ª qualidade, galão com 5(cinco) litros, com dados de identificação do produto, marca do fabricante, data de fabricação e prazo de validade.Marca de Referência: Ypê, similar ou de melhor qualidade.</t>
  </si>
  <si>
    <t>Limpador Multiuso 500 ml, tipo  Multiuso. Marca de Referência: Ypê, similar ou de melhor qualidade.</t>
  </si>
  <si>
    <t>Esponja dupla face, um lado em espuma poliuretano e outro em fibra sintética abrasiva, dimensões 100 x 70 x 20mm, com variação de +/- 10mm. Embalagem com dados de identifcação do produto e marca do fabricante.Marca de Referência: Scotch Brite, similar ou de melhor qualidade.</t>
  </si>
  <si>
    <t>Limpa vidro, Embalagem de 500 ml, na versão pulverizador. Marca de Referência: Veja, similar ou de melhor qualidade.</t>
  </si>
  <si>
    <t>Sabão em barra de 1ª qualidade, pacote com 5 unidades. Marca de Referência: Ypê, similar ou de melhor qualidade.</t>
  </si>
  <si>
    <t>Sabonete de 1ª qualidade em barra. . Marca de Referência: Lux, similar ou de melhor qualidade.</t>
  </si>
  <si>
    <t>Saco plástico p/lixo de alta resistência, "0,07" de micragem mínima, cor preto, 30 lts. (pct. c/100). Marca de Referência: Brilhus, similar ou de melhor qualidade.</t>
  </si>
  <si>
    <t>Saco plástico p/lixo de alta resistência, "0,07" de micragem mínima, cor preto, 100 lts. (pct. c/100)Marca de Referência: Brilhus, similar ou de melhor qualidade.</t>
  </si>
  <si>
    <t>Saco plástico p/lixo de alta resistência, "0,07" de micragem mínima, cor preto, 50 lts. (pct. c/100). Marca de Referência: Brilhus, similar ou de melhor qualidade.</t>
  </si>
  <si>
    <t>Soda cáustica. Marca de Referência: Diabo Verde, similar ou de melhor qualidade.</t>
  </si>
  <si>
    <t>Papel higiênico de primeira qualidade, extra macio e branco, 100% celulose, gofrado, folha dupla, em rolo com 250 metros, adaptável ao dispenser fornecido e instalado pela empresa, uso nos banheiros. Marca de Referência: Scott, similar ou de melhor qualidade.</t>
  </si>
  <si>
    <t>Toalha de Papel 100% celulose, maciez e alta absorção, econômicas, de primeira qualidade, branco , com 2 dobras, pacote com  2.400 folhas, adaptável ao dispenser fornecido e instalado pela empresa, uso nos banheiros e copas. Embalagem contendo marca do fabricante, cor e lote do produto. Marca de Referência: Scott, similar ou de melhor qualidade.</t>
  </si>
  <si>
    <t xml:space="preserve">Sabonete líquido concentrado. Marca de Referência: Lux, similar ou de melhor qualidade. </t>
  </si>
  <si>
    <t>Lustra móveis, com fragância agradável. 200 ml. Marca de Referência: Poliflor, similar ou de melhor qualidade.</t>
  </si>
  <si>
    <t>Sabão em pó, 500 gr. Marca de Referência: Ypê, similar ou de melhor qualidade.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</si>
</sst>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7" formatCode="&quot;R$&quot;\ #,##0.00;\-&quot;R$&quot;\ #,##0.00"/>
    <numFmt numFmtId="44" formatCode="_-&quot;R$&quot;\ * #,##0.00_-;\-&quot;R$&quot;\ * #,##0.00_-;_-&quot;R$&quot;\ * &quot;-&quot;??_-;_-@_-"/>
    <numFmt numFmtId="43" formatCode="_-* #,##0.00_-;\-* #,##0.00_-;_-* &quot;-&quot;??_-;_-@_-"/>
    <numFmt numFmtId="164" formatCode="0.000%"/>
    <numFmt numFmtId="165" formatCode="0.0000"/>
    <numFmt numFmtId="166" formatCode="0.000"/>
    <numFmt numFmtId="167" formatCode="0.0000000"/>
    <numFmt numFmtId="168" formatCode="0.0000%"/>
    <numFmt numFmtId="169" formatCode="_-* #,##0.000_-;\-* #,##0.000_-;_-* &quot;-&quot;??_-;_-@_-"/>
    <numFmt numFmtId="170" formatCode="#,##0.00\ ;&quot; (&quot;#,##0.00\);&quot; -&quot;#\ ;@\ "/>
    <numFmt numFmtId="171" formatCode="&quot;R$&quot;\ #,##0.00"/>
    <numFmt numFmtId="172" formatCode="#,##0.0000"/>
    <numFmt numFmtId="173" formatCode="_(* #,##0.00_);_(* \(#,##0.00\);_(* &quot;-&quot;??_);_(@_)"/>
    <numFmt numFmtId="174" formatCode="_(&quot;R$ &quot;* #,##0.00_);_(&quot;R$ &quot;* \(#,##0.00\);_(&quot;R$ &quot;* &quot;-&quot;??_);_(@_)"/>
  </numFmts>
  <fonts count="19" x14ac:knownFonts="1">
    <font>
      <sz val="11"/>
      <color theme="1"/>
      <name val="Calibri"/>
      <family val="2"/>
      <scheme val="minor"/>
    </font>
    <font>
      <sz val="11"/>
      <color theme="1"/>
      <name val="Calibri"/>
      <family val="2"/>
      <scheme val="minor"/>
    </font>
    <font>
      <sz val="10"/>
      <name val="Arial"/>
      <family val="2"/>
    </font>
    <font>
      <u/>
      <sz val="10"/>
      <color indexed="12"/>
      <name val="Arial"/>
      <family val="2"/>
    </font>
    <font>
      <b/>
      <sz val="9"/>
      <color indexed="81"/>
      <name val="Segoe UI"/>
      <family val="2"/>
    </font>
    <font>
      <sz val="9"/>
      <color indexed="81"/>
      <name val="Segoe UI"/>
      <family val="2"/>
    </font>
    <font>
      <sz val="10"/>
      <name val="Times New Roman"/>
      <family val="1"/>
    </font>
    <font>
      <b/>
      <sz val="10"/>
      <name val="Times New Roman"/>
      <family val="1"/>
    </font>
    <font>
      <b/>
      <sz val="10"/>
      <color rgb="FFFF0000"/>
      <name val="Times New Roman"/>
      <family val="1"/>
    </font>
    <font>
      <sz val="10"/>
      <color theme="1"/>
      <name val="Times New Roman"/>
      <family val="1"/>
    </font>
    <font>
      <b/>
      <sz val="10"/>
      <color theme="0"/>
      <name val="Times New Roman"/>
      <family val="1"/>
    </font>
    <font>
      <b/>
      <i/>
      <sz val="10"/>
      <name val="Times New Roman"/>
      <family val="1"/>
    </font>
    <font>
      <b/>
      <u/>
      <sz val="10"/>
      <name val="Times New Roman"/>
      <family val="1"/>
    </font>
    <font>
      <b/>
      <sz val="10"/>
      <color theme="1"/>
      <name val="Times New Roman"/>
      <family val="1"/>
    </font>
    <font>
      <i/>
      <sz val="10"/>
      <name val="Times New Roman"/>
      <family val="1"/>
    </font>
    <font>
      <sz val="10"/>
      <color theme="4" tint="-0.249977111117893"/>
      <name val="Times New Roman"/>
      <family val="1"/>
    </font>
    <font>
      <b/>
      <sz val="10"/>
      <color theme="4" tint="-0.249977111117893"/>
      <name val="Times New Roman"/>
      <family val="1"/>
    </font>
    <font>
      <sz val="10"/>
      <color rgb="FF000000"/>
      <name val="Times New Roman"/>
      <family val="1"/>
    </font>
    <font>
      <b/>
      <sz val="10"/>
      <color rgb="FF000000"/>
      <name val="Times New Roman"/>
      <family val="1"/>
    </font>
  </fonts>
  <fills count="27">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rgb="FF00FF00"/>
        <bgColor indexed="64"/>
      </patternFill>
    </fill>
    <fill>
      <patternFill patternType="solid">
        <fgColor theme="3" tint="0.79998168889431442"/>
        <bgColor indexed="64"/>
      </patternFill>
    </fill>
    <fill>
      <patternFill patternType="solid">
        <fgColor rgb="FFFF0000"/>
        <bgColor indexed="64"/>
      </patternFill>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lightGrid">
        <bgColor theme="8" tint="-0.499984740745262"/>
      </patternFill>
    </fill>
    <fill>
      <patternFill patternType="solid">
        <fgColor theme="3"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rgb="FFFFFFFF"/>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theme="5" tint="0.39997558519241921"/>
        <bgColor indexed="64"/>
      </patternFill>
    </fill>
    <fill>
      <patternFill patternType="solid">
        <fgColor indexed="9"/>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4" tint="0.39997558519241921"/>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ck">
        <color theme="0"/>
      </bottom>
      <diagonal/>
    </border>
    <border>
      <left/>
      <right/>
      <top style="thin">
        <color indexed="64"/>
      </top>
      <bottom style="thick">
        <color theme="0"/>
      </bottom>
      <diagonal/>
    </border>
    <border>
      <left/>
      <right style="thin">
        <color indexed="64"/>
      </right>
      <top style="thin">
        <color indexed="64"/>
      </top>
      <bottom style="thick">
        <color theme="0"/>
      </bottom>
      <diagonal/>
    </border>
    <border>
      <left/>
      <right/>
      <top style="thick">
        <color theme="0"/>
      </top>
      <bottom/>
      <diagonal/>
    </border>
    <border>
      <left/>
      <right style="thick">
        <color theme="0"/>
      </right>
      <top style="thick">
        <color theme="0"/>
      </top>
      <bottom/>
      <diagonal/>
    </border>
    <border>
      <left style="thick">
        <color theme="0"/>
      </left>
      <right style="thick">
        <color theme="0"/>
      </right>
      <top style="thick">
        <color theme="0"/>
      </top>
      <bottom style="thick">
        <color theme="0"/>
      </bottom>
      <diagonal/>
    </border>
    <border>
      <left/>
      <right style="thick">
        <color theme="0"/>
      </right>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ck">
        <color theme="0"/>
      </left>
      <right style="thick">
        <color theme="0"/>
      </right>
      <top style="thick">
        <color theme="0"/>
      </top>
      <bottom/>
      <diagonal/>
    </border>
    <border>
      <left style="thick">
        <color theme="0"/>
      </left>
      <right style="thin">
        <color indexed="64"/>
      </right>
      <top style="thick">
        <color theme="0"/>
      </top>
      <bottom style="thin">
        <color indexed="64"/>
      </bottom>
      <diagonal/>
    </border>
    <border>
      <left style="thick">
        <color theme="0"/>
      </left>
      <right style="thin">
        <color indexed="64"/>
      </right>
      <top style="thick">
        <color theme="0"/>
      </top>
      <bottom style="thick">
        <color theme="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13">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0" fontId="2" fillId="0" borderId="0"/>
    <xf numFmtId="0" fontId="1" fillId="0" borderId="0"/>
    <xf numFmtId="44" fontId="1" fillId="0" borderId="0" applyFont="0" applyFill="0" applyBorder="0" applyAlignment="0" applyProtection="0"/>
    <xf numFmtId="0" fontId="3" fillId="0" borderId="0" applyNumberFormat="0" applyFill="0" applyBorder="0" applyAlignment="0" applyProtection="0">
      <alignment vertical="top"/>
      <protection locked="0"/>
    </xf>
    <xf numFmtId="170" fontId="2" fillId="0" borderId="0" applyFill="0" applyBorder="0" applyAlignment="0" applyProtection="0"/>
    <xf numFmtId="174" fontId="1" fillId="0" borderId="0" applyFont="0" applyFill="0" applyBorder="0" applyAlignment="0" applyProtection="0"/>
    <xf numFmtId="173" fontId="1" fillId="0" borderId="0" applyFont="0" applyFill="0" applyBorder="0" applyAlignment="0" applyProtection="0"/>
    <xf numFmtId="174" fontId="1" fillId="0" borderId="0" applyFont="0" applyFill="0" applyBorder="0" applyAlignment="0" applyProtection="0"/>
  </cellStyleXfs>
  <cellXfs count="530">
    <xf numFmtId="0" fontId="0" fillId="0" borderId="0" xfId="0"/>
    <xf numFmtId="0" fontId="6" fillId="0" borderId="11" xfId="6" applyFont="1" applyBorder="1" applyAlignment="1">
      <alignment horizontal="center" vertical="center" wrapText="1"/>
    </xf>
    <xf numFmtId="0" fontId="6" fillId="5" borderId="0" xfId="0" applyFont="1" applyFill="1" applyBorder="1" applyAlignment="1">
      <alignment vertical="center"/>
    </xf>
    <xf numFmtId="0" fontId="7" fillId="0" borderId="8" xfId="4" applyFont="1" applyBorder="1" applyAlignment="1">
      <alignment horizontal="right" vertical="center" wrapText="1"/>
    </xf>
    <xf numFmtId="0" fontId="6" fillId="0" borderId="11" xfId="0" applyFont="1" applyBorder="1" applyAlignment="1">
      <alignment horizontal="center" vertical="center"/>
    </xf>
    <xf numFmtId="0" fontId="6" fillId="0" borderId="11" xfId="4" applyFont="1" applyBorder="1" applyAlignment="1">
      <alignment horizontal="right" vertical="center" wrapText="1"/>
    </xf>
    <xf numFmtId="0" fontId="7" fillId="5" borderId="0" xfId="0" applyFont="1" applyFill="1" applyBorder="1" applyAlignment="1">
      <alignment vertical="center"/>
    </xf>
    <xf numFmtId="0" fontId="11" fillId="0" borderId="11" xfId="5" applyFont="1" applyBorder="1" applyAlignment="1">
      <alignment horizontal="center" vertical="center" wrapText="1"/>
    </xf>
    <xf numFmtId="0" fontId="6" fillId="5" borderId="11" xfId="5" applyFont="1" applyFill="1" applyBorder="1" applyAlignment="1">
      <alignment horizontal="center" vertical="center" wrapText="1"/>
    </xf>
    <xf numFmtId="10" fontId="6" fillId="5" borderId="0" xfId="3" applyNumberFormat="1" applyFont="1" applyFill="1" applyBorder="1" applyAlignment="1">
      <alignment vertical="center"/>
    </xf>
    <xf numFmtId="0" fontId="6" fillId="0" borderId="11" xfId="5" applyFont="1" applyBorder="1" applyAlignment="1">
      <alignment horizontal="justify" vertical="center" wrapText="1"/>
    </xf>
    <xf numFmtId="0" fontId="6" fillId="0" borderId="11" xfId="0" applyFont="1" applyBorder="1" applyAlignment="1">
      <alignment horizontal="justify" vertical="center"/>
    </xf>
    <xf numFmtId="0" fontId="6" fillId="2" borderId="11" xfId="0" applyFont="1" applyFill="1" applyBorder="1" applyAlignment="1">
      <alignment horizontal="center" vertical="center" wrapText="1"/>
    </xf>
    <xf numFmtId="0" fontId="6" fillId="0" borderId="11" xfId="0" applyFont="1" applyBorder="1" applyAlignment="1">
      <alignment horizontal="center" vertical="center" wrapText="1"/>
    </xf>
    <xf numFmtId="4" fontId="6" fillId="5" borderId="0" xfId="0" applyNumberFormat="1" applyFont="1" applyFill="1" applyBorder="1" applyAlignment="1">
      <alignment vertical="center"/>
    </xf>
    <xf numFmtId="0" fontId="9" fillId="0" borderId="0" xfId="0" applyFont="1"/>
    <xf numFmtId="0" fontId="7" fillId="2" borderId="8" xfId="6" applyFont="1" applyFill="1" applyBorder="1" applyAlignment="1">
      <alignment vertical="center"/>
    </xf>
    <xf numFmtId="9" fontId="7" fillId="5" borderId="0" xfId="0" applyNumberFormat="1" applyFont="1" applyFill="1" applyBorder="1" applyAlignment="1">
      <alignment vertical="center"/>
    </xf>
    <xf numFmtId="0" fontId="7" fillId="5" borderId="11" xfId="6" applyFont="1" applyFill="1" applyBorder="1" applyAlignment="1">
      <alignment horizontal="center" vertical="center"/>
    </xf>
    <xf numFmtId="0" fontId="7" fillId="5" borderId="9" xfId="6" applyFont="1" applyFill="1" applyBorder="1" applyAlignment="1">
      <alignment horizontal="left" vertical="center"/>
    </xf>
    <xf numFmtId="0" fontId="7" fillId="5" borderId="9" xfId="6" applyFont="1" applyFill="1" applyBorder="1" applyAlignment="1">
      <alignment horizontal="center" vertical="center"/>
    </xf>
    <xf numFmtId="0" fontId="10" fillId="12" borderId="30" xfId="6" applyFont="1" applyFill="1" applyBorder="1" applyAlignment="1">
      <alignment horizontal="center" vertical="center" wrapText="1"/>
    </xf>
    <xf numFmtId="166" fontId="7" fillId="5" borderId="0" xfId="0" applyNumberFormat="1" applyFont="1" applyFill="1" applyBorder="1" applyAlignment="1">
      <alignment vertical="center"/>
    </xf>
    <xf numFmtId="4" fontId="7" fillId="0" borderId="0" xfId="0" applyNumberFormat="1" applyFont="1" applyFill="1" applyBorder="1" applyAlignment="1">
      <alignment vertical="center"/>
    </xf>
    <xf numFmtId="10" fontId="7" fillId="0" borderId="11" xfId="3" applyNumberFormat="1" applyFont="1" applyBorder="1" applyAlignment="1">
      <alignment horizontal="center" vertical="center"/>
    </xf>
    <xf numFmtId="2" fontId="7" fillId="5" borderId="0" xfId="0" applyNumberFormat="1" applyFont="1" applyFill="1" applyBorder="1" applyAlignment="1">
      <alignment vertical="center"/>
    </xf>
    <xf numFmtId="0" fontId="7" fillId="11" borderId="11" xfId="6" applyFont="1" applyFill="1" applyBorder="1" applyAlignment="1">
      <alignment horizontal="center" vertical="center" wrapText="1"/>
    </xf>
    <xf numFmtId="4" fontId="7" fillId="11" borderId="11" xfId="6" applyNumberFormat="1" applyFont="1" applyFill="1" applyBorder="1" applyAlignment="1">
      <alignment horizontal="center" vertical="center" wrapText="1"/>
    </xf>
    <xf numFmtId="10" fontId="7" fillId="5" borderId="0" xfId="0" applyNumberFormat="1" applyFont="1" applyFill="1" applyBorder="1" applyAlignment="1">
      <alignment vertical="center"/>
    </xf>
    <xf numFmtId="168" fontId="7" fillId="5" borderId="0" xfId="0" applyNumberFormat="1" applyFont="1" applyFill="1" applyBorder="1" applyAlignment="1">
      <alignment vertical="center"/>
    </xf>
    <xf numFmtId="4" fontId="7" fillId="0" borderId="11" xfId="0" applyNumberFormat="1" applyFont="1" applyBorder="1" applyAlignment="1">
      <alignment vertical="center"/>
    </xf>
    <xf numFmtId="0" fontId="10" fillId="12" borderId="30" xfId="0" applyFont="1" applyFill="1" applyBorder="1" applyAlignment="1">
      <alignment horizontal="center" vertical="center"/>
    </xf>
    <xf numFmtId="0" fontId="6" fillId="5" borderId="8" xfId="6" applyFont="1" applyFill="1" applyBorder="1" applyAlignment="1">
      <alignment horizontal="center" vertical="center" wrapText="1"/>
    </xf>
    <xf numFmtId="0" fontId="6" fillId="0" borderId="8" xfId="6" applyFont="1" applyBorder="1" applyAlignment="1">
      <alignment horizontal="center" vertical="center" wrapText="1"/>
    </xf>
    <xf numFmtId="0" fontId="6" fillId="6" borderId="11" xfId="6" applyFont="1" applyFill="1" applyBorder="1" applyAlignment="1">
      <alignment horizontal="center" vertical="center" wrapText="1"/>
    </xf>
    <xf numFmtId="0" fontId="7" fillId="0" borderId="11" xfId="6" applyFont="1" applyBorder="1" applyAlignment="1">
      <alignment vertical="center" wrapText="1"/>
    </xf>
    <xf numFmtId="0" fontId="7" fillId="0" borderId="11" xfId="6" applyFont="1" applyBorder="1" applyAlignment="1">
      <alignment horizontal="center" vertical="center" wrapText="1"/>
    </xf>
    <xf numFmtId="0" fontId="7" fillId="4" borderId="16" xfId="6" applyFont="1" applyFill="1" applyBorder="1" applyAlignment="1">
      <alignment vertical="center" wrapText="1"/>
    </xf>
    <xf numFmtId="0" fontId="7" fillId="0" borderId="16" xfId="6" applyFont="1" applyBorder="1" applyAlignment="1">
      <alignment vertical="center" wrapText="1"/>
    </xf>
    <xf numFmtId="0" fontId="7" fillId="0" borderId="8" xfId="6" applyFont="1" applyBorder="1" applyAlignment="1">
      <alignment horizontal="left" vertical="center" wrapText="1"/>
    </xf>
    <xf numFmtId="0" fontId="7" fillId="0" borderId="18" xfId="6" applyFont="1" applyBorder="1" applyAlignment="1">
      <alignment vertical="center" wrapText="1"/>
    </xf>
    <xf numFmtId="0" fontId="7" fillId="0" borderId="14" xfId="6" applyFont="1" applyBorder="1" applyAlignment="1">
      <alignment horizontal="left" vertical="center" wrapText="1"/>
    </xf>
    <xf numFmtId="0" fontId="6" fillId="0" borderId="8" xfId="6" applyFont="1" applyBorder="1" applyAlignment="1">
      <alignment vertical="center" wrapText="1"/>
    </xf>
    <xf numFmtId="0" fontId="7" fillId="0" borderId="8" xfId="6" applyFont="1" applyBorder="1" applyAlignment="1">
      <alignment vertical="center"/>
    </xf>
    <xf numFmtId="0" fontId="6" fillId="0" borderId="14" xfId="6" applyFont="1" applyBorder="1" applyAlignment="1">
      <alignment vertical="center" wrapText="1"/>
    </xf>
    <xf numFmtId="0" fontId="7" fillId="0" borderId="7" xfId="6" applyFont="1" applyBorder="1" applyAlignment="1">
      <alignment vertical="center" wrapText="1"/>
    </xf>
    <xf numFmtId="0" fontId="7" fillId="17" borderId="11" xfId="0" applyFont="1" applyFill="1" applyBorder="1" applyAlignment="1">
      <alignment vertical="center"/>
    </xf>
    <xf numFmtId="4" fontId="7" fillId="10" borderId="11" xfId="6" applyNumberFormat="1" applyFont="1" applyFill="1" applyBorder="1" applyAlignment="1">
      <alignment horizontal="center" vertical="center" wrapText="1"/>
    </xf>
    <xf numFmtId="0" fontId="7" fillId="0" borderId="8" xfId="6" applyFont="1" applyBorder="1" applyAlignment="1">
      <alignment vertical="center" wrapText="1"/>
    </xf>
    <xf numFmtId="0" fontId="7" fillId="0" borderId="9" xfId="6" applyFont="1" applyBorder="1" applyAlignment="1">
      <alignment vertical="center" wrapText="1"/>
    </xf>
    <xf numFmtId="0" fontId="7" fillId="0" borderId="10" xfId="6" applyFont="1" applyBorder="1" applyAlignment="1">
      <alignment vertical="center" wrapText="1"/>
    </xf>
    <xf numFmtId="164" fontId="7" fillId="10" borderId="11" xfId="3" applyNumberFormat="1" applyFont="1" applyFill="1" applyBorder="1" applyAlignment="1">
      <alignment vertical="center"/>
    </xf>
    <xf numFmtId="0" fontId="6" fillId="0" borderId="0" xfId="0" applyFont="1" applyAlignment="1">
      <alignment vertical="center"/>
    </xf>
    <xf numFmtId="0" fontId="6" fillId="0" borderId="0" xfId="0" applyFont="1" applyAlignment="1">
      <alignment horizontal="justify" vertical="center"/>
    </xf>
    <xf numFmtId="164" fontId="7" fillId="0" borderId="0" xfId="3" applyNumberFormat="1" applyFont="1" applyFill="1" applyAlignment="1">
      <alignment vertical="center"/>
    </xf>
    <xf numFmtId="4" fontId="6" fillId="0" borderId="0" xfId="0" applyNumberFormat="1" applyFont="1" applyAlignment="1">
      <alignment vertical="center"/>
    </xf>
    <xf numFmtId="4" fontId="7" fillId="7" borderId="11" xfId="6" applyNumberFormat="1" applyFont="1" applyFill="1" applyBorder="1" applyAlignment="1">
      <alignment horizontal="center" vertical="center" wrapText="1"/>
    </xf>
    <xf numFmtId="0" fontId="7" fillId="8" borderId="11" xfId="6" applyFont="1" applyFill="1" applyBorder="1" applyAlignment="1">
      <alignment horizontal="center" vertical="center" wrapText="1"/>
    </xf>
    <xf numFmtId="0" fontId="7" fillId="2" borderId="11" xfId="0" applyFont="1" applyFill="1" applyBorder="1" applyAlignment="1">
      <alignment vertical="center"/>
    </xf>
    <xf numFmtId="0" fontId="7" fillId="0" borderId="11" xfId="0" applyFont="1" applyBorder="1" applyAlignment="1">
      <alignment vertical="center"/>
    </xf>
    <xf numFmtId="0" fontId="6" fillId="0" borderId="0" xfId="0" applyFont="1"/>
    <xf numFmtId="0" fontId="7" fillId="11" borderId="9" xfId="6" applyFont="1" applyFill="1" applyBorder="1" applyAlignment="1">
      <alignment horizontal="left" vertical="center" wrapText="1"/>
    </xf>
    <xf numFmtId="0" fontId="7" fillId="11" borderId="9" xfId="6" applyFont="1" applyFill="1" applyBorder="1" applyAlignment="1">
      <alignment horizontal="right" vertical="center" wrapText="1"/>
    </xf>
    <xf numFmtId="0" fontId="7" fillId="11" borderId="10" xfId="6" applyFont="1" applyFill="1" applyBorder="1" applyAlignment="1">
      <alignment horizontal="right" vertical="center" wrapText="1"/>
    </xf>
    <xf numFmtId="0" fontId="7" fillId="15" borderId="8" xfId="6" applyFont="1" applyFill="1" applyBorder="1" applyAlignment="1">
      <alignment horizontal="right" vertical="center" wrapText="1"/>
    </xf>
    <xf numFmtId="0" fontId="7" fillId="4" borderId="8" xfId="6" applyFont="1" applyFill="1" applyBorder="1" applyAlignment="1">
      <alignment vertical="center" wrapText="1"/>
    </xf>
    <xf numFmtId="9" fontId="7" fillId="5" borderId="0" xfId="3" applyFont="1" applyFill="1" applyBorder="1" applyAlignment="1">
      <alignmen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13" fillId="13" borderId="11" xfId="0" applyFont="1" applyFill="1" applyBorder="1" applyAlignment="1">
      <alignment horizontal="center" vertical="center" wrapText="1"/>
    </xf>
    <xf numFmtId="0" fontId="13" fillId="20" borderId="11" xfId="0" applyFont="1" applyFill="1" applyBorder="1" applyAlignment="1">
      <alignment horizontal="center" vertical="center" wrapText="1"/>
    </xf>
    <xf numFmtId="0" fontId="9"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3" fontId="6" fillId="0" borderId="11" xfId="0" applyNumberFormat="1" applyFont="1" applyBorder="1" applyAlignment="1">
      <alignment horizontal="center" vertical="center" wrapText="1"/>
    </xf>
    <xf numFmtId="0" fontId="15" fillId="0" borderId="11" xfId="0" applyFont="1" applyBorder="1" applyAlignment="1">
      <alignment horizontal="center" vertical="center" wrapText="1"/>
    </xf>
    <xf numFmtId="0" fontId="13" fillId="0" borderId="11" xfId="0" applyFont="1" applyBorder="1" applyAlignment="1">
      <alignment horizontal="center" vertical="center"/>
    </xf>
    <xf numFmtId="0" fontId="13" fillId="2" borderId="11" xfId="0" applyFont="1" applyFill="1" applyBorder="1" applyAlignment="1">
      <alignment horizontal="center" vertical="center" wrapText="1"/>
    </xf>
    <xf numFmtId="4" fontId="7" fillId="2" borderId="11" xfId="0" applyNumberFormat="1" applyFont="1" applyFill="1" applyBorder="1" applyAlignment="1">
      <alignment horizontal="center" vertical="center" wrapText="1"/>
    </xf>
    <xf numFmtId="0" fontId="9" fillId="0" borderId="11" xfId="0" applyFont="1" applyBorder="1" applyAlignment="1">
      <alignment horizontal="center" vertical="center"/>
    </xf>
    <xf numFmtId="0" fontId="15" fillId="0" borderId="11" xfId="0" applyFont="1" applyBorder="1" applyAlignment="1">
      <alignment horizontal="center" vertical="center"/>
    </xf>
    <xf numFmtId="0" fontId="16" fillId="20" borderId="11" xfId="0" applyFont="1" applyFill="1" applyBorder="1" applyAlignment="1">
      <alignment horizontal="center" vertical="center" wrapText="1"/>
    </xf>
    <xf numFmtId="2" fontId="9" fillId="0" borderId="11" xfId="0" applyNumberFormat="1" applyFont="1" applyBorder="1" applyAlignment="1">
      <alignment horizontal="center" vertical="center" wrapText="1"/>
    </xf>
    <xf numFmtId="171" fontId="9" fillId="0" borderId="0" xfId="0" applyNumberFormat="1" applyFont="1" applyAlignment="1">
      <alignment horizontal="center" vertical="center"/>
    </xf>
    <xf numFmtId="0" fontId="9" fillId="0" borderId="16" xfId="0" applyFont="1" applyBorder="1" applyAlignment="1">
      <alignment horizontal="center" vertical="center" wrapText="1"/>
    </xf>
    <xf numFmtId="2" fontId="6" fillId="0" borderId="11" xfId="0" applyNumberFormat="1" applyFont="1" applyBorder="1" applyAlignment="1">
      <alignment horizontal="center" vertical="center" wrapText="1"/>
    </xf>
    <xf numFmtId="4" fontId="13" fillId="2" borderId="11" xfId="0" applyNumberFormat="1" applyFont="1" applyFill="1" applyBorder="1" applyAlignment="1">
      <alignment horizontal="center" vertical="center" wrapText="1"/>
    </xf>
    <xf numFmtId="0" fontId="6" fillId="0" borderId="16" xfId="0" applyFont="1" applyBorder="1" applyAlignment="1">
      <alignment horizontal="center" vertical="center" wrapText="1"/>
    </xf>
    <xf numFmtId="3" fontId="9" fillId="0" borderId="0" xfId="0" applyNumberFormat="1" applyFont="1" applyAlignment="1">
      <alignment horizontal="center" vertical="center"/>
    </xf>
    <xf numFmtId="0" fontId="13" fillId="20" borderId="11" xfId="0" applyFont="1" applyFill="1" applyBorder="1" applyAlignment="1">
      <alignment horizontal="center" vertical="center"/>
    </xf>
    <xf numFmtId="0" fontId="9" fillId="13" borderId="11" xfId="0" applyFont="1" applyFill="1" applyBorder="1" applyAlignment="1">
      <alignment horizontal="center" vertical="center" wrapText="1"/>
    </xf>
    <xf numFmtId="172" fontId="7" fillId="2" borderId="11" xfId="0" applyNumberFormat="1" applyFont="1" applyFill="1" applyBorder="1" applyAlignment="1" applyProtection="1">
      <alignment horizontal="center" vertical="center" wrapText="1"/>
      <protection locked="0"/>
    </xf>
    <xf numFmtId="4" fontId="6" fillId="2" borderId="11" xfId="0" applyNumberFormat="1" applyFont="1" applyFill="1" applyBorder="1" applyAlignment="1">
      <alignment horizontal="center" vertical="center" wrapText="1"/>
    </xf>
    <xf numFmtId="165" fontId="6" fillId="0" borderId="11" xfId="0" applyNumberFormat="1" applyFont="1" applyBorder="1" applyAlignment="1">
      <alignment horizontal="center" vertical="center" wrapText="1"/>
    </xf>
    <xf numFmtId="165" fontId="6" fillId="0" borderId="18" xfId="0" applyNumberFormat="1" applyFont="1" applyBorder="1" applyAlignment="1">
      <alignment horizontal="center" vertical="center" wrapText="1"/>
    </xf>
    <xf numFmtId="172" fontId="13" fillId="2" borderId="11" xfId="0" applyNumberFormat="1" applyFont="1" applyFill="1" applyBorder="1" applyAlignment="1">
      <alignment horizontal="center" vertical="center" wrapText="1"/>
    </xf>
    <xf numFmtId="4" fontId="9" fillId="2" borderId="11" xfId="0" applyNumberFormat="1" applyFont="1" applyFill="1" applyBorder="1" applyAlignment="1">
      <alignment horizontal="center" vertical="center" wrapText="1"/>
    </xf>
    <xf numFmtId="165" fontId="9" fillId="0" borderId="11" xfId="0" applyNumberFormat="1" applyFont="1" applyBorder="1" applyAlignment="1">
      <alignment horizontal="center" vertical="center" wrapText="1"/>
    </xf>
    <xf numFmtId="165" fontId="13" fillId="13" borderId="11" xfId="0" applyNumberFormat="1" applyFont="1" applyFill="1" applyBorder="1" applyAlignment="1">
      <alignment horizontal="center" vertical="center" wrapText="1"/>
    </xf>
    <xf numFmtId="0" fontId="13"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165" fontId="9" fillId="0" borderId="11" xfId="0" applyNumberFormat="1" applyFont="1" applyBorder="1" applyAlignment="1">
      <alignment horizontal="center" vertical="center"/>
    </xf>
    <xf numFmtId="4" fontId="9" fillId="0" borderId="11" xfId="0" applyNumberFormat="1" applyFont="1" applyBorder="1" applyAlignment="1">
      <alignment horizontal="center" vertical="center"/>
    </xf>
    <xf numFmtId="165" fontId="13" fillId="0" borderId="11" xfId="0" applyNumberFormat="1" applyFont="1" applyBorder="1" applyAlignment="1">
      <alignment horizontal="center" vertical="center"/>
    </xf>
    <xf numFmtId="171" fontId="7" fillId="7" borderId="6" xfId="0" applyNumberFormat="1" applyFont="1" applyFill="1" applyBorder="1" applyAlignment="1">
      <alignment horizontal="center" vertical="center" wrapText="1"/>
    </xf>
    <xf numFmtId="0" fontId="6"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23" xfId="0" applyFont="1" applyBorder="1" applyAlignment="1">
      <alignment horizontal="center" vertical="center" wrapText="1"/>
    </xf>
    <xf numFmtId="4" fontId="6" fillId="0" borderId="6" xfId="0" applyNumberFormat="1" applyFont="1" applyBorder="1" applyAlignment="1">
      <alignment horizontal="center" vertical="center" wrapText="1"/>
    </xf>
    <xf numFmtId="0" fontId="6" fillId="21" borderId="6" xfId="0" applyFont="1" applyFill="1" applyBorder="1" applyAlignment="1" applyProtection="1">
      <alignment horizontal="center" vertical="center" wrapText="1"/>
      <protection locked="0"/>
    </xf>
    <xf numFmtId="0" fontId="6" fillId="0" borderId="12" xfId="0" applyFont="1" applyBorder="1" applyAlignment="1">
      <alignment horizontal="center" vertical="center" wrapText="1"/>
    </xf>
    <xf numFmtId="0" fontId="6" fillId="21" borderId="13" xfId="0" applyFont="1" applyFill="1" applyBorder="1" applyAlignment="1">
      <alignment horizontal="center" vertical="center" wrapText="1"/>
    </xf>
    <xf numFmtId="0" fontId="6" fillId="7" borderId="6"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6" fillId="7" borderId="33" xfId="0" applyFont="1" applyFill="1" applyBorder="1"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center" vertical="center"/>
    </xf>
    <xf numFmtId="0" fontId="6" fillId="0" borderId="6" xfId="0" applyFont="1" applyBorder="1" applyAlignment="1">
      <alignment horizontal="center" vertical="center" wrapText="1"/>
    </xf>
    <xf numFmtId="173" fontId="7" fillId="0" borderId="0" xfId="0" applyNumberFormat="1" applyFont="1" applyAlignment="1">
      <alignment horizontal="center" vertical="center" wrapText="1"/>
    </xf>
    <xf numFmtId="0" fontId="6" fillId="0" borderId="0" xfId="0" applyFont="1" applyAlignment="1">
      <alignment horizontal="center" vertical="center" wrapText="1"/>
    </xf>
    <xf numFmtId="171" fontId="7" fillId="7" borderId="24" xfId="0" applyNumberFormat="1" applyFont="1" applyFill="1" applyBorder="1" applyAlignment="1">
      <alignment horizontal="center" vertical="center" wrapText="1"/>
    </xf>
    <xf numFmtId="171" fontId="6" fillId="0" borderId="0" xfId="0" applyNumberFormat="1" applyFont="1" applyAlignment="1">
      <alignment horizontal="center" vertical="center"/>
    </xf>
    <xf numFmtId="4" fontId="6" fillId="21" borderId="12" xfId="0" applyNumberFormat="1" applyFont="1" applyFill="1" applyBorder="1" applyAlignment="1" applyProtection="1">
      <alignment horizontal="center" vertical="center" wrapText="1"/>
      <protection locked="0"/>
    </xf>
    <xf numFmtId="0" fontId="6" fillId="21" borderId="13" xfId="0" applyFont="1" applyFill="1" applyBorder="1" applyAlignment="1" applyProtection="1">
      <alignment horizontal="center" vertical="center" wrapText="1"/>
      <protection locked="0"/>
    </xf>
    <xf numFmtId="173" fontId="6" fillId="0" borderId="0" xfId="0" applyNumberFormat="1" applyFont="1" applyAlignment="1">
      <alignment horizontal="center" vertical="center"/>
    </xf>
    <xf numFmtId="0" fontId="6" fillId="0" borderId="0" xfId="0" applyFont="1" applyAlignment="1">
      <alignment horizontal="center"/>
    </xf>
    <xf numFmtId="0" fontId="7" fillId="13" borderId="11" xfId="0" applyFont="1" applyFill="1" applyBorder="1" applyAlignment="1">
      <alignment horizontal="center" vertical="center" wrapText="1"/>
    </xf>
    <xf numFmtId="0" fontId="6" fillId="0" borderId="11" xfId="0" applyFont="1" applyBorder="1" applyAlignment="1">
      <alignment horizontal="left" vertical="center" wrapText="1"/>
    </xf>
    <xf numFmtId="174" fontId="6" fillId="2" borderId="11" xfId="10" applyFont="1" applyFill="1" applyBorder="1" applyAlignment="1" applyProtection="1">
      <alignment horizontal="center" vertical="center"/>
      <protection locked="0"/>
    </xf>
    <xf numFmtId="174" fontId="6" fillId="0" borderId="11" xfId="10" applyFont="1" applyBorder="1" applyAlignment="1" applyProtection="1">
      <alignment horizontal="center" vertical="center"/>
    </xf>
    <xf numFmtId="0" fontId="9" fillId="0" borderId="11" xfId="0" applyFont="1" applyBorder="1" applyAlignment="1">
      <alignment horizontal="left" vertical="center" wrapText="1"/>
    </xf>
    <xf numFmtId="174" fontId="7" fillId="13" borderId="11" xfId="10" applyFont="1" applyFill="1" applyBorder="1" applyAlignment="1" applyProtection="1">
      <alignment horizontal="center" vertical="center"/>
    </xf>
    <xf numFmtId="174" fontId="6" fillId="13" borderId="11" xfId="10" applyFont="1" applyFill="1" applyBorder="1" applyAlignment="1" applyProtection="1">
      <alignment horizontal="center" vertical="center"/>
    </xf>
    <xf numFmtId="174" fontId="7" fillId="13" borderId="11" xfId="0" applyNumberFormat="1" applyFont="1" applyFill="1" applyBorder="1"/>
    <xf numFmtId="0" fontId="7" fillId="0" borderId="0" xfId="0" applyFont="1"/>
    <xf numFmtId="0" fontId="6" fillId="23" borderId="11" xfId="0" applyFont="1" applyFill="1" applyBorder="1"/>
    <xf numFmtId="2" fontId="6" fillId="2" borderId="11" xfId="0" applyNumberFormat="1" applyFont="1" applyFill="1" applyBorder="1" applyAlignment="1" applyProtection="1">
      <alignment horizontal="right"/>
      <protection locked="0"/>
    </xf>
    <xf numFmtId="0" fontId="6" fillId="0" borderId="11" xfId="0" applyFont="1" applyBorder="1"/>
    <xf numFmtId="174" fontId="6" fillId="2" borderId="11" xfId="10" applyFont="1" applyFill="1" applyBorder="1" applyAlignment="1" applyProtection="1">
      <alignment horizontal="right"/>
      <protection locked="0"/>
    </xf>
    <xf numFmtId="0" fontId="6" fillId="2" borderId="11" xfId="0" applyFont="1" applyFill="1" applyBorder="1" applyAlignment="1" applyProtection="1">
      <alignment horizontal="right"/>
      <protection locked="0"/>
    </xf>
    <xf numFmtId="0" fontId="6" fillId="0" borderId="11" xfId="0" applyFont="1" applyBorder="1" applyAlignment="1">
      <alignment horizontal="right"/>
    </xf>
    <xf numFmtId="0" fontId="14" fillId="0" borderId="11" xfId="0" applyFont="1" applyBorder="1" applyAlignment="1">
      <alignment horizontal="right"/>
    </xf>
    <xf numFmtId="174" fontId="6" fillId="0" borderId="11" xfId="10" applyFont="1" applyBorder="1" applyProtection="1"/>
    <xf numFmtId="39" fontId="6" fillId="23" borderId="11" xfId="11" applyNumberFormat="1" applyFont="1" applyFill="1" applyBorder="1" applyAlignment="1" applyProtection="1">
      <alignment horizontal="right"/>
    </xf>
    <xf numFmtId="9" fontId="6" fillId="0" borderId="11" xfId="0" applyNumberFormat="1" applyFont="1" applyBorder="1"/>
    <xf numFmtId="2" fontId="6" fillId="2" borderId="11" xfId="0" applyNumberFormat="1" applyFont="1" applyFill="1" applyBorder="1" applyAlignment="1">
      <alignment horizontal="right"/>
    </xf>
    <xf numFmtId="0" fontId="7" fillId="13" borderId="11" xfId="0" applyFont="1" applyFill="1" applyBorder="1"/>
    <xf numFmtId="39" fontId="7" fillId="13" borderId="11" xfId="0" applyNumberFormat="1" applyFont="1" applyFill="1" applyBorder="1" applyAlignment="1">
      <alignment horizontal="right"/>
    </xf>
    <xf numFmtId="2" fontId="7" fillId="13" borderId="11" xfId="0" applyNumberFormat="1" applyFont="1" applyFill="1" applyBorder="1"/>
    <xf numFmtId="174" fontId="6" fillId="0" borderId="0" xfId="10" applyFont="1" applyFill="1" applyBorder="1" applyProtection="1"/>
    <xf numFmtId="0" fontId="6" fillId="0" borderId="0" xfId="0" applyFont="1" applyAlignment="1">
      <alignment horizontal="right"/>
    </xf>
    <xf numFmtId="174" fontId="6" fillId="0" borderId="0" xfId="10" applyFont="1" applyProtection="1"/>
    <xf numFmtId="2" fontId="6" fillId="23" borderId="11" xfId="0" applyNumberFormat="1" applyFont="1" applyFill="1" applyBorder="1" applyAlignment="1">
      <alignment horizontal="right"/>
    </xf>
    <xf numFmtId="0" fontId="7" fillId="5" borderId="0" xfId="0" applyFont="1" applyFill="1" applyAlignment="1">
      <alignment horizontal="center" vertical="center"/>
    </xf>
    <xf numFmtId="0" fontId="13" fillId="24" borderId="11" xfId="0" applyFont="1" applyFill="1" applyBorder="1" applyAlignment="1">
      <alignment horizontal="center" vertical="center" wrapText="1"/>
    </xf>
    <xf numFmtId="0" fontId="13" fillId="19" borderId="11" xfId="0" applyFont="1" applyFill="1" applyBorder="1" applyAlignment="1">
      <alignment horizontal="center" vertical="center" wrapText="1"/>
    </xf>
    <xf numFmtId="0" fontId="7" fillId="19" borderId="11" xfId="0" applyFont="1" applyFill="1" applyBorder="1" applyAlignment="1">
      <alignment horizontal="center" vertical="center" wrapText="1"/>
    </xf>
    <xf numFmtId="0" fontId="17" fillId="0" borderId="11" xfId="0" applyFont="1" applyBorder="1" applyAlignment="1">
      <alignment horizontal="center" vertical="center"/>
    </xf>
    <xf numFmtId="0" fontId="17" fillId="0" borderId="11" xfId="0" applyFont="1" applyBorder="1" applyAlignment="1">
      <alignment horizontal="center" vertical="center" wrapText="1"/>
    </xf>
    <xf numFmtId="0" fontId="17" fillId="19" borderId="11" xfId="0" applyFont="1" applyFill="1" applyBorder="1" applyAlignment="1">
      <alignment horizontal="center" vertical="center" wrapText="1"/>
    </xf>
    <xf numFmtId="171" fontId="17" fillId="0" borderId="11" xfId="0" applyNumberFormat="1" applyFont="1" applyBorder="1" applyAlignment="1">
      <alignment horizontal="center" vertical="center" wrapText="1"/>
    </xf>
    <xf numFmtId="0" fontId="9" fillId="0" borderId="11" xfId="12" applyNumberFormat="1" applyFont="1" applyFill="1" applyBorder="1" applyAlignment="1" applyProtection="1">
      <alignment horizontal="center" vertical="center" wrapText="1"/>
      <protection locked="0"/>
    </xf>
    <xf numFmtId="0" fontId="9" fillId="19" borderId="11" xfId="0" applyFont="1" applyFill="1" applyBorder="1" applyAlignment="1">
      <alignment horizontal="center" vertical="center" wrapText="1"/>
    </xf>
    <xf numFmtId="0" fontId="17" fillId="19" borderId="11" xfId="0" applyFont="1" applyFill="1" applyBorder="1" applyAlignment="1">
      <alignment horizontal="center" vertical="center"/>
    </xf>
    <xf numFmtId="0" fontId="9" fillId="25" borderId="11" xfId="0" applyFont="1" applyFill="1" applyBorder="1" applyAlignment="1">
      <alignment horizontal="center" vertical="center" wrapText="1"/>
    </xf>
    <xf numFmtId="0" fontId="13" fillId="19" borderId="11" xfId="0" applyFont="1" applyFill="1" applyBorder="1" applyAlignment="1">
      <alignment horizontal="center" vertical="center"/>
    </xf>
    <xf numFmtId="0" fontId="17" fillId="18" borderId="11" xfId="0" applyFont="1" applyFill="1" applyBorder="1" applyAlignment="1">
      <alignment horizontal="center" vertical="center" wrapText="1"/>
    </xf>
    <xf numFmtId="171" fontId="7" fillId="5" borderId="11" xfId="0" applyNumberFormat="1" applyFont="1" applyFill="1" applyBorder="1" applyAlignment="1">
      <alignment horizontal="center" vertical="center"/>
    </xf>
    <xf numFmtId="171" fontId="7" fillId="2" borderId="11" xfId="0" applyNumberFormat="1" applyFont="1" applyFill="1" applyBorder="1" applyAlignment="1">
      <alignment horizontal="center" vertical="center"/>
    </xf>
    <xf numFmtId="171" fontId="7" fillId="5" borderId="11" xfId="0" quotePrefix="1" applyNumberFormat="1" applyFont="1" applyFill="1" applyBorder="1" applyAlignment="1">
      <alignment horizontal="center" vertical="center"/>
    </xf>
    <xf numFmtId="4" fontId="7" fillId="19" borderId="11" xfId="0" applyNumberFormat="1" applyFont="1" applyFill="1" applyBorder="1" applyAlignment="1">
      <alignment vertical="center"/>
    </xf>
    <xf numFmtId="0" fontId="7" fillId="19" borderId="11" xfId="6" applyFont="1" applyFill="1" applyBorder="1" applyAlignment="1">
      <alignment horizontal="center" vertical="center"/>
    </xf>
    <xf numFmtId="164" fontId="7" fillId="5" borderId="11" xfId="3" quotePrefix="1" applyNumberFormat="1" applyFont="1" applyFill="1" applyBorder="1" applyAlignment="1">
      <alignment horizontal="center" vertical="center"/>
    </xf>
    <xf numFmtId="164" fontId="7" fillId="5" borderId="11" xfId="6" applyNumberFormat="1" applyFont="1" applyFill="1" applyBorder="1" applyAlignment="1">
      <alignment horizontal="center" vertical="center"/>
    </xf>
    <xf numFmtId="168" fontId="7" fillId="0" borderId="11" xfId="3" quotePrefix="1" applyNumberFormat="1" applyFont="1" applyFill="1" applyBorder="1" applyAlignment="1">
      <alignment horizontal="center" vertical="center"/>
    </xf>
    <xf numFmtId="171" fontId="7" fillId="5" borderId="16" xfId="0" applyNumberFormat="1" applyFont="1" applyFill="1" applyBorder="1" applyAlignment="1">
      <alignment horizontal="center" vertical="center"/>
    </xf>
    <xf numFmtId="171" fontId="10" fillId="12" borderId="30" xfId="6" applyNumberFormat="1" applyFont="1" applyFill="1" applyBorder="1" applyAlignment="1">
      <alignment horizontal="center" vertical="center" wrapText="1"/>
    </xf>
    <xf numFmtId="0" fontId="10" fillId="12" borderId="36" xfId="6" applyFont="1" applyFill="1" applyBorder="1" applyAlignment="1">
      <alignment horizontal="center" vertical="center" wrapText="1"/>
    </xf>
    <xf numFmtId="171" fontId="10" fillId="12" borderId="38" xfId="0" applyNumberFormat="1" applyFont="1" applyFill="1" applyBorder="1" applyAlignment="1">
      <alignment horizontal="center" vertical="center"/>
    </xf>
    <xf numFmtId="171" fontId="10" fillId="12" borderId="38" xfId="6" applyNumberFormat="1" applyFont="1" applyFill="1" applyBorder="1" applyAlignment="1">
      <alignment horizontal="center" vertical="center" wrapText="1"/>
    </xf>
    <xf numFmtId="171" fontId="10" fillId="12" borderId="37" xfId="6" applyNumberFormat="1" applyFont="1" applyFill="1" applyBorder="1" applyAlignment="1">
      <alignment horizontal="center" vertical="center" wrapText="1"/>
    </xf>
    <xf numFmtId="164" fontId="7" fillId="19" borderId="11" xfId="3" applyNumberFormat="1" applyFont="1" applyFill="1" applyBorder="1" applyAlignment="1">
      <alignment horizontal="center" vertical="center"/>
    </xf>
    <xf numFmtId="171" fontId="7" fillId="10" borderId="11" xfId="0" applyNumberFormat="1" applyFont="1" applyFill="1" applyBorder="1" applyAlignment="1">
      <alignment horizontal="center" vertical="center"/>
    </xf>
    <xf numFmtId="171" fontId="6" fillId="2" borderId="11" xfId="0" applyNumberFormat="1" applyFont="1" applyFill="1" applyBorder="1" applyAlignment="1" applyProtection="1">
      <alignment horizontal="right"/>
      <protection locked="0"/>
    </xf>
    <xf numFmtId="171" fontId="6" fillId="0" borderId="11" xfId="0" applyNumberFormat="1" applyFont="1" applyBorder="1" applyAlignment="1">
      <alignment horizontal="right"/>
    </xf>
    <xf numFmtId="171" fontId="6" fillId="23" borderId="11" xfId="11" applyNumberFormat="1" applyFont="1" applyFill="1" applyBorder="1" applyAlignment="1" applyProtection="1">
      <alignment horizontal="right"/>
    </xf>
    <xf numFmtId="171" fontId="6" fillId="2" borderId="11" xfId="0" applyNumberFormat="1" applyFont="1" applyFill="1" applyBorder="1" applyAlignment="1">
      <alignment horizontal="right"/>
    </xf>
    <xf numFmtId="171" fontId="7" fillId="13" borderId="11" xfId="0" applyNumberFormat="1" applyFont="1" applyFill="1" applyBorder="1" applyAlignment="1">
      <alignment horizontal="right"/>
    </xf>
    <xf numFmtId="164" fontId="7" fillId="0" borderId="11" xfId="3" applyNumberFormat="1" applyFont="1" applyBorder="1" applyAlignment="1">
      <alignment horizontal="center" vertical="center"/>
    </xf>
    <xf numFmtId="171" fontId="7" fillId="11" borderId="11" xfId="6" applyNumberFormat="1" applyFont="1" applyFill="1" applyBorder="1" applyAlignment="1">
      <alignment horizontal="center" vertical="center" wrapText="1"/>
    </xf>
    <xf numFmtId="171" fontId="7" fillId="11" borderId="11" xfId="0" applyNumberFormat="1" applyFont="1" applyFill="1" applyBorder="1" applyAlignment="1">
      <alignment horizontal="center" vertical="center"/>
    </xf>
    <xf numFmtId="171" fontId="7" fillId="15" borderId="11" xfId="0" applyNumberFormat="1" applyFont="1" applyFill="1" applyBorder="1" applyAlignment="1">
      <alignment horizontal="center" vertical="center"/>
    </xf>
    <xf numFmtId="164" fontId="7" fillId="0" borderId="11" xfId="3" quotePrefix="1" applyNumberFormat="1" applyFont="1" applyBorder="1" applyAlignment="1">
      <alignment horizontal="center" vertical="center"/>
    </xf>
    <xf numFmtId="10" fontId="7" fillId="0" borderId="11" xfId="3" applyNumberFormat="1" applyFont="1" applyFill="1" applyBorder="1" applyAlignment="1">
      <alignment horizontal="center" vertical="center"/>
    </xf>
    <xf numFmtId="164" fontId="7" fillId="0" borderId="11" xfId="3" applyNumberFormat="1" applyFont="1" applyFill="1" applyBorder="1" applyAlignment="1">
      <alignment horizontal="center" vertical="center"/>
    </xf>
    <xf numFmtId="0" fontId="6" fillId="0" borderId="11" xfId="6" applyFont="1" applyFill="1" applyBorder="1" applyAlignment="1">
      <alignment horizontal="center" vertical="center" wrapText="1"/>
    </xf>
    <xf numFmtId="0" fontId="7" fillId="0" borderId="11" xfId="6" applyFont="1" applyFill="1" applyBorder="1" applyAlignment="1">
      <alignment horizontal="center" vertical="center" wrapText="1"/>
    </xf>
    <xf numFmtId="171" fontId="7" fillId="0" borderId="11" xfId="0" applyNumberFormat="1" applyFont="1" applyBorder="1" applyAlignment="1">
      <alignment horizontal="center" vertical="center"/>
    </xf>
    <xf numFmtId="171" fontId="7" fillId="10" borderId="16" xfId="0" applyNumberFormat="1" applyFont="1" applyFill="1" applyBorder="1" applyAlignment="1">
      <alignment horizontal="center" vertical="center"/>
    </xf>
    <xf numFmtId="164" fontId="7" fillId="10" borderId="11" xfId="6" applyNumberFormat="1" applyFont="1" applyFill="1" applyBorder="1" applyAlignment="1">
      <alignment horizontal="center" vertical="center" wrapText="1"/>
    </xf>
    <xf numFmtId="164" fontId="7" fillId="5" borderId="0" xfId="3" quotePrefix="1" applyNumberFormat="1" applyFont="1" applyFill="1" applyAlignment="1">
      <alignment horizontal="center" vertical="center"/>
    </xf>
    <xf numFmtId="171" fontId="7" fillId="0" borderId="11" xfId="0" quotePrefix="1" applyNumberFormat="1" applyFont="1" applyBorder="1" applyAlignment="1">
      <alignment horizontal="center" vertical="center"/>
    </xf>
    <xf numFmtId="166" fontId="7" fillId="16" borderId="13" xfId="0" applyNumberFormat="1" applyFont="1" applyFill="1" applyBorder="1" applyAlignment="1">
      <alignment horizontal="center" vertical="center"/>
    </xf>
    <xf numFmtId="165" fontId="7" fillId="16" borderId="13" xfId="0" applyNumberFormat="1" applyFont="1" applyFill="1" applyBorder="1" applyAlignment="1">
      <alignment horizontal="center" vertical="center"/>
    </xf>
    <xf numFmtId="0" fontId="7" fillId="0" borderId="0" xfId="6" applyFont="1" applyAlignment="1">
      <alignment horizontal="center" vertical="center" wrapText="1"/>
    </xf>
    <xf numFmtId="0" fontId="7" fillId="0" borderId="18" xfId="6" applyFont="1" applyBorder="1" applyAlignment="1">
      <alignment horizontal="center" vertical="center" wrapText="1"/>
    </xf>
    <xf numFmtId="0" fontId="7" fillId="0" borderId="9" xfId="0" applyFont="1" applyBorder="1" applyAlignment="1">
      <alignment horizontal="center" vertical="center"/>
    </xf>
    <xf numFmtId="0" fontId="6" fillId="0" borderId="9" xfId="6" applyFont="1" applyBorder="1" applyAlignment="1">
      <alignment horizontal="center" vertical="center"/>
    </xf>
    <xf numFmtId="0" fontId="7" fillId="5" borderId="11" xfId="0" applyFont="1" applyFill="1" applyBorder="1" applyAlignment="1">
      <alignment horizontal="center" vertical="center"/>
    </xf>
    <xf numFmtId="0" fontId="6" fillId="0" borderId="11" xfId="6" applyFont="1" applyBorder="1" applyAlignment="1">
      <alignment horizontal="center" vertical="center"/>
    </xf>
    <xf numFmtId="0" fontId="7" fillId="0" borderId="21" xfId="0" applyFont="1" applyBorder="1" applyAlignment="1">
      <alignment horizontal="center" vertical="center"/>
    </xf>
    <xf numFmtId="164" fontId="7" fillId="0" borderId="16" xfId="3" applyNumberFormat="1" applyFont="1" applyBorder="1" applyAlignment="1">
      <alignment horizontal="center" vertical="center"/>
    </xf>
    <xf numFmtId="0" fontId="7" fillId="17" borderId="11" xfId="0" applyFont="1" applyFill="1" applyBorder="1" applyAlignment="1">
      <alignment horizontal="center" vertical="center"/>
    </xf>
    <xf numFmtId="164" fontId="7" fillId="17" borderId="11" xfId="0" applyNumberFormat="1" applyFont="1" applyFill="1" applyBorder="1" applyAlignment="1">
      <alignment horizontal="center" vertical="center"/>
    </xf>
    <xf numFmtId="171" fontId="7" fillId="4" borderId="10" xfId="0" applyNumberFormat="1" applyFont="1" applyFill="1" applyBorder="1" applyAlignment="1">
      <alignment horizontal="center" vertical="center"/>
    </xf>
    <xf numFmtId="171" fontId="7" fillId="16" borderId="10" xfId="2" applyNumberFormat="1" applyFont="1" applyFill="1" applyBorder="1" applyAlignment="1">
      <alignment horizontal="center" vertical="center"/>
    </xf>
    <xf numFmtId="171" fontId="7" fillId="0" borderId="16" xfId="0" applyNumberFormat="1" applyFont="1" applyBorder="1" applyAlignment="1">
      <alignment horizontal="center" vertical="center"/>
    </xf>
    <xf numFmtId="171" fontId="7" fillId="17" borderId="11" xfId="0" applyNumberFormat="1" applyFont="1" applyFill="1" applyBorder="1" applyAlignment="1">
      <alignment horizontal="center" vertical="center"/>
    </xf>
    <xf numFmtId="171" fontId="7" fillId="10" borderId="7" xfId="0" applyNumberFormat="1" applyFont="1" applyFill="1" applyBorder="1" applyAlignment="1">
      <alignment horizontal="center" vertical="center"/>
    </xf>
    <xf numFmtId="169" fontId="10" fillId="0" borderId="0" xfId="1" applyNumberFormat="1" applyFont="1" applyFill="1" applyBorder="1" applyAlignment="1">
      <alignment vertical="center"/>
    </xf>
    <xf numFmtId="171" fontId="7" fillId="16" borderId="11" xfId="0" applyNumberFormat="1" applyFont="1" applyFill="1" applyBorder="1" applyAlignment="1">
      <alignment horizontal="center" vertical="center"/>
    </xf>
    <xf numFmtId="0" fontId="17" fillId="19" borderId="11" xfId="0" applyNumberFormat="1" applyFont="1" applyFill="1" applyBorder="1" applyAlignment="1">
      <alignment horizontal="center" vertical="center" wrapText="1"/>
    </xf>
    <xf numFmtId="0" fontId="9" fillId="19" borderId="11" xfId="0" applyNumberFormat="1" applyFont="1" applyFill="1" applyBorder="1" applyAlignment="1">
      <alignment horizontal="center" vertical="center" wrapText="1"/>
    </xf>
    <xf numFmtId="0" fontId="17" fillId="19" borderId="11" xfId="0" applyNumberFormat="1" applyFont="1" applyFill="1" applyBorder="1" applyAlignment="1">
      <alignment horizontal="center" vertical="center"/>
    </xf>
    <xf numFmtId="171" fontId="18" fillId="0" borderId="11" xfId="0" applyNumberFormat="1" applyFont="1" applyBorder="1" applyAlignment="1">
      <alignment horizontal="center" vertical="center" wrapText="1"/>
    </xf>
    <xf numFmtId="0" fontId="18" fillId="0" borderId="11" xfId="0" applyFont="1" applyBorder="1" applyAlignment="1">
      <alignment horizontal="center" vertical="center"/>
    </xf>
    <xf numFmtId="0" fontId="18"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4" fontId="9" fillId="0" borderId="11" xfId="12" applyNumberFormat="1" applyFont="1" applyFill="1" applyBorder="1" applyAlignment="1" applyProtection="1">
      <alignment horizontal="center" vertical="center" wrapText="1"/>
      <protection locked="0"/>
    </xf>
    <xf numFmtId="44" fontId="17" fillId="0" borderId="11" xfId="2" applyFont="1" applyFill="1" applyBorder="1" applyAlignment="1">
      <alignment horizontal="center" vertical="center" wrapText="1"/>
    </xf>
    <xf numFmtId="4" fontId="17" fillId="0" borderId="11" xfId="0" applyNumberFormat="1" applyFont="1" applyBorder="1" applyAlignment="1">
      <alignment horizontal="center" vertical="center"/>
    </xf>
    <xf numFmtId="4" fontId="13" fillId="0" borderId="11" xfId="12" applyNumberFormat="1" applyFont="1" applyFill="1" applyBorder="1" applyAlignment="1" applyProtection="1">
      <alignment horizontal="center" vertical="center" wrapText="1"/>
      <protection locked="0"/>
    </xf>
    <xf numFmtId="4" fontId="18" fillId="0" borderId="11" xfId="0" applyNumberFormat="1" applyFont="1" applyBorder="1" applyAlignment="1">
      <alignment horizontal="center" vertical="center" wrapText="1"/>
    </xf>
    <xf numFmtId="4" fontId="9" fillId="0" borderId="11" xfId="0" applyNumberFormat="1" applyFont="1" applyBorder="1" applyAlignment="1">
      <alignment horizontal="center" vertical="center" wrapText="1"/>
    </xf>
    <xf numFmtId="0" fontId="7" fillId="0" borderId="8" xfId="6" applyFont="1" applyBorder="1" applyAlignment="1">
      <alignment horizontal="left" vertical="center" wrapText="1"/>
    </xf>
    <xf numFmtId="0" fontId="10" fillId="12" borderId="30" xfId="6" applyFont="1" applyFill="1" applyBorder="1" applyAlignment="1">
      <alignment horizontal="center" vertical="center" wrapText="1"/>
    </xf>
    <xf numFmtId="0" fontId="7" fillId="19" borderId="11" xfId="6" applyFont="1" applyFill="1" applyBorder="1" applyAlignment="1">
      <alignment horizontal="center" vertical="center"/>
    </xf>
    <xf numFmtId="0" fontId="7" fillId="0" borderId="8" xfId="4" applyFont="1" applyBorder="1" applyAlignment="1">
      <alignment horizontal="right" vertical="center" wrapText="1"/>
    </xf>
    <xf numFmtId="0" fontId="9" fillId="0" borderId="11" xfId="0" applyFont="1" applyBorder="1" applyAlignment="1">
      <alignment horizontal="center" vertical="center" wrapText="1"/>
    </xf>
    <xf numFmtId="0" fontId="9" fillId="0" borderId="0" xfId="0" applyFont="1" applyAlignment="1">
      <alignment horizontal="center" vertical="center" wrapText="1"/>
    </xf>
    <xf numFmtId="171" fontId="9" fillId="0" borderId="11" xfId="0" applyNumberFormat="1" applyFont="1" applyBorder="1" applyAlignment="1">
      <alignment horizontal="center" vertical="center" wrapText="1"/>
    </xf>
    <xf numFmtId="0" fontId="10" fillId="5" borderId="0" xfId="0" applyFont="1" applyFill="1" applyBorder="1" applyAlignment="1">
      <alignment vertical="center"/>
    </xf>
    <xf numFmtId="166" fontId="10" fillId="5" borderId="0" xfId="0" applyNumberFormat="1" applyFont="1" applyFill="1" applyBorder="1" applyAlignment="1">
      <alignment vertical="center"/>
    </xf>
    <xf numFmtId="0" fontId="9" fillId="0" borderId="0" xfId="0" applyFont="1" applyAlignment="1">
      <alignment horizontal="left" vertical="center" wrapText="1"/>
    </xf>
    <xf numFmtId="0" fontId="9" fillId="0" borderId="7" xfId="0" applyFont="1" applyBorder="1" applyAlignment="1">
      <alignment horizontal="center" vertical="center" wrapText="1"/>
    </xf>
    <xf numFmtId="4" fontId="9" fillId="0" borderId="7" xfId="0" applyNumberFormat="1" applyFont="1" applyBorder="1" applyAlignment="1">
      <alignment horizontal="center" vertical="center" wrapText="1"/>
    </xf>
    <xf numFmtId="171" fontId="9" fillId="0" borderId="19" xfId="0" applyNumberFormat="1" applyFont="1" applyBorder="1" applyAlignment="1">
      <alignment horizontal="center" vertical="center" wrapText="1"/>
    </xf>
    <xf numFmtId="174" fontId="9" fillId="0" borderId="7" xfId="12" applyFont="1" applyBorder="1" applyAlignment="1" applyProtection="1">
      <alignment horizontal="center" vertical="center"/>
    </xf>
    <xf numFmtId="174" fontId="9" fillId="0" borderId="43" xfId="12" applyFont="1" applyBorder="1" applyAlignment="1" applyProtection="1">
      <alignment horizontal="center" vertical="center"/>
    </xf>
    <xf numFmtId="171" fontId="9" fillId="0" borderId="8" xfId="0" applyNumberFormat="1" applyFont="1" applyBorder="1" applyAlignment="1">
      <alignment horizontal="center" vertical="center" wrapText="1"/>
    </xf>
    <xf numFmtId="4" fontId="9" fillId="0" borderId="16" xfId="0" applyNumberFormat="1" applyFont="1" applyBorder="1" applyAlignment="1">
      <alignment horizontal="center" vertical="center" wrapText="1"/>
    </xf>
    <xf numFmtId="171" fontId="9" fillId="0" borderId="14" xfId="0" applyNumberFormat="1" applyFont="1" applyBorder="1" applyAlignment="1">
      <alignment horizontal="center" vertical="center" wrapText="1"/>
    </xf>
    <xf numFmtId="174" fontId="13" fillId="24" borderId="13" xfId="12" applyFont="1" applyFill="1" applyBorder="1" applyAlignment="1" applyProtection="1">
      <alignment horizontal="center" vertical="center" wrapText="1"/>
    </xf>
    <xf numFmtId="174" fontId="13" fillId="24" borderId="24" xfId="12" applyFont="1" applyFill="1" applyBorder="1" applyAlignment="1" applyProtection="1">
      <alignment horizontal="center" vertical="center"/>
    </xf>
    <xf numFmtId="171" fontId="9" fillId="0" borderId="7" xfId="0" applyNumberFormat="1" applyFont="1" applyBorder="1" applyAlignment="1">
      <alignment horizontal="center" vertical="center" wrapText="1"/>
    </xf>
    <xf numFmtId="171" fontId="9" fillId="0" borderId="7" xfId="12" applyNumberFormat="1" applyFont="1" applyBorder="1" applyAlignment="1" applyProtection="1">
      <alignment horizontal="center" vertical="center"/>
    </xf>
    <xf numFmtId="171" fontId="9" fillId="0" borderId="43" xfId="12" applyNumberFormat="1" applyFont="1" applyBorder="1" applyAlignment="1" applyProtection="1">
      <alignment horizontal="center" vertical="center"/>
    </xf>
    <xf numFmtId="171" fontId="9" fillId="0" borderId="11" xfId="12" applyNumberFormat="1" applyFont="1" applyBorder="1" applyAlignment="1" applyProtection="1">
      <alignment horizontal="center" vertical="center"/>
    </xf>
    <xf numFmtId="171" fontId="9" fillId="0" borderId="46" xfId="12" applyNumberFormat="1" applyFont="1" applyBorder="1" applyAlignment="1" applyProtection="1">
      <alignment horizontal="center" vertical="center"/>
    </xf>
    <xf numFmtId="0" fontId="13" fillId="0" borderId="0" xfId="0" applyFont="1"/>
    <xf numFmtId="0" fontId="9" fillId="0" borderId="0" xfId="0" applyFont="1" applyAlignment="1">
      <alignment horizontal="left" wrapText="1"/>
    </xf>
    <xf numFmtId="169" fontId="8" fillId="0" borderId="0" xfId="1" applyNumberFormat="1" applyFont="1" applyFill="1" applyBorder="1" applyAlignment="1">
      <alignment vertical="center"/>
    </xf>
    <xf numFmtId="0" fontId="13" fillId="26" borderId="39" xfId="0" applyFont="1" applyFill="1" applyBorder="1" applyAlignment="1">
      <alignment horizontal="center" vertical="center" wrapText="1"/>
    </xf>
    <xf numFmtId="0" fontId="13" fillId="26" borderId="40" xfId="0" applyFont="1" applyFill="1" applyBorder="1" applyAlignment="1">
      <alignment horizontal="center" vertical="center" wrapText="1"/>
    </xf>
    <xf numFmtId="0" fontId="13" fillId="26" borderId="41" xfId="0" applyFont="1" applyFill="1" applyBorder="1" applyAlignment="1">
      <alignment horizontal="center" vertical="center" wrapText="1"/>
    </xf>
    <xf numFmtId="0" fontId="13" fillId="0" borderId="0" xfId="0" applyFont="1" applyAlignment="1">
      <alignment horizontal="center" vertical="center"/>
    </xf>
    <xf numFmtId="0" fontId="13" fillId="20" borderId="11" xfId="0" applyFont="1" applyFill="1" applyBorder="1" applyAlignment="1">
      <alignment horizontal="center" vertical="center"/>
    </xf>
    <xf numFmtId="0" fontId="13" fillId="13" borderId="16" xfId="0" applyFont="1" applyFill="1" applyBorder="1" applyAlignment="1">
      <alignment horizontal="center" vertical="center" wrapText="1"/>
    </xf>
    <xf numFmtId="0" fontId="13" fillId="13" borderId="18" xfId="0" applyFont="1" applyFill="1" applyBorder="1" applyAlignment="1">
      <alignment horizontal="center" vertical="center" wrapText="1"/>
    </xf>
    <xf numFmtId="0" fontId="13" fillId="13" borderId="7" xfId="0" applyFont="1" applyFill="1" applyBorder="1" applyAlignment="1">
      <alignment horizontal="center" vertical="center" wrapText="1"/>
    </xf>
    <xf numFmtId="0" fontId="13" fillId="13" borderId="11" xfId="0" applyFont="1" applyFill="1" applyBorder="1" applyAlignment="1">
      <alignment horizontal="center" vertical="center" wrapText="1"/>
    </xf>
    <xf numFmtId="0" fontId="13" fillId="20" borderId="11" xfId="0" applyFont="1" applyFill="1" applyBorder="1" applyAlignment="1">
      <alignment horizontal="center" vertical="center" wrapText="1"/>
    </xf>
    <xf numFmtId="0" fontId="9" fillId="13" borderId="16" xfId="0" applyFont="1" applyFill="1" applyBorder="1" applyAlignment="1">
      <alignment horizontal="center" vertical="center" wrapText="1"/>
    </xf>
    <xf numFmtId="0" fontId="9" fillId="13" borderId="18" xfId="0" applyFont="1" applyFill="1" applyBorder="1" applyAlignment="1">
      <alignment horizontal="center" vertical="center" wrapText="1"/>
    </xf>
    <xf numFmtId="0" fontId="9" fillId="13" borderId="7" xfId="0" applyFont="1" applyFill="1" applyBorder="1" applyAlignment="1">
      <alignment horizontal="center" vertical="center" wrapText="1"/>
    </xf>
    <xf numFmtId="165" fontId="6" fillId="0" borderId="16" xfId="0" applyNumberFormat="1" applyFont="1" applyBorder="1" applyAlignment="1">
      <alignment horizontal="center" vertical="center" wrapText="1"/>
    </xf>
    <xf numFmtId="0" fontId="9" fillId="0" borderId="18" xfId="0" applyFont="1" applyBorder="1" applyAlignment="1">
      <alignment horizontal="center" vertical="center" wrapText="1"/>
    </xf>
    <xf numFmtId="165" fontId="13" fillId="13" borderId="16" xfId="0" applyNumberFormat="1" applyFont="1" applyFill="1" applyBorder="1" applyAlignment="1">
      <alignment horizontal="center" vertical="center" wrapText="1"/>
    </xf>
    <xf numFmtId="0" fontId="9" fillId="0" borderId="11" xfId="0" applyFont="1" applyBorder="1" applyAlignment="1">
      <alignment horizontal="center" vertical="center" wrapText="1"/>
    </xf>
    <xf numFmtId="0" fontId="7" fillId="19" borderId="4" xfId="0" applyFont="1" applyFill="1" applyBorder="1" applyAlignment="1">
      <alignment horizontal="center" vertical="center" wrapText="1"/>
    </xf>
    <xf numFmtId="0" fontId="7" fillId="19" borderId="5" xfId="0" applyFont="1" applyFill="1" applyBorder="1" applyAlignment="1">
      <alignment horizontal="center" vertical="center" wrapText="1"/>
    </xf>
    <xf numFmtId="0" fontId="7" fillId="19" borderId="6" xfId="0" applyFont="1" applyFill="1" applyBorder="1" applyAlignment="1">
      <alignment horizontal="center" vertical="center" wrapText="1"/>
    </xf>
    <xf numFmtId="0" fontId="7" fillId="0" borderId="0" xfId="0" applyFont="1" applyAlignment="1">
      <alignment horizontal="center" vertical="center"/>
    </xf>
    <xf numFmtId="0" fontId="6" fillId="7" borderId="33"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171" fontId="6" fillId="0" borderId="33" xfId="0" applyNumberFormat="1" applyFont="1" applyBorder="1" applyAlignment="1">
      <alignment horizontal="center" vertical="center" wrapText="1"/>
    </xf>
    <xf numFmtId="171" fontId="6" fillId="0" borderId="34" xfId="0" applyNumberFormat="1" applyFont="1" applyBorder="1" applyAlignment="1">
      <alignment horizontal="center" vertical="center" wrapText="1"/>
    </xf>
    <xf numFmtId="7" fontId="6" fillId="0" borderId="33" xfId="0" applyNumberFormat="1" applyFont="1" applyBorder="1" applyAlignment="1">
      <alignment horizontal="center" vertical="center" wrapText="1"/>
    </xf>
    <xf numFmtId="7" fontId="6" fillId="0" borderId="34" xfId="0" applyNumberFormat="1" applyFont="1" applyBorder="1" applyAlignment="1">
      <alignment horizontal="center" vertical="center" wrapText="1"/>
    </xf>
    <xf numFmtId="171" fontId="9" fillId="0" borderId="33" xfId="0" applyNumberFormat="1" applyFont="1" applyBorder="1" applyAlignment="1">
      <alignment horizontal="center" vertical="center" wrapText="1"/>
    </xf>
    <xf numFmtId="171" fontId="9" fillId="0" borderId="34" xfId="0" applyNumberFormat="1" applyFont="1" applyBorder="1" applyAlignment="1">
      <alignment horizontal="center" vertical="center" wrapText="1"/>
    </xf>
    <xf numFmtId="0" fontId="6" fillId="11" borderId="33" xfId="0" applyFont="1" applyFill="1" applyBorder="1" applyAlignment="1" applyProtection="1">
      <alignment horizontal="center" vertical="center" wrapText="1"/>
      <protection locked="0"/>
    </xf>
    <xf numFmtId="0" fontId="6" fillId="11" borderId="34" xfId="0" applyFont="1" applyFill="1" applyBorder="1" applyAlignment="1" applyProtection="1">
      <alignment horizontal="center" vertical="center" wrapText="1"/>
      <protection locked="0"/>
    </xf>
    <xf numFmtId="167" fontId="6" fillId="0" borderId="33" xfId="0" applyNumberFormat="1" applyFont="1" applyBorder="1" applyAlignment="1">
      <alignment horizontal="center" vertical="center" wrapText="1"/>
    </xf>
    <xf numFmtId="167" fontId="6" fillId="0" borderId="34" xfId="0" applyNumberFormat="1" applyFont="1" applyBorder="1" applyAlignment="1">
      <alignment horizontal="center" vertical="center" wrapText="1"/>
    </xf>
    <xf numFmtId="0" fontId="6" fillId="11" borderId="33" xfId="0" applyFont="1" applyFill="1" applyBorder="1" applyAlignment="1">
      <alignment horizontal="center" vertical="center" wrapText="1"/>
    </xf>
    <xf numFmtId="0" fontId="6" fillId="11" borderId="34" xfId="0" applyFont="1" applyFill="1" applyBorder="1" applyAlignment="1">
      <alignment horizontal="center" vertical="center" wrapText="1"/>
    </xf>
    <xf numFmtId="0" fontId="7" fillId="13" borderId="8" xfId="0" applyFont="1" applyFill="1" applyBorder="1" applyAlignment="1">
      <alignment horizontal="center"/>
    </xf>
    <xf numFmtId="0" fontId="7" fillId="13" borderId="10" xfId="0" applyFont="1" applyFill="1" applyBorder="1" applyAlignment="1">
      <alignment horizontal="center"/>
    </xf>
    <xf numFmtId="0" fontId="10" fillId="13" borderId="0" xfId="0" applyFont="1" applyFill="1" applyAlignment="1">
      <alignment horizontal="center"/>
    </xf>
    <xf numFmtId="0" fontId="7" fillId="3" borderId="11" xfId="0" applyFont="1" applyFill="1" applyBorder="1" applyAlignment="1">
      <alignment horizontal="center"/>
    </xf>
    <xf numFmtId="0" fontId="7" fillId="22" borderId="7" xfId="0" applyFont="1" applyFill="1" applyBorder="1" applyAlignment="1">
      <alignment horizontal="center" wrapText="1"/>
    </xf>
    <xf numFmtId="0" fontId="13" fillId="22" borderId="7" xfId="0" applyFont="1" applyFill="1" applyBorder="1" applyAlignment="1">
      <alignment horizontal="center" wrapText="1"/>
    </xf>
    <xf numFmtId="0" fontId="7" fillId="13" borderId="9" xfId="0" applyFont="1" applyFill="1" applyBorder="1" applyAlignment="1">
      <alignment horizontal="center"/>
    </xf>
    <xf numFmtId="0" fontId="7" fillId="3" borderId="11"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7" fillId="0" borderId="0" xfId="0" applyFont="1" applyAlignment="1">
      <alignment horizontal="center"/>
    </xf>
    <xf numFmtId="0" fontId="8" fillId="0" borderId="11" xfId="0" applyFont="1" applyBorder="1" applyAlignment="1">
      <alignment horizontal="center" vertical="center" wrapText="1"/>
    </xf>
    <xf numFmtId="0" fontId="7" fillId="13" borderId="8" xfId="0" applyFont="1" applyFill="1" applyBorder="1" applyAlignment="1">
      <alignment horizontal="center" vertical="center"/>
    </xf>
    <xf numFmtId="0" fontId="7" fillId="13" borderId="10" xfId="0" applyFont="1" applyFill="1" applyBorder="1" applyAlignment="1">
      <alignment horizontal="center" vertical="center"/>
    </xf>
    <xf numFmtId="0" fontId="8" fillId="0" borderId="14"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0" xfId="0" applyFont="1" applyBorder="1" applyAlignment="1">
      <alignment horizontal="center" vertical="center" wrapText="1"/>
    </xf>
    <xf numFmtId="0" fontId="7" fillId="13" borderId="8" xfId="0" applyFont="1" applyFill="1" applyBorder="1" applyAlignment="1">
      <alignment horizontal="center" vertical="center" wrapText="1"/>
    </xf>
    <xf numFmtId="0" fontId="7" fillId="13" borderId="10" xfId="0" applyFont="1" applyFill="1" applyBorder="1" applyAlignment="1">
      <alignment horizontal="center" vertical="center" wrapText="1"/>
    </xf>
    <xf numFmtId="0" fontId="8" fillId="0" borderId="11" xfId="0" applyFont="1" applyBorder="1" applyAlignment="1">
      <alignment horizontal="left" vertical="center" wrapText="1"/>
    </xf>
    <xf numFmtId="171" fontId="18" fillId="25" borderId="11" xfId="0" applyNumberFormat="1" applyFont="1" applyFill="1" applyBorder="1" applyAlignment="1">
      <alignment horizontal="center" vertical="center" wrapText="1"/>
    </xf>
    <xf numFmtId="171" fontId="17" fillId="25" borderId="8" xfId="0" applyNumberFormat="1" applyFont="1" applyFill="1" applyBorder="1" applyAlignment="1">
      <alignment horizontal="center" vertical="center"/>
    </xf>
    <xf numFmtId="0" fontId="17" fillId="25" borderId="9" xfId="0" applyFont="1" applyFill="1" applyBorder="1" applyAlignment="1">
      <alignment horizontal="center" vertical="center"/>
    </xf>
    <xf numFmtId="0" fontId="17" fillId="25" borderId="10" xfId="0" applyFont="1" applyFill="1" applyBorder="1" applyAlignment="1">
      <alignment horizontal="center" vertical="center"/>
    </xf>
    <xf numFmtId="171" fontId="18" fillId="25" borderId="8" xfId="0" applyNumberFormat="1" applyFont="1" applyFill="1" applyBorder="1" applyAlignment="1">
      <alignment horizontal="center" vertical="center" wrapText="1"/>
    </xf>
    <xf numFmtId="171" fontId="18" fillId="25" borderId="10" xfId="0" applyNumberFormat="1" applyFont="1" applyFill="1" applyBorder="1" applyAlignment="1">
      <alignment horizontal="center" vertical="center" wrapText="1"/>
    </xf>
    <xf numFmtId="171" fontId="17" fillId="25" borderId="9" xfId="0" applyNumberFormat="1" applyFont="1" applyFill="1" applyBorder="1" applyAlignment="1">
      <alignment horizontal="center" vertical="center"/>
    </xf>
    <xf numFmtId="171" fontId="17" fillId="25" borderId="10" xfId="0" applyNumberFormat="1" applyFont="1" applyFill="1" applyBorder="1" applyAlignment="1">
      <alignment horizontal="center" vertical="center"/>
    </xf>
    <xf numFmtId="0" fontId="13" fillId="24" borderId="8" xfId="0" applyFont="1" applyFill="1" applyBorder="1" applyAlignment="1">
      <alignment horizontal="center" vertical="center" wrapText="1"/>
    </xf>
    <xf numFmtId="0" fontId="13" fillId="24" borderId="9" xfId="0" applyFont="1" applyFill="1" applyBorder="1" applyAlignment="1">
      <alignment horizontal="center" vertical="center" wrapText="1"/>
    </xf>
    <xf numFmtId="0" fontId="13" fillId="24" borderId="10" xfId="0" applyFont="1" applyFill="1" applyBorder="1" applyAlignment="1">
      <alignment horizontal="center" vertical="center" wrapText="1"/>
    </xf>
    <xf numFmtId="0" fontId="13" fillId="19" borderId="8" xfId="0" applyFont="1" applyFill="1" applyBorder="1" applyAlignment="1">
      <alignment horizontal="center" vertical="center" wrapText="1"/>
    </xf>
    <xf numFmtId="0" fontId="13" fillId="19" borderId="9" xfId="0" applyFont="1" applyFill="1" applyBorder="1" applyAlignment="1">
      <alignment horizontal="center" vertical="center" wrapText="1"/>
    </xf>
    <xf numFmtId="0" fontId="13" fillId="19" borderId="10" xfId="0" applyFont="1" applyFill="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171" fontId="18" fillId="25" borderId="9" xfId="0" applyNumberFormat="1" applyFont="1" applyFill="1" applyBorder="1" applyAlignment="1">
      <alignment horizontal="center" vertical="center" wrapText="1"/>
    </xf>
    <xf numFmtId="0" fontId="17" fillId="0" borderId="8" xfId="0" applyFont="1" applyBorder="1" applyAlignment="1">
      <alignment horizontal="left" vertical="center" wrapText="1"/>
    </xf>
    <xf numFmtId="0" fontId="17" fillId="0" borderId="9" xfId="0" applyFont="1" applyBorder="1" applyAlignment="1">
      <alignment horizontal="left" vertical="center" wrapText="1"/>
    </xf>
    <xf numFmtId="0" fontId="17" fillId="0" borderId="10" xfId="0" applyFont="1" applyBorder="1" applyAlignment="1">
      <alignment horizontal="left" vertical="center" wrapText="1"/>
    </xf>
    <xf numFmtId="0" fontId="18"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7" fillId="25" borderId="8" xfId="0" applyFont="1" applyFill="1" applyBorder="1" applyAlignment="1">
      <alignment horizontal="center" vertical="center" wrapText="1"/>
    </xf>
    <xf numFmtId="0" fontId="9" fillId="25" borderId="9" xfId="0" applyFont="1" applyFill="1" applyBorder="1" applyAlignment="1">
      <alignment horizontal="center" vertical="center" wrapText="1"/>
    </xf>
    <xf numFmtId="0" fontId="9" fillId="0" borderId="10" xfId="0" applyFont="1" applyBorder="1" applyAlignment="1">
      <alignment horizontal="center" vertical="center" wrapText="1"/>
    </xf>
    <xf numFmtId="0" fontId="17"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3" fillId="19" borderId="11" xfId="0" applyFont="1" applyFill="1" applyBorder="1" applyAlignment="1">
      <alignment horizontal="center" vertical="center" wrapText="1"/>
    </xf>
    <xf numFmtId="0" fontId="7" fillId="19" borderId="14" xfId="0" applyFont="1" applyFill="1" applyBorder="1" applyAlignment="1">
      <alignment horizontal="center" vertical="center" wrapText="1"/>
    </xf>
    <xf numFmtId="0" fontId="7" fillId="19" borderId="21" xfId="0" applyFont="1" applyFill="1" applyBorder="1" applyAlignment="1">
      <alignment horizontal="center" vertical="center" wrapText="1"/>
    </xf>
    <xf numFmtId="0" fontId="7" fillId="19" borderId="15" xfId="0" applyFont="1" applyFill="1" applyBorder="1" applyAlignment="1">
      <alignment horizontal="center" vertical="center" wrapText="1"/>
    </xf>
    <xf numFmtId="0" fontId="7" fillId="19" borderId="19" xfId="0" applyFont="1" applyFill="1" applyBorder="1" applyAlignment="1">
      <alignment horizontal="center" vertical="center" wrapText="1"/>
    </xf>
    <xf numFmtId="0" fontId="7" fillId="19" borderId="22" xfId="0" applyFont="1" applyFill="1" applyBorder="1" applyAlignment="1">
      <alignment horizontal="center" vertical="center" wrapText="1"/>
    </xf>
    <xf numFmtId="0" fontId="7" fillId="19" borderId="20" xfId="0" applyFont="1" applyFill="1" applyBorder="1" applyAlignment="1">
      <alignment horizontal="center" vertical="center" wrapText="1"/>
    </xf>
    <xf numFmtId="0" fontId="7" fillId="19" borderId="16" xfId="0" applyFont="1" applyFill="1" applyBorder="1" applyAlignment="1">
      <alignment horizontal="center" vertical="center" wrapText="1"/>
    </xf>
    <xf numFmtId="0" fontId="7" fillId="19" borderId="7" xfId="0" applyFont="1" applyFill="1" applyBorder="1" applyAlignment="1">
      <alignment horizontal="center" vertical="center" wrapText="1"/>
    </xf>
    <xf numFmtId="0" fontId="7" fillId="19" borderId="8" xfId="0" applyFont="1" applyFill="1" applyBorder="1" applyAlignment="1">
      <alignment horizontal="center" vertical="center" wrapText="1"/>
    </xf>
    <xf numFmtId="0" fontId="7" fillId="19" borderId="9" xfId="0" applyFont="1" applyFill="1" applyBorder="1" applyAlignment="1">
      <alignment horizontal="center" vertical="center" wrapText="1"/>
    </xf>
    <xf numFmtId="0" fontId="7" fillId="19" borderId="10" xfId="0" applyFont="1" applyFill="1" applyBorder="1" applyAlignment="1">
      <alignment horizontal="center" vertical="center" wrapText="1"/>
    </xf>
    <xf numFmtId="0" fontId="18" fillId="24" borderId="8" xfId="0" applyFont="1" applyFill="1" applyBorder="1" applyAlignment="1">
      <alignment horizontal="center" vertical="center" wrapText="1"/>
    </xf>
    <xf numFmtId="0" fontId="9" fillId="14" borderId="11" xfId="0" applyFont="1" applyFill="1" applyBorder="1" applyAlignment="1">
      <alignment horizontal="center" vertical="center" wrapText="1"/>
    </xf>
    <xf numFmtId="0" fontId="9" fillId="14" borderId="8" xfId="0" applyFont="1" applyFill="1" applyBorder="1" applyAlignment="1">
      <alignment horizontal="center" vertical="center" wrapText="1"/>
    </xf>
    <xf numFmtId="0" fontId="9" fillId="14" borderId="9" xfId="0" applyFont="1" applyFill="1" applyBorder="1" applyAlignment="1">
      <alignment horizontal="center" vertical="center" wrapText="1"/>
    </xf>
    <xf numFmtId="0" fontId="9" fillId="14" borderId="10"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0" xfId="0" applyFont="1" applyAlignment="1">
      <alignment horizontal="center" vertical="center" wrapText="1"/>
    </xf>
    <xf numFmtId="0" fontId="9" fillId="25" borderId="11" xfId="0" applyFont="1" applyFill="1" applyBorder="1" applyAlignment="1">
      <alignment horizontal="center" vertical="center" wrapText="1"/>
    </xf>
    <xf numFmtId="171" fontId="9" fillId="0" borderId="11" xfId="0" applyNumberFormat="1" applyFont="1" applyBorder="1" applyAlignment="1">
      <alignment horizontal="center" vertical="center" wrapText="1"/>
    </xf>
    <xf numFmtId="171" fontId="9" fillId="0" borderId="0" xfId="0" applyNumberFormat="1" applyFont="1" applyAlignment="1">
      <alignment horizontal="center" vertical="center" wrapText="1"/>
    </xf>
    <xf numFmtId="0" fontId="9" fillId="24" borderId="11" xfId="0" applyFont="1" applyFill="1" applyBorder="1" applyAlignment="1">
      <alignment horizontal="center" vertical="center" wrapText="1"/>
    </xf>
    <xf numFmtId="0" fontId="8" fillId="0" borderId="0" xfId="6" applyFont="1" applyFill="1" applyBorder="1" applyAlignment="1">
      <alignment horizontal="right" vertical="center" wrapText="1"/>
    </xf>
    <xf numFmtId="0" fontId="6" fillId="2" borderId="8" xfId="0" applyFont="1" applyFill="1" applyBorder="1" applyAlignment="1">
      <alignment horizontal="justify" vertical="center"/>
    </xf>
    <xf numFmtId="0" fontId="6" fillId="2" borderId="10" xfId="0" applyFont="1" applyFill="1" applyBorder="1" applyAlignment="1">
      <alignment horizontal="justify" vertical="center"/>
    </xf>
    <xf numFmtId="164" fontId="7" fillId="0" borderId="8" xfId="3" applyNumberFormat="1" applyFont="1" applyBorder="1" applyAlignment="1">
      <alignment horizontal="center" vertical="center"/>
    </xf>
    <xf numFmtId="164" fontId="7" fillId="0" borderId="10" xfId="3" applyNumberFormat="1" applyFont="1" applyBorder="1" applyAlignment="1">
      <alignment horizontal="center" vertical="center"/>
    </xf>
    <xf numFmtId="164" fontId="7" fillId="0" borderId="8" xfId="3" applyNumberFormat="1" applyFont="1" applyBorder="1" applyAlignment="1">
      <alignment horizontal="justify" vertical="center"/>
    </xf>
    <xf numFmtId="164" fontId="7" fillId="0" borderId="10" xfId="3" applyNumberFormat="1" applyFont="1" applyBorder="1" applyAlignment="1">
      <alignment horizontal="justify" vertical="center"/>
    </xf>
    <xf numFmtId="164" fontId="7" fillId="0" borderId="8" xfId="3" quotePrefix="1" applyNumberFormat="1" applyFont="1" applyBorder="1" applyAlignment="1">
      <alignment horizontal="justify" vertical="center"/>
    </xf>
    <xf numFmtId="0" fontId="7" fillId="11" borderId="8" xfId="6" applyFont="1" applyFill="1" applyBorder="1" applyAlignment="1">
      <alignment horizontal="center" vertical="center"/>
    </xf>
    <xf numFmtId="0" fontId="7" fillId="11" borderId="9" xfId="6" applyFont="1" applyFill="1" applyBorder="1" applyAlignment="1">
      <alignment horizontal="center" vertical="center"/>
    </xf>
    <xf numFmtId="0" fontId="7" fillId="11" borderId="10" xfId="6" applyFont="1" applyFill="1" applyBorder="1" applyAlignment="1">
      <alignment horizontal="center" vertical="center"/>
    </xf>
    <xf numFmtId="0" fontId="7" fillId="10" borderId="25" xfId="6" applyFont="1" applyFill="1" applyBorder="1" applyAlignment="1">
      <alignment horizontal="center" vertical="center" wrapText="1"/>
    </xf>
    <xf numFmtId="0" fontId="7" fillId="10" borderId="26" xfId="6" applyFont="1" applyFill="1" applyBorder="1" applyAlignment="1">
      <alignment horizontal="center" vertical="center" wrapText="1"/>
    </xf>
    <xf numFmtId="0" fontId="7" fillId="10" borderId="27" xfId="6" applyFont="1" applyFill="1" applyBorder="1" applyAlignment="1">
      <alignment horizontal="center" vertical="center" wrapText="1"/>
    </xf>
    <xf numFmtId="0" fontId="10" fillId="12" borderId="28" xfId="0" applyFont="1" applyFill="1" applyBorder="1" applyAlignment="1">
      <alignment horizontal="center" vertical="center"/>
    </xf>
    <xf numFmtId="0" fontId="10" fillId="12" borderId="29" xfId="0" applyFont="1" applyFill="1" applyBorder="1" applyAlignment="1">
      <alignment horizontal="center" vertical="center"/>
    </xf>
    <xf numFmtId="0" fontId="10" fillId="12" borderId="0" xfId="0" applyFont="1" applyFill="1" applyAlignment="1">
      <alignment horizontal="center" vertical="center"/>
    </xf>
    <xf numFmtId="0" fontId="10" fillId="12" borderId="31" xfId="0" applyFont="1" applyFill="1" applyBorder="1" applyAlignment="1">
      <alignment horizontal="center"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164" fontId="7" fillId="9" borderId="8" xfId="3" applyNumberFormat="1" applyFont="1" applyFill="1" applyBorder="1" applyAlignment="1">
      <alignment horizontal="center" vertical="center"/>
    </xf>
    <xf numFmtId="164" fontId="7" fillId="9" borderId="9" xfId="3" applyNumberFormat="1" applyFont="1" applyFill="1" applyBorder="1" applyAlignment="1">
      <alignment horizontal="center" vertical="center"/>
    </xf>
    <xf numFmtId="164" fontId="7" fillId="9" borderId="10" xfId="3" applyNumberFormat="1" applyFont="1" applyFill="1" applyBorder="1" applyAlignment="1">
      <alignment horizontal="center" vertical="center"/>
    </xf>
    <xf numFmtId="0" fontId="7" fillId="10" borderId="8" xfId="6" applyFont="1" applyFill="1" applyBorder="1" applyAlignment="1">
      <alignment horizontal="center" vertical="center" wrapText="1"/>
    </xf>
    <xf numFmtId="0" fontId="7" fillId="10" borderId="9" xfId="6" applyFont="1" applyFill="1" applyBorder="1" applyAlignment="1">
      <alignment horizontal="center" vertical="center" wrapText="1"/>
    </xf>
    <xf numFmtId="0" fontId="7" fillId="10" borderId="10" xfId="6" applyFont="1" applyFill="1" applyBorder="1" applyAlignment="1">
      <alignment horizontal="center" vertical="center" wrapText="1"/>
    </xf>
    <xf numFmtId="0" fontId="7" fillId="2" borderId="9" xfId="6" applyFont="1" applyFill="1" applyBorder="1" applyAlignment="1">
      <alignment horizontal="left" vertical="center"/>
    </xf>
    <xf numFmtId="0" fontId="7" fillId="2" borderId="10" xfId="6" applyFont="1" applyFill="1" applyBorder="1" applyAlignment="1">
      <alignment horizontal="left" vertical="center"/>
    </xf>
    <xf numFmtId="0" fontId="7" fillId="10" borderId="8" xfId="6" applyFont="1" applyFill="1" applyBorder="1" applyAlignment="1">
      <alignment horizontal="right" vertical="center" wrapText="1"/>
    </xf>
    <xf numFmtId="0" fontId="7" fillId="10" borderId="9" xfId="6" applyFont="1" applyFill="1" applyBorder="1" applyAlignment="1">
      <alignment horizontal="right" vertical="center" wrapText="1"/>
    </xf>
    <xf numFmtId="0" fontId="7" fillId="10" borderId="10" xfId="6" applyFont="1" applyFill="1" applyBorder="1" applyAlignment="1">
      <alignment horizontal="right" vertical="center" wrapText="1"/>
    </xf>
    <xf numFmtId="0" fontId="7" fillId="7" borderId="8" xfId="6" applyFont="1" applyFill="1" applyBorder="1" applyAlignment="1">
      <alignment horizontal="center" vertical="center" wrapText="1"/>
    </xf>
    <xf numFmtId="0" fontId="7" fillId="7" borderId="9" xfId="6" applyFont="1" applyFill="1" applyBorder="1" applyAlignment="1">
      <alignment horizontal="center" vertical="center" wrapText="1"/>
    </xf>
    <xf numFmtId="0" fontId="7" fillId="7" borderId="10" xfId="6" applyFont="1" applyFill="1" applyBorder="1" applyAlignment="1">
      <alignment horizontal="center" vertical="center" wrapText="1"/>
    </xf>
    <xf numFmtId="0" fontId="6" fillId="0" borderId="8" xfId="6" applyFont="1" applyBorder="1" applyAlignment="1">
      <alignment horizontal="left" vertical="center" wrapText="1"/>
    </xf>
    <xf numFmtId="0" fontId="6" fillId="0" borderId="9" xfId="6" applyFont="1" applyBorder="1" applyAlignment="1">
      <alignment horizontal="left" vertical="center" wrapText="1"/>
    </xf>
    <xf numFmtId="0" fontId="6" fillId="0" borderId="10" xfId="6" applyFont="1" applyBorder="1" applyAlignment="1">
      <alignment horizontal="left" vertical="center" wrapText="1"/>
    </xf>
    <xf numFmtId="0" fontId="7" fillId="0" borderId="8" xfId="6" applyFont="1" applyFill="1" applyBorder="1" applyAlignment="1">
      <alignment horizontal="left" vertical="center" wrapText="1"/>
    </xf>
    <xf numFmtId="0" fontId="7" fillId="0" borderId="10" xfId="6" applyFont="1" applyFill="1" applyBorder="1" applyAlignment="1">
      <alignment horizontal="left" vertical="center" wrapText="1"/>
    </xf>
    <xf numFmtId="0" fontId="6" fillId="5" borderId="8" xfId="5" applyFont="1" applyFill="1" applyBorder="1" applyAlignment="1">
      <alignment horizontal="center" vertical="center" wrapText="1"/>
    </xf>
    <xf numFmtId="0" fontId="6" fillId="5" borderId="9" xfId="5" applyFont="1" applyFill="1" applyBorder="1" applyAlignment="1">
      <alignment horizontal="center" vertical="center" wrapText="1"/>
    </xf>
    <xf numFmtId="0" fontId="6" fillId="5" borderId="10" xfId="5" applyFont="1" applyFill="1" applyBorder="1" applyAlignment="1">
      <alignment horizontal="center" vertical="center" wrapText="1"/>
    </xf>
    <xf numFmtId="171" fontId="7" fillId="5" borderId="8" xfId="5" applyNumberFormat="1" applyFont="1" applyFill="1" applyBorder="1" applyAlignment="1">
      <alignment horizontal="center" vertical="center" wrapText="1"/>
    </xf>
    <xf numFmtId="171" fontId="7" fillId="5" borderId="9" xfId="5" applyNumberFormat="1" applyFont="1" applyFill="1" applyBorder="1" applyAlignment="1">
      <alignment horizontal="center" vertical="center" wrapText="1"/>
    </xf>
    <xf numFmtId="171" fontId="7" fillId="5" borderId="10" xfId="5" applyNumberFormat="1" applyFont="1" applyFill="1" applyBorder="1" applyAlignment="1">
      <alignment horizontal="center" vertical="center" wrapText="1"/>
    </xf>
    <xf numFmtId="15" fontId="6" fillId="5" borderId="8" xfId="0" applyNumberFormat="1" applyFont="1" applyFill="1" applyBorder="1" applyAlignment="1">
      <alignment horizontal="center" vertical="center"/>
    </xf>
    <xf numFmtId="15" fontId="6" fillId="5" borderId="9" xfId="0" applyNumberFormat="1" applyFont="1" applyFill="1" applyBorder="1" applyAlignment="1">
      <alignment horizontal="center" vertical="center"/>
    </xf>
    <xf numFmtId="15" fontId="6" fillId="5" borderId="10" xfId="0" applyNumberFormat="1" applyFont="1" applyFill="1" applyBorder="1" applyAlignment="1">
      <alignment horizontal="center" vertical="center"/>
    </xf>
    <xf numFmtId="0" fontId="7" fillId="5" borderId="8" xfId="6" applyFont="1" applyFill="1" applyBorder="1" applyAlignment="1">
      <alignment horizontal="justify" vertical="center"/>
    </xf>
    <xf numFmtId="0" fontId="7" fillId="5" borderId="10" xfId="6" applyFont="1" applyFill="1" applyBorder="1" applyAlignment="1">
      <alignment horizontal="justify" vertical="center"/>
    </xf>
    <xf numFmtId="0" fontId="7" fillId="19" borderId="8" xfId="6" applyFont="1" applyFill="1" applyBorder="1" applyAlignment="1">
      <alignment horizontal="center" vertical="center"/>
    </xf>
    <xf numFmtId="0" fontId="7" fillId="19" borderId="9" xfId="6" applyFont="1" applyFill="1" applyBorder="1" applyAlignment="1">
      <alignment horizontal="center" vertical="center"/>
    </xf>
    <xf numFmtId="0" fontId="7" fillId="19" borderId="10" xfId="6" applyFont="1" applyFill="1" applyBorder="1" applyAlignment="1">
      <alignment horizontal="center" vertical="center"/>
    </xf>
    <xf numFmtId="0" fontId="7" fillId="14" borderId="9" xfId="6" applyFont="1" applyFill="1" applyBorder="1" applyAlignment="1">
      <alignment horizontal="center" vertical="center"/>
    </xf>
    <xf numFmtId="0" fontId="7" fillId="14" borderId="10" xfId="6" applyFont="1" applyFill="1" applyBorder="1" applyAlignment="1">
      <alignment horizontal="center" vertical="center"/>
    </xf>
    <xf numFmtId="0" fontId="7" fillId="11" borderId="8" xfId="6" applyFont="1" applyFill="1" applyBorder="1" applyAlignment="1">
      <alignment horizontal="center" vertical="center" wrapText="1"/>
    </xf>
    <xf numFmtId="0" fontId="7" fillId="11" borderId="9" xfId="6" applyFont="1" applyFill="1" applyBorder="1" applyAlignment="1">
      <alignment horizontal="center" vertical="center" wrapText="1"/>
    </xf>
    <xf numFmtId="0" fontId="7" fillId="11" borderId="10" xfId="6" applyFont="1" applyFill="1" applyBorder="1" applyAlignment="1">
      <alignment horizontal="center" vertical="center" wrapText="1"/>
    </xf>
    <xf numFmtId="0" fontId="7" fillId="19" borderId="11" xfId="6" applyFont="1" applyFill="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2" borderId="1" xfId="4" applyFont="1" applyFill="1" applyBorder="1" applyAlignment="1">
      <alignment horizontal="center" vertical="center" wrapText="1"/>
    </xf>
    <xf numFmtId="0" fontId="7" fillId="2" borderId="2" xfId="4" applyFont="1" applyFill="1" applyBorder="1" applyAlignment="1">
      <alignment horizontal="center" vertical="center" wrapText="1"/>
    </xf>
    <xf numFmtId="0" fontId="7" fillId="2" borderId="3" xfId="4" applyFont="1" applyFill="1" applyBorder="1" applyAlignment="1">
      <alignment horizontal="center" vertical="center" wrapText="1"/>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7" fillId="2" borderId="6" xfId="4" applyFont="1" applyFill="1" applyBorder="1" applyAlignment="1">
      <alignment horizontal="center" vertical="center" wrapText="1"/>
    </xf>
    <xf numFmtId="0" fontId="7" fillId="0" borderId="8" xfId="4" applyFont="1" applyBorder="1" applyAlignment="1">
      <alignment horizontal="right" vertical="center" wrapText="1"/>
    </xf>
    <xf numFmtId="0" fontId="7" fillId="0" borderId="9" xfId="4" applyFont="1" applyBorder="1" applyAlignment="1">
      <alignment horizontal="right" vertical="center" wrapText="1"/>
    </xf>
    <xf numFmtId="0" fontId="7" fillId="0" borderId="10" xfId="4" applyFont="1" applyBorder="1" applyAlignment="1">
      <alignment horizontal="right" vertical="center" wrapText="1"/>
    </xf>
    <xf numFmtId="0" fontId="6" fillId="5" borderId="8" xfId="4" quotePrefix="1" applyFont="1" applyFill="1" applyBorder="1" applyAlignment="1">
      <alignment horizontal="center" vertical="center" wrapText="1"/>
    </xf>
    <xf numFmtId="0" fontId="6" fillId="5" borderId="10" xfId="4" quotePrefix="1" applyFont="1" applyFill="1" applyBorder="1" applyAlignment="1">
      <alignment horizontal="center" vertical="center" wrapText="1"/>
    </xf>
    <xf numFmtId="17" fontId="6" fillId="5" borderId="8" xfId="4" quotePrefix="1" applyNumberFormat="1" applyFont="1" applyFill="1" applyBorder="1" applyAlignment="1">
      <alignment horizontal="center" vertical="center" wrapText="1"/>
    </xf>
    <xf numFmtId="17" fontId="6" fillId="5" borderId="10" xfId="4" quotePrefix="1" applyNumberFormat="1" applyFont="1" applyFill="1" applyBorder="1" applyAlignment="1">
      <alignment horizontal="center" vertical="center" wrapText="1"/>
    </xf>
    <xf numFmtId="0" fontId="7" fillId="5" borderId="9" xfId="4" applyFont="1" applyFill="1" applyBorder="1" applyAlignment="1">
      <alignment horizontal="right" vertical="center" wrapText="1"/>
    </xf>
    <xf numFmtId="0" fontId="7" fillId="5" borderId="10" xfId="4" applyFont="1" applyFill="1" applyBorder="1" applyAlignment="1">
      <alignment horizontal="right" vertical="center" wrapText="1"/>
    </xf>
    <xf numFmtId="0" fontId="7" fillId="4" borderId="8" xfId="4" applyFont="1" applyFill="1" applyBorder="1" applyAlignment="1">
      <alignment horizontal="center" vertical="center"/>
    </xf>
    <xf numFmtId="0" fontId="7" fillId="4" borderId="9" xfId="4" applyFont="1" applyFill="1" applyBorder="1" applyAlignment="1">
      <alignment horizontal="center" vertical="center"/>
    </xf>
    <xf numFmtId="0" fontId="7" fillId="4" borderId="10" xfId="4" applyFont="1" applyFill="1" applyBorder="1" applyAlignment="1">
      <alignment horizontal="center" vertical="center"/>
    </xf>
    <xf numFmtId="0" fontId="7" fillId="4" borderId="14" xfId="4" applyFont="1" applyFill="1" applyBorder="1" applyAlignment="1">
      <alignment horizontal="center" vertical="center"/>
    </xf>
    <xf numFmtId="0" fontId="7" fillId="4" borderId="21" xfId="4" applyFont="1" applyFill="1" applyBorder="1" applyAlignment="1">
      <alignment horizontal="center" vertical="center"/>
    </xf>
    <xf numFmtId="0" fontId="7" fillId="4" borderId="15" xfId="4" applyFont="1" applyFill="1" applyBorder="1" applyAlignment="1">
      <alignment horizontal="center" vertical="center"/>
    </xf>
    <xf numFmtId="0" fontId="7" fillId="4" borderId="19" xfId="4" applyFont="1" applyFill="1" applyBorder="1" applyAlignment="1">
      <alignment horizontal="center" vertical="center"/>
    </xf>
    <xf numFmtId="0" fontId="7" fillId="4" borderId="22" xfId="4" applyFont="1" applyFill="1" applyBorder="1" applyAlignment="1">
      <alignment horizontal="center" vertical="center"/>
    </xf>
    <xf numFmtId="0" fontId="7" fillId="4" borderId="20" xfId="4" applyFont="1" applyFill="1" applyBorder="1" applyAlignment="1">
      <alignment horizontal="center" vertical="center"/>
    </xf>
    <xf numFmtId="14" fontId="6" fillId="5" borderId="8" xfId="0" quotePrefix="1" applyNumberFormat="1" applyFont="1" applyFill="1" applyBorder="1" applyAlignment="1">
      <alignment horizontal="center" vertical="center"/>
    </xf>
    <xf numFmtId="14" fontId="6" fillId="5" borderId="9" xfId="0" applyNumberFormat="1" applyFont="1" applyFill="1" applyBorder="1" applyAlignment="1">
      <alignment horizontal="center" vertical="center"/>
    </xf>
    <xf numFmtId="14" fontId="6" fillId="5" borderId="10" xfId="0" applyNumberFormat="1" applyFont="1" applyFill="1" applyBorder="1" applyAlignment="1">
      <alignment horizontal="center" vertical="center"/>
    </xf>
    <xf numFmtId="0" fontId="6" fillId="5" borderId="8" xfId="4" applyFont="1" applyFill="1" applyBorder="1" applyAlignment="1">
      <alignment horizontal="center" vertical="center" wrapText="1"/>
    </xf>
    <xf numFmtId="0" fontId="6" fillId="5" borderId="9" xfId="4" applyFont="1" applyFill="1" applyBorder="1" applyAlignment="1">
      <alignment horizontal="center" vertical="center" wrapText="1"/>
    </xf>
    <xf numFmtId="0" fontId="6" fillId="5" borderId="10" xfId="4" applyFont="1" applyFill="1" applyBorder="1" applyAlignment="1">
      <alignment horizontal="center" vertical="center" wrapText="1"/>
    </xf>
    <xf numFmtId="0" fontId="11" fillId="0" borderId="8" xfId="0" applyFont="1" applyBorder="1" applyAlignment="1">
      <alignment horizontal="center" vertical="center"/>
    </xf>
    <xf numFmtId="0" fontId="11" fillId="0" borderId="10" xfId="0" applyFont="1" applyBorder="1" applyAlignment="1">
      <alignment horizontal="center" vertical="center"/>
    </xf>
    <xf numFmtId="0" fontId="11" fillId="0" borderId="8" xfId="5" applyFont="1" applyBorder="1" applyAlignment="1">
      <alignment horizontal="center" vertical="center" wrapText="1"/>
    </xf>
    <xf numFmtId="0" fontId="11" fillId="0" borderId="10" xfId="5" applyFont="1" applyBorder="1" applyAlignment="1">
      <alignment horizontal="center" vertical="center" wrapText="1"/>
    </xf>
    <xf numFmtId="0" fontId="6" fillId="5" borderId="8" xfId="0" applyFont="1" applyFill="1" applyBorder="1" applyAlignment="1">
      <alignment horizontal="center" vertical="center"/>
    </xf>
    <xf numFmtId="0" fontId="6" fillId="5" borderId="10" xfId="0" applyFont="1" applyFill="1" applyBorder="1" applyAlignment="1">
      <alignment horizontal="center" vertical="center"/>
    </xf>
    <xf numFmtId="0" fontId="7" fillId="0" borderId="8" xfId="6" applyFont="1" applyBorder="1" applyAlignment="1">
      <alignment horizontal="left" vertical="center" wrapText="1"/>
    </xf>
    <xf numFmtId="0" fontId="7" fillId="0" borderId="10" xfId="6" applyFont="1" applyBorder="1" applyAlignment="1">
      <alignment horizontal="left" vertical="center" wrapText="1"/>
    </xf>
    <xf numFmtId="0" fontId="7" fillId="18" borderId="11" xfId="0" applyFont="1" applyFill="1" applyBorder="1" applyAlignment="1">
      <alignment horizontal="left" vertical="center" wrapText="1"/>
    </xf>
    <xf numFmtId="0" fontId="7" fillId="15" borderId="9" xfId="6" applyFont="1" applyFill="1" applyBorder="1" applyAlignment="1">
      <alignment horizontal="center" vertical="center" wrapText="1"/>
    </xf>
    <xf numFmtId="0" fontId="7" fillId="15" borderId="10" xfId="6" applyFont="1" applyFill="1" applyBorder="1" applyAlignment="1">
      <alignment horizontal="center" vertical="center" wrapText="1"/>
    </xf>
    <xf numFmtId="0" fontId="7" fillId="0" borderId="9" xfId="6" applyFont="1" applyBorder="1" applyAlignment="1">
      <alignment horizontal="left" vertical="center" wrapText="1"/>
    </xf>
    <xf numFmtId="0" fontId="7" fillId="10" borderId="11" xfId="6" applyFont="1" applyFill="1" applyBorder="1" applyAlignment="1">
      <alignment horizontal="center" vertical="center" wrapText="1"/>
    </xf>
    <xf numFmtId="164" fontId="7" fillId="0" borderId="14" xfId="3" applyNumberFormat="1" applyFont="1" applyBorder="1" applyAlignment="1">
      <alignment horizontal="center" vertical="center"/>
    </xf>
    <xf numFmtId="164" fontId="7" fillId="0" borderId="15" xfId="3" applyNumberFormat="1" applyFont="1" applyBorder="1" applyAlignment="1">
      <alignment horizontal="center" vertical="center"/>
    </xf>
    <xf numFmtId="0" fontId="7" fillId="16" borderId="23" xfId="0" applyFont="1" applyFill="1" applyBorder="1" applyAlignment="1">
      <alignment horizontal="center" vertical="center"/>
    </xf>
    <xf numFmtId="0" fontId="7" fillId="16" borderId="24" xfId="0" applyFont="1" applyFill="1" applyBorder="1" applyAlignment="1">
      <alignment horizontal="center" vertical="center"/>
    </xf>
    <xf numFmtId="0" fontId="7" fillId="10" borderId="19" xfId="6" applyFont="1" applyFill="1" applyBorder="1" applyAlignment="1">
      <alignment horizontal="right" vertical="center" wrapText="1"/>
    </xf>
    <xf numFmtId="0" fontId="7" fillId="10" borderId="22" xfId="6" applyFont="1" applyFill="1" applyBorder="1" applyAlignment="1">
      <alignment horizontal="right" vertical="center" wrapText="1"/>
    </xf>
    <xf numFmtId="0" fontId="7" fillId="10" borderId="20" xfId="6" applyFont="1" applyFill="1" applyBorder="1" applyAlignment="1">
      <alignment horizontal="right" vertical="center" wrapText="1"/>
    </xf>
    <xf numFmtId="0" fontId="10" fillId="12" borderId="30" xfId="6" applyFont="1" applyFill="1" applyBorder="1" applyAlignment="1">
      <alignment horizontal="center" vertical="center" wrapText="1"/>
    </xf>
    <xf numFmtId="0" fontId="7" fillId="14" borderId="11" xfId="6" applyFont="1" applyFill="1" applyBorder="1" applyAlignment="1">
      <alignment horizontal="center" vertical="center"/>
    </xf>
    <xf numFmtId="0" fontId="7" fillId="15" borderId="8" xfId="6" applyFont="1" applyFill="1" applyBorder="1" applyAlignment="1">
      <alignment horizontal="center" vertical="center" wrapText="1"/>
    </xf>
    <xf numFmtId="0" fontId="7" fillId="7" borderId="8"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7" fillId="2" borderId="8" xfId="6" applyFont="1" applyFill="1" applyBorder="1" applyAlignment="1">
      <alignment horizontal="center" vertical="center" wrapText="1"/>
    </xf>
    <xf numFmtId="0" fontId="7" fillId="2" borderId="9" xfId="6" applyFont="1" applyFill="1" applyBorder="1" applyAlignment="1">
      <alignment horizontal="center" vertical="center" wrapText="1"/>
    </xf>
    <xf numFmtId="0" fontId="7" fillId="2" borderId="10" xfId="6" applyFont="1" applyFill="1" applyBorder="1" applyAlignment="1">
      <alignment horizontal="center" vertical="center" wrapText="1"/>
    </xf>
    <xf numFmtId="0" fontId="7" fillId="2" borderId="11" xfId="6" applyFont="1" applyFill="1" applyBorder="1" applyAlignment="1">
      <alignment horizontal="center" vertical="center" wrapText="1"/>
    </xf>
    <xf numFmtId="0" fontId="7" fillId="2" borderId="11" xfId="6" applyFont="1" applyFill="1" applyBorder="1" applyAlignment="1">
      <alignment horizontal="center" vertical="center"/>
    </xf>
    <xf numFmtId="0" fontId="7" fillId="2" borderId="8" xfId="6" applyFont="1" applyFill="1" applyBorder="1" applyAlignment="1">
      <alignment horizontal="center" vertical="center"/>
    </xf>
    <xf numFmtId="0" fontId="7" fillId="2" borderId="9" xfId="6" applyFont="1" applyFill="1" applyBorder="1" applyAlignment="1">
      <alignment horizontal="center" vertical="center"/>
    </xf>
    <xf numFmtId="0" fontId="7" fillId="2" borderId="10" xfId="6" applyFont="1" applyFill="1" applyBorder="1" applyAlignment="1">
      <alignment horizontal="center" vertical="center"/>
    </xf>
    <xf numFmtId="0" fontId="12" fillId="0" borderId="14" xfId="8" applyFont="1" applyFill="1" applyBorder="1" applyAlignment="1" applyProtection="1">
      <alignment horizontal="left" vertical="center"/>
    </xf>
    <xf numFmtId="0" fontId="12" fillId="0" borderId="15" xfId="8" applyFont="1" applyFill="1" applyBorder="1" applyAlignment="1" applyProtection="1">
      <alignment horizontal="left" vertical="center"/>
    </xf>
    <xf numFmtId="0" fontId="7" fillId="0" borderId="19" xfId="6" applyFont="1" applyFill="1" applyBorder="1" applyAlignment="1">
      <alignment horizontal="left" vertical="center" wrapText="1"/>
    </xf>
    <xf numFmtId="0" fontId="7" fillId="0" borderId="20" xfId="6" applyFont="1" applyFill="1" applyBorder="1" applyAlignment="1">
      <alignment horizontal="left" vertical="center" wrapText="1"/>
    </xf>
    <xf numFmtId="0" fontId="7" fillId="10" borderId="14" xfId="6" applyFont="1" applyFill="1" applyBorder="1" applyAlignment="1">
      <alignment horizontal="center" vertical="center" wrapText="1"/>
    </xf>
    <xf numFmtId="0" fontId="7" fillId="10" borderId="21" xfId="6" applyFont="1" applyFill="1" applyBorder="1" applyAlignment="1">
      <alignment horizontal="center" vertical="center" wrapText="1"/>
    </xf>
    <xf numFmtId="0" fontId="7" fillId="10" borderId="15" xfId="6" applyFont="1" applyFill="1" applyBorder="1" applyAlignment="1">
      <alignment horizontal="center" vertical="center" wrapText="1"/>
    </xf>
    <xf numFmtId="0" fontId="10" fillId="0" borderId="0" xfId="6" applyFont="1" applyFill="1" applyBorder="1" applyAlignment="1">
      <alignment horizontal="right" vertical="center" wrapText="1"/>
    </xf>
    <xf numFmtId="0" fontId="9" fillId="0" borderId="0" xfId="0" applyFont="1" applyAlignment="1">
      <alignment horizontal="left" wrapText="1"/>
    </xf>
    <xf numFmtId="0" fontId="13" fillId="24" borderId="23" xfId="0" applyFont="1" applyFill="1" applyBorder="1" applyAlignment="1">
      <alignment horizontal="center" vertical="center" wrapText="1"/>
    </xf>
    <xf numFmtId="0" fontId="13" fillId="24" borderId="24" xfId="0" applyFont="1" applyFill="1" applyBorder="1" applyAlignment="1">
      <alignment horizontal="center" vertical="center" wrapText="1"/>
    </xf>
    <xf numFmtId="4" fontId="13" fillId="24" borderId="23" xfId="0" applyNumberFormat="1" applyFont="1" applyFill="1" applyBorder="1" applyAlignment="1">
      <alignment horizontal="center" vertical="center" wrapText="1"/>
    </xf>
    <xf numFmtId="4" fontId="13" fillId="24" borderId="24" xfId="0" applyNumberFormat="1" applyFont="1" applyFill="1" applyBorder="1" applyAlignment="1">
      <alignment horizontal="center" vertical="center" wrapText="1"/>
    </xf>
    <xf numFmtId="0" fontId="13" fillId="2" borderId="47" xfId="0" applyFont="1" applyFill="1" applyBorder="1" applyAlignment="1">
      <alignment horizontal="center" vertical="center" wrapText="1"/>
    </xf>
    <xf numFmtId="0" fontId="13" fillId="2" borderId="48" xfId="0" applyFont="1" applyFill="1" applyBorder="1" applyAlignment="1">
      <alignment horizontal="center" vertical="center" wrapText="1"/>
    </xf>
    <xf numFmtId="0" fontId="13" fillId="2" borderId="49" xfId="0" applyFont="1" applyFill="1" applyBorder="1" applyAlignment="1">
      <alignment horizontal="center" vertical="center" wrapText="1"/>
    </xf>
    <xf numFmtId="7" fontId="13" fillId="2" borderId="50" xfId="12" applyNumberFormat="1" applyFont="1" applyFill="1" applyBorder="1" applyAlignment="1" applyProtection="1">
      <alignment horizontal="center" vertical="center"/>
    </xf>
    <xf numFmtId="7" fontId="13" fillId="2" borderId="24" xfId="12" applyNumberFormat="1" applyFont="1" applyFill="1" applyBorder="1" applyAlignment="1" applyProtection="1">
      <alignment horizontal="center" vertical="center"/>
    </xf>
    <xf numFmtId="0" fontId="9" fillId="0" borderId="0" xfId="0" applyFont="1" applyAlignment="1">
      <alignment horizontal="left" vertical="top" wrapText="1"/>
    </xf>
    <xf numFmtId="0" fontId="13" fillId="0" borderId="0" xfId="0" applyFont="1" applyAlignment="1">
      <alignment horizontal="left" vertical="top" wrapText="1"/>
    </xf>
    <xf numFmtId="0" fontId="9" fillId="0" borderId="0" xfId="0" applyFont="1" applyAlignment="1">
      <alignment horizontal="left" vertical="center" wrapText="1"/>
    </xf>
    <xf numFmtId="0" fontId="13" fillId="24" borderId="44" xfId="0" applyFont="1" applyFill="1" applyBorder="1" applyAlignment="1">
      <alignment horizontal="center" vertical="center" wrapText="1"/>
    </xf>
    <xf numFmtId="0" fontId="13" fillId="0" borderId="42"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45" xfId="0" applyFont="1" applyBorder="1" applyAlignment="1">
      <alignment horizontal="center" vertical="center" wrapText="1"/>
    </xf>
    <xf numFmtId="0" fontId="13" fillId="26" borderId="40" xfId="0" applyFont="1" applyFill="1" applyBorder="1" applyAlignment="1">
      <alignment horizontal="center" vertical="center" wrapText="1"/>
    </xf>
    <xf numFmtId="0" fontId="13" fillId="0" borderId="0" xfId="0" applyFont="1" applyAlignment="1">
      <alignment horizontal="center" vertical="center" wrapText="1"/>
    </xf>
  </cellXfs>
  <cellStyles count="13">
    <cellStyle name="Hiperlink" xfId="8" builtinId="8"/>
    <cellStyle name="Moeda" xfId="2" builtinId="4"/>
    <cellStyle name="Moeda 2" xfId="7" xr:uid="{00000000-0005-0000-0000-000002000000}"/>
    <cellStyle name="Moeda 2 2" xfId="12" xr:uid="{433816C5-45E8-4F5F-9BB5-F7EE99477D66}"/>
    <cellStyle name="Moeda 3" xfId="10" xr:uid="{3457CEFB-E268-45C6-A808-A237D1E01D8F}"/>
    <cellStyle name="Normal" xfId="0" builtinId="0"/>
    <cellStyle name="Normal 2" xfId="6" xr:uid="{00000000-0005-0000-0000-000004000000}"/>
    <cellStyle name="Normal 4" xfId="4" xr:uid="{00000000-0005-0000-0000-000005000000}"/>
    <cellStyle name="Normal 5" xfId="5" xr:uid="{00000000-0005-0000-0000-000006000000}"/>
    <cellStyle name="Porcentagem" xfId="3" builtinId="5"/>
    <cellStyle name="Vírgula" xfId="1" builtinId="3"/>
    <cellStyle name="Vírgula 2" xfId="9" xr:uid="{00000000-0005-0000-0000-000009000000}"/>
    <cellStyle name="Vírgula 3" xfId="11" xr:uid="{7E78693B-CE66-4617-AE0D-5FC521472B0A}"/>
  </cellStyles>
  <dxfs count="0"/>
  <tableStyles count="0" defaultTableStyle="TableStyleMedium2" defaultPivotStyle="PivotStyleLight16"/>
  <colors>
    <mruColors>
      <color rgb="FF66FF66"/>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rlos.ccs/Downloads/PLANILHA%20FINAL%20-%20CER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TA RESUMO"/>
      <sheetName val="INSUMOS"/>
      <sheetName val="44 HR  SEMANAIS - RB"/>
    </sheetNames>
    <sheetDataSet>
      <sheetData sheetId="0"/>
      <sheetData sheetId="1">
        <row r="21">
          <cell r="G21">
            <v>0</v>
          </cell>
        </row>
        <row r="30">
          <cell r="G30">
            <v>0</v>
          </cell>
        </row>
        <row r="45">
          <cell r="G45">
            <v>0</v>
          </cell>
        </row>
      </sheetData>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10.bin"/><Relationship Id="rId1" Type="http://schemas.openxmlformats.org/officeDocument/2006/relationships/hyperlink" Target="file:///C:\Users\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1.bin"/><Relationship Id="rId1" Type="http://schemas.openxmlformats.org/officeDocument/2006/relationships/hyperlink" Target="file:///C:\Users\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2.bin"/><Relationship Id="rId1" Type="http://schemas.openxmlformats.org/officeDocument/2006/relationships/hyperlink" Target="file:///C:\Users\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3.bin"/><Relationship Id="rId1" Type="http://schemas.openxmlformats.org/officeDocument/2006/relationships/hyperlink" Target="file:///C:\Users\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7.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8.bin"/><Relationship Id="rId1" Type="http://schemas.openxmlformats.org/officeDocument/2006/relationships/hyperlink" Target="file:///C:\Users\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9.bin"/><Relationship Id="rId1" Type="http://schemas.openxmlformats.org/officeDocument/2006/relationships/hyperlink" Target="file:///C:\Users\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235E5-1C5F-4B07-A35D-827B463057C1}">
  <sheetPr>
    <tabColor rgb="FF92D050"/>
  </sheetPr>
  <dimension ref="B1:K52"/>
  <sheetViews>
    <sheetView topLeftCell="A19" workbookViewId="0">
      <selection activeCell="J9" sqref="J9"/>
    </sheetView>
  </sheetViews>
  <sheetFormatPr defaultColWidth="9.140625" defaultRowHeight="12.75" x14ac:dyDescent="0.25"/>
  <cols>
    <col min="1" max="1" width="5" style="68" customWidth="1"/>
    <col min="2" max="2" width="18.28515625" style="68" customWidth="1"/>
    <col min="3" max="3" width="13.85546875" style="68" customWidth="1"/>
    <col min="4" max="4" width="12.7109375" style="68" customWidth="1"/>
    <col min="5" max="5" width="16.5703125" style="68" customWidth="1"/>
    <col min="6" max="6" width="12.7109375" style="68" customWidth="1"/>
    <col min="7" max="7" width="16.5703125" style="68" customWidth="1"/>
    <col min="8" max="8" width="12.7109375" style="68" customWidth="1"/>
    <col min="9" max="10" width="15" style="68" customWidth="1"/>
    <col min="11" max="11" width="20.28515625" style="68" customWidth="1"/>
    <col min="12" max="16384" width="9.140625" style="68"/>
  </cols>
  <sheetData>
    <row r="1" spans="2:9" x14ac:dyDescent="0.25">
      <c r="B1" s="67"/>
      <c r="C1" s="67"/>
      <c r="D1" s="67"/>
      <c r="E1" s="67"/>
      <c r="F1" s="67"/>
      <c r="G1" s="67"/>
    </row>
    <row r="2" spans="2:9" x14ac:dyDescent="0.25">
      <c r="B2" s="269"/>
      <c r="C2" s="269"/>
      <c r="D2" s="269"/>
      <c r="E2" s="269"/>
      <c r="F2" s="269"/>
      <c r="G2" s="269"/>
    </row>
    <row r="3" spans="2:9" x14ac:dyDescent="0.25">
      <c r="B3" s="270" t="s">
        <v>125</v>
      </c>
      <c r="C3" s="270"/>
      <c r="D3" s="270"/>
      <c r="E3" s="270"/>
      <c r="F3" s="270"/>
      <c r="G3" s="270"/>
    </row>
    <row r="4" spans="2:9" ht="33.75" customHeight="1" x14ac:dyDescent="0.25">
      <c r="B4" s="271" t="s">
        <v>126</v>
      </c>
      <c r="C4" s="271" t="s">
        <v>127</v>
      </c>
      <c r="D4" s="274" t="s">
        <v>128</v>
      </c>
      <c r="E4" s="271" t="s">
        <v>129</v>
      </c>
      <c r="F4" s="271" t="s">
        <v>130</v>
      </c>
      <c r="G4" s="271" t="s">
        <v>131</v>
      </c>
    </row>
    <row r="5" spans="2:9" ht="30" customHeight="1" x14ac:dyDescent="0.25">
      <c r="B5" s="272"/>
      <c r="C5" s="272"/>
      <c r="D5" s="274"/>
      <c r="E5" s="273"/>
      <c r="F5" s="273"/>
      <c r="G5" s="272"/>
    </row>
    <row r="6" spans="2:9" ht="30" customHeight="1" x14ac:dyDescent="0.25">
      <c r="B6" s="273"/>
      <c r="C6" s="273"/>
      <c r="D6" s="69" t="s">
        <v>132</v>
      </c>
      <c r="E6" s="69" t="s">
        <v>133</v>
      </c>
      <c r="F6" s="69" t="s">
        <v>133</v>
      </c>
      <c r="G6" s="273"/>
    </row>
    <row r="7" spans="2:9" ht="29.25" customHeight="1" x14ac:dyDescent="0.25">
      <c r="B7" s="70" t="s">
        <v>134</v>
      </c>
      <c r="C7" s="70"/>
      <c r="D7" s="70" t="s">
        <v>2</v>
      </c>
      <c r="E7" s="275"/>
      <c r="F7" s="275"/>
      <c r="G7" s="70"/>
    </row>
    <row r="8" spans="2:9" ht="35.1" customHeight="1" x14ac:dyDescent="0.25">
      <c r="B8" s="71" t="s">
        <v>135</v>
      </c>
      <c r="C8" s="71" t="s">
        <v>136</v>
      </c>
      <c r="D8" s="72">
        <v>5676.89</v>
      </c>
      <c r="E8" s="13">
        <v>800</v>
      </c>
      <c r="F8" s="13">
        <v>1200</v>
      </c>
      <c r="G8" s="13" t="s">
        <v>137</v>
      </c>
    </row>
    <row r="9" spans="2:9" ht="35.1" customHeight="1" x14ac:dyDescent="0.25">
      <c r="B9" s="71" t="s">
        <v>138</v>
      </c>
      <c r="C9" s="71" t="s">
        <v>136</v>
      </c>
      <c r="D9" s="72">
        <v>3567.24</v>
      </c>
      <c r="E9" s="13">
        <v>1800</v>
      </c>
      <c r="F9" s="13">
        <v>2700</v>
      </c>
      <c r="G9" s="13" t="s">
        <v>137</v>
      </c>
    </row>
    <row r="10" spans="2:9" ht="39.75" customHeight="1" x14ac:dyDescent="0.25">
      <c r="B10" s="71" t="s">
        <v>139</v>
      </c>
      <c r="C10" s="71" t="s">
        <v>140</v>
      </c>
      <c r="D10" s="72">
        <v>4536.16</v>
      </c>
      <c r="E10" s="13">
        <v>300</v>
      </c>
      <c r="F10" s="13">
        <v>380</v>
      </c>
      <c r="G10" s="13" t="s">
        <v>141</v>
      </c>
    </row>
    <row r="11" spans="2:9" ht="35.1" customHeight="1" x14ac:dyDescent="0.25">
      <c r="B11" s="71" t="s">
        <v>142</v>
      </c>
      <c r="C11" s="71" t="s">
        <v>140</v>
      </c>
      <c r="D11" s="72">
        <v>6471.6</v>
      </c>
      <c r="E11" s="73">
        <v>130</v>
      </c>
      <c r="F11" s="73">
        <v>160</v>
      </c>
      <c r="G11" s="13" t="s">
        <v>143</v>
      </c>
    </row>
    <row r="12" spans="2:9" ht="39.75" customHeight="1" x14ac:dyDescent="0.25">
      <c r="B12" s="71" t="s">
        <v>144</v>
      </c>
      <c r="C12" s="71" t="s">
        <v>145</v>
      </c>
      <c r="D12" s="72" t="s">
        <v>146</v>
      </c>
      <c r="E12" s="71"/>
      <c r="F12" s="71"/>
      <c r="G12" s="74"/>
    </row>
    <row r="13" spans="2:9" ht="18" customHeight="1" x14ac:dyDescent="0.25">
      <c r="B13" s="75"/>
      <c r="C13" s="76" t="s">
        <v>21</v>
      </c>
      <c r="D13" s="77">
        <f>SUM(D8:D12)</f>
        <v>20251.89</v>
      </c>
      <c r="E13" s="78"/>
      <c r="F13" s="78"/>
      <c r="G13" s="79"/>
    </row>
    <row r="14" spans="2:9" ht="68.25" customHeight="1" x14ac:dyDescent="0.25">
      <c r="B14" s="70" t="s">
        <v>147</v>
      </c>
      <c r="C14" s="70"/>
      <c r="D14" s="70" t="s">
        <v>2</v>
      </c>
      <c r="E14" s="275"/>
      <c r="F14" s="275"/>
      <c r="G14" s="80"/>
    </row>
    <row r="15" spans="2:9" ht="30" customHeight="1" x14ac:dyDescent="0.25">
      <c r="B15" s="71" t="s">
        <v>135</v>
      </c>
      <c r="C15" s="71" t="s">
        <v>136</v>
      </c>
      <c r="D15" s="81">
        <v>797.1</v>
      </c>
      <c r="E15" s="13">
        <v>800</v>
      </c>
      <c r="F15" s="13">
        <v>1200</v>
      </c>
      <c r="G15" s="13" t="s">
        <v>137</v>
      </c>
      <c r="I15" s="82"/>
    </row>
    <row r="16" spans="2:9" ht="30" customHeight="1" x14ac:dyDescent="0.25">
      <c r="B16" s="83" t="s">
        <v>148</v>
      </c>
      <c r="C16" s="71" t="s">
        <v>136</v>
      </c>
      <c r="D16" s="84">
        <v>5453</v>
      </c>
      <c r="E16" s="73">
        <v>1800</v>
      </c>
      <c r="F16" s="73">
        <v>2700</v>
      </c>
      <c r="G16" s="13" t="s">
        <v>137</v>
      </c>
      <c r="I16" s="82"/>
    </row>
    <row r="17" spans="2:11" ht="30" customHeight="1" x14ac:dyDescent="0.25">
      <c r="B17" s="71" t="s">
        <v>149</v>
      </c>
      <c r="C17" s="71" t="s">
        <v>136</v>
      </c>
      <c r="D17" s="84">
        <v>200.56</v>
      </c>
      <c r="E17" s="73">
        <v>300</v>
      </c>
      <c r="F17" s="73">
        <v>380</v>
      </c>
      <c r="G17" s="13" t="s">
        <v>141</v>
      </c>
      <c r="I17" s="82"/>
    </row>
    <row r="18" spans="2:11" ht="17.45" customHeight="1" x14ac:dyDescent="0.25">
      <c r="B18" s="71"/>
      <c r="C18" s="76" t="s">
        <v>21</v>
      </c>
      <c r="D18" s="77">
        <f>SUM(D15:D17)</f>
        <v>6450.66</v>
      </c>
      <c r="E18" s="71"/>
      <c r="F18" s="71"/>
      <c r="G18" s="74"/>
      <c r="I18" s="82"/>
    </row>
    <row r="19" spans="2:11" ht="64.5" customHeight="1" x14ac:dyDescent="0.25">
      <c r="B19" s="70" t="s">
        <v>150</v>
      </c>
      <c r="C19" s="70"/>
      <c r="D19" s="70" t="s">
        <v>2</v>
      </c>
      <c r="E19" s="275" t="s">
        <v>151</v>
      </c>
      <c r="F19" s="275"/>
      <c r="G19" s="80"/>
      <c r="I19" s="82"/>
    </row>
    <row r="20" spans="2:11" ht="30" customHeight="1" x14ac:dyDescent="0.25">
      <c r="B20" s="71" t="s">
        <v>135</v>
      </c>
      <c r="C20" s="71" t="s">
        <v>136</v>
      </c>
      <c r="D20" s="84">
        <v>550</v>
      </c>
      <c r="E20" s="13">
        <v>800</v>
      </c>
      <c r="F20" s="13">
        <v>1200</v>
      </c>
      <c r="G20" s="13" t="s">
        <v>137</v>
      </c>
    </row>
    <row r="21" spans="2:11" ht="30" customHeight="1" x14ac:dyDescent="0.25">
      <c r="B21" s="83" t="s">
        <v>148</v>
      </c>
      <c r="C21" s="71" t="s">
        <v>136</v>
      </c>
      <c r="D21" s="84">
        <v>1250</v>
      </c>
      <c r="E21" s="73">
        <v>1800</v>
      </c>
      <c r="F21" s="73">
        <v>2700</v>
      </c>
      <c r="G21" s="13" t="s">
        <v>137</v>
      </c>
    </row>
    <row r="22" spans="2:11" ht="30" customHeight="1" x14ac:dyDescent="0.25">
      <c r="B22" s="71" t="s">
        <v>149</v>
      </c>
      <c r="C22" s="71" t="s">
        <v>136</v>
      </c>
      <c r="D22" s="84">
        <v>156.78</v>
      </c>
      <c r="E22" s="73">
        <v>300</v>
      </c>
      <c r="F22" s="73">
        <v>380</v>
      </c>
      <c r="G22" s="13" t="s">
        <v>141</v>
      </c>
    </row>
    <row r="23" spans="2:11" ht="15.95" customHeight="1" x14ac:dyDescent="0.25">
      <c r="B23" s="71"/>
      <c r="C23" s="76" t="s">
        <v>21</v>
      </c>
      <c r="D23" s="85">
        <f>SUM(D20:D22)</f>
        <v>1956.78</v>
      </c>
      <c r="E23" s="78"/>
      <c r="F23" s="78"/>
      <c r="G23" s="78"/>
    </row>
    <row r="24" spans="2:11" ht="54.75" customHeight="1" x14ac:dyDescent="0.25">
      <c r="B24" s="70" t="s">
        <v>152</v>
      </c>
      <c r="C24" s="70"/>
      <c r="D24" s="70" t="s">
        <v>2</v>
      </c>
      <c r="E24" s="275" t="s">
        <v>151</v>
      </c>
      <c r="F24" s="275"/>
      <c r="G24" s="80"/>
    </row>
    <row r="25" spans="2:11" ht="30" customHeight="1" x14ac:dyDescent="0.25">
      <c r="B25" s="13" t="s">
        <v>135</v>
      </c>
      <c r="C25" s="13" t="s">
        <v>136</v>
      </c>
      <c r="D25" s="84">
        <v>340.7</v>
      </c>
      <c r="E25" s="13">
        <v>800</v>
      </c>
      <c r="F25" s="13">
        <v>1200</v>
      </c>
      <c r="G25" s="13" t="s">
        <v>137</v>
      </c>
    </row>
    <row r="26" spans="2:11" ht="30" customHeight="1" x14ac:dyDescent="0.25">
      <c r="B26" s="86" t="s">
        <v>148</v>
      </c>
      <c r="C26" s="13" t="s">
        <v>136</v>
      </c>
      <c r="D26" s="84">
        <v>354.12</v>
      </c>
      <c r="E26" s="73">
        <v>1800</v>
      </c>
      <c r="F26" s="73">
        <v>2700</v>
      </c>
      <c r="G26" s="13" t="s">
        <v>137</v>
      </c>
    </row>
    <row r="27" spans="2:11" ht="30" customHeight="1" x14ac:dyDescent="0.25">
      <c r="B27" s="13" t="s">
        <v>149</v>
      </c>
      <c r="C27" s="13" t="s">
        <v>136</v>
      </c>
      <c r="D27" s="84">
        <v>79.5</v>
      </c>
      <c r="E27" s="73">
        <v>300</v>
      </c>
      <c r="F27" s="73">
        <v>380</v>
      </c>
      <c r="G27" s="13" t="s">
        <v>141</v>
      </c>
    </row>
    <row r="28" spans="2:11" x14ac:dyDescent="0.25">
      <c r="B28" s="67"/>
      <c r="C28" s="76" t="s">
        <v>21</v>
      </c>
      <c r="D28" s="85">
        <f>SUM(D25:D27)</f>
        <v>774.32</v>
      </c>
    </row>
    <row r="29" spans="2:11" x14ac:dyDescent="0.25">
      <c r="B29" s="67"/>
      <c r="C29" s="67"/>
      <c r="D29" s="87"/>
    </row>
    <row r="30" spans="2:11" x14ac:dyDescent="0.25">
      <c r="B30" s="67"/>
      <c r="C30" s="67"/>
      <c r="D30" s="87"/>
    </row>
    <row r="31" spans="2:11" ht="15" customHeight="1" x14ac:dyDescent="0.25">
      <c r="B31" s="88"/>
      <c r="C31" s="88"/>
      <c r="D31" s="88" t="s">
        <v>2</v>
      </c>
      <c r="E31" s="88" t="s">
        <v>4</v>
      </c>
      <c r="F31" s="88" t="s">
        <v>6</v>
      </c>
      <c r="G31" s="88" t="s">
        <v>8</v>
      </c>
      <c r="H31" s="88" t="s">
        <v>31</v>
      </c>
      <c r="I31" s="88" t="s">
        <v>33</v>
      </c>
      <c r="J31" s="88" t="s">
        <v>34</v>
      </c>
      <c r="K31" s="88" t="s">
        <v>52</v>
      </c>
    </row>
    <row r="32" spans="2:11" ht="24.95" customHeight="1" x14ac:dyDescent="0.25">
      <c r="B32" s="276" t="s">
        <v>126</v>
      </c>
      <c r="C32" s="276" t="s">
        <v>127</v>
      </c>
      <c r="D32" s="276" t="s">
        <v>153</v>
      </c>
      <c r="E32" s="274" t="s">
        <v>154</v>
      </c>
      <c r="F32" s="276" t="s">
        <v>155</v>
      </c>
      <c r="G32" s="276" t="s">
        <v>129</v>
      </c>
      <c r="H32" s="276" t="s">
        <v>130</v>
      </c>
      <c r="I32" s="276" t="s">
        <v>131</v>
      </c>
      <c r="J32" s="276" t="s">
        <v>156</v>
      </c>
      <c r="K32" s="271" t="s">
        <v>157</v>
      </c>
    </row>
    <row r="33" spans="2:11" ht="24.95" customHeight="1" x14ac:dyDescent="0.25">
      <c r="B33" s="277"/>
      <c r="C33" s="277"/>
      <c r="D33" s="278"/>
      <c r="E33" s="274"/>
      <c r="F33" s="278"/>
      <c r="G33" s="278"/>
      <c r="H33" s="278"/>
      <c r="I33" s="277"/>
      <c r="J33" s="277"/>
      <c r="K33" s="272"/>
    </row>
    <row r="34" spans="2:11" ht="24.95" customHeight="1" x14ac:dyDescent="0.25">
      <c r="B34" s="278"/>
      <c r="C34" s="278"/>
      <c r="D34" s="89" t="s">
        <v>132</v>
      </c>
      <c r="E34" s="274"/>
      <c r="F34" s="89" t="s">
        <v>133</v>
      </c>
      <c r="G34" s="89" t="s">
        <v>133</v>
      </c>
      <c r="H34" s="89" t="s">
        <v>133</v>
      </c>
      <c r="I34" s="278"/>
      <c r="J34" s="278"/>
      <c r="K34" s="273"/>
    </row>
    <row r="35" spans="2:11" ht="33.75" customHeight="1" x14ac:dyDescent="0.25">
      <c r="B35" s="70"/>
      <c r="C35" s="70"/>
      <c r="D35" s="70" t="s">
        <v>2</v>
      </c>
      <c r="E35" s="70" t="s">
        <v>4</v>
      </c>
      <c r="F35" s="70" t="s">
        <v>158</v>
      </c>
      <c r="G35" s="275" t="s">
        <v>151</v>
      </c>
      <c r="H35" s="275"/>
      <c r="I35" s="70"/>
      <c r="J35" s="70" t="s">
        <v>4</v>
      </c>
      <c r="K35" s="70"/>
    </row>
    <row r="36" spans="2:11" ht="30" customHeight="1" x14ac:dyDescent="0.25">
      <c r="B36" s="71" t="s">
        <v>135</v>
      </c>
      <c r="C36" s="71" t="s">
        <v>159</v>
      </c>
      <c r="D36" s="72">
        <f>SUM(D8,D15,D20,D25)</f>
        <v>7364.69</v>
      </c>
      <c r="E36" s="90">
        <v>9</v>
      </c>
      <c r="F36" s="91">
        <f>IF(D36=0,0,IF(E36=0,0,D36/E36))</f>
        <v>818.3</v>
      </c>
      <c r="G36" s="13">
        <v>800</v>
      </c>
      <c r="H36" s="13">
        <v>1200</v>
      </c>
      <c r="I36" s="13" t="s">
        <v>137</v>
      </c>
      <c r="J36" s="279">
        <f>E36+E37</f>
        <v>14.3</v>
      </c>
      <c r="K36" s="281">
        <f>J36+J38+J39</f>
        <v>20</v>
      </c>
    </row>
    <row r="37" spans="2:11" ht="30" customHeight="1" x14ac:dyDescent="0.25">
      <c r="B37" s="71" t="s">
        <v>138</v>
      </c>
      <c r="C37" s="71" t="s">
        <v>159</v>
      </c>
      <c r="D37" s="72">
        <f t="shared" ref="D37:D38" si="0">SUM(D9,D16,D21,D26)</f>
        <v>10624.36</v>
      </c>
      <c r="E37" s="90">
        <v>5.3</v>
      </c>
      <c r="F37" s="91">
        <f>IF(D37=0,0,IF(E37=0,0,D37/E37))</f>
        <v>2004.6</v>
      </c>
      <c r="G37" s="13">
        <v>1800</v>
      </c>
      <c r="H37" s="13">
        <v>2700</v>
      </c>
      <c r="I37" s="13" t="s">
        <v>137</v>
      </c>
      <c r="J37" s="280"/>
      <c r="K37" s="277"/>
    </row>
    <row r="38" spans="2:11" ht="40.5" customHeight="1" x14ac:dyDescent="0.25">
      <c r="B38" s="71" t="s">
        <v>139</v>
      </c>
      <c r="C38" s="71" t="s">
        <v>140</v>
      </c>
      <c r="D38" s="72">
        <f t="shared" si="0"/>
        <v>4973</v>
      </c>
      <c r="E38" s="90">
        <v>1.4</v>
      </c>
      <c r="F38" s="91">
        <f>IF(D38=0,0,IF(E38=0,0,((D38*2)/23)/E38))</f>
        <v>308.88</v>
      </c>
      <c r="G38" s="13">
        <v>300</v>
      </c>
      <c r="H38" s="13">
        <v>380</v>
      </c>
      <c r="I38" s="13" t="s">
        <v>141</v>
      </c>
      <c r="J38" s="92">
        <f>E38</f>
        <v>1.4</v>
      </c>
      <c r="K38" s="277"/>
    </row>
    <row r="39" spans="2:11" ht="33.75" customHeight="1" x14ac:dyDescent="0.25">
      <c r="B39" s="71" t="s">
        <v>142</v>
      </c>
      <c r="C39" s="71" t="s">
        <v>140</v>
      </c>
      <c r="D39" s="72">
        <f>D11</f>
        <v>6471.6</v>
      </c>
      <c r="E39" s="90">
        <v>4.3</v>
      </c>
      <c r="F39" s="91">
        <f>IF(D39=0,0,IF(E39=0,0,((D39*2)/23)/E39))</f>
        <v>130.87</v>
      </c>
      <c r="G39" s="73">
        <v>130</v>
      </c>
      <c r="H39" s="73">
        <v>160</v>
      </c>
      <c r="I39" s="13" t="s">
        <v>143</v>
      </c>
      <c r="J39" s="93">
        <f>E39</f>
        <v>4.3</v>
      </c>
      <c r="K39" s="278"/>
    </row>
    <row r="40" spans="2:11" ht="38.25" customHeight="1" x14ac:dyDescent="0.25">
      <c r="B40" s="71" t="s">
        <v>144</v>
      </c>
      <c r="C40" s="71" t="s">
        <v>145</v>
      </c>
      <c r="D40" s="72" t="s">
        <v>160</v>
      </c>
      <c r="E40" s="94">
        <v>1</v>
      </c>
      <c r="F40" s="95">
        <f>(F36*E36)+(F37*E37)+(F38*E38)+(F39*E39)</f>
        <v>18984.25</v>
      </c>
      <c r="G40" s="71"/>
      <c r="H40" s="71"/>
      <c r="I40" s="74"/>
      <c r="J40" s="96">
        <v>1</v>
      </c>
      <c r="K40" s="97">
        <v>1</v>
      </c>
    </row>
    <row r="41" spans="2:11" ht="30" customHeight="1" x14ac:dyDescent="0.25">
      <c r="B41" s="75"/>
      <c r="C41" s="98" t="s">
        <v>21</v>
      </c>
      <c r="D41" s="99">
        <f>SUM(D36:D40)</f>
        <v>29433.65</v>
      </c>
      <c r="E41" s="100"/>
      <c r="F41" s="101"/>
      <c r="G41" s="78"/>
      <c r="H41" s="78"/>
      <c r="I41" s="79"/>
      <c r="J41" s="100"/>
      <c r="K41" s="102"/>
    </row>
    <row r="45" spans="2:11" ht="9.9499999999999993" customHeight="1" x14ac:dyDescent="0.25">
      <c r="B45" s="282" t="s">
        <v>161</v>
      </c>
      <c r="C45" s="282"/>
      <c r="D45" s="282"/>
      <c r="E45" s="282"/>
      <c r="F45" s="282"/>
      <c r="G45" s="282"/>
      <c r="H45" s="282"/>
      <c r="I45" s="282"/>
      <c r="J45" s="282"/>
      <c r="K45" s="282"/>
    </row>
    <row r="46" spans="2:11" ht="9.9499999999999993" customHeight="1" x14ac:dyDescent="0.25">
      <c r="B46" s="282"/>
      <c r="C46" s="282"/>
      <c r="D46" s="282"/>
      <c r="E46" s="282"/>
      <c r="F46" s="282"/>
      <c r="G46" s="282"/>
      <c r="H46" s="282"/>
      <c r="I46" s="282"/>
      <c r="J46" s="282"/>
      <c r="K46" s="282"/>
    </row>
    <row r="47" spans="2:11" ht="9.9499999999999993" customHeight="1" x14ac:dyDescent="0.25">
      <c r="B47" s="282"/>
      <c r="C47" s="282"/>
      <c r="D47" s="282"/>
      <c r="E47" s="282"/>
      <c r="F47" s="282"/>
      <c r="G47" s="282"/>
      <c r="H47" s="282"/>
      <c r="I47" s="282"/>
      <c r="J47" s="282"/>
      <c r="K47" s="282"/>
    </row>
    <row r="48" spans="2:11" ht="9.9499999999999993" customHeight="1" x14ac:dyDescent="0.25">
      <c r="B48" s="282"/>
      <c r="C48" s="282"/>
      <c r="D48" s="282"/>
      <c r="E48" s="282"/>
      <c r="F48" s="282"/>
      <c r="G48" s="282"/>
      <c r="H48" s="282"/>
      <c r="I48" s="282"/>
      <c r="J48" s="282"/>
      <c r="K48" s="282"/>
    </row>
    <row r="49" spans="2:11" ht="9.9499999999999993" customHeight="1" x14ac:dyDescent="0.25">
      <c r="B49" s="282"/>
      <c r="C49" s="282"/>
      <c r="D49" s="282"/>
      <c r="E49" s="282"/>
      <c r="F49" s="282"/>
      <c r="G49" s="282"/>
      <c r="H49" s="282"/>
      <c r="I49" s="282"/>
      <c r="J49" s="282"/>
      <c r="K49" s="282"/>
    </row>
    <row r="50" spans="2:11" ht="9.9499999999999993" customHeight="1" x14ac:dyDescent="0.25">
      <c r="B50" s="282"/>
      <c r="C50" s="282"/>
      <c r="D50" s="282"/>
      <c r="E50" s="282"/>
      <c r="F50" s="282"/>
      <c r="G50" s="282"/>
      <c r="H50" s="282"/>
      <c r="I50" s="282"/>
      <c r="J50" s="282"/>
      <c r="K50" s="282"/>
    </row>
    <row r="51" spans="2:11" ht="9.9499999999999993" customHeight="1" x14ac:dyDescent="0.25">
      <c r="B51" s="282"/>
      <c r="C51" s="282"/>
      <c r="D51" s="282"/>
      <c r="E51" s="282"/>
      <c r="F51" s="282"/>
      <c r="G51" s="282"/>
      <c r="H51" s="282"/>
      <c r="I51" s="282"/>
      <c r="J51" s="282"/>
      <c r="K51" s="282"/>
    </row>
    <row r="52" spans="2:11" ht="30" customHeight="1" x14ac:dyDescent="0.25">
      <c r="B52" s="282"/>
      <c r="C52" s="282"/>
      <c r="D52" s="282"/>
      <c r="E52" s="282"/>
      <c r="F52" s="282"/>
      <c r="G52" s="282"/>
      <c r="H52" s="282"/>
      <c r="I52" s="282"/>
      <c r="J52" s="282"/>
      <c r="K52" s="282"/>
    </row>
  </sheetData>
  <mergeCells count="26">
    <mergeCell ref="J36:J37"/>
    <mergeCell ref="K36:K39"/>
    <mergeCell ref="B45:K52"/>
    <mergeCell ref="G32:G33"/>
    <mergeCell ref="H32:H33"/>
    <mergeCell ref="I32:I34"/>
    <mergeCell ref="J32:J34"/>
    <mergeCell ref="K32:K34"/>
    <mergeCell ref="G35:H35"/>
    <mergeCell ref="E7:F7"/>
    <mergeCell ref="E14:F14"/>
    <mergeCell ref="E19:F19"/>
    <mergeCell ref="E24:F24"/>
    <mergeCell ref="B32:B34"/>
    <mergeCell ref="C32:C34"/>
    <mergeCell ref="D32:D33"/>
    <mergeCell ref="E32:E34"/>
    <mergeCell ref="F32:F33"/>
    <mergeCell ref="B2:G2"/>
    <mergeCell ref="B3:G3"/>
    <mergeCell ref="B4:B6"/>
    <mergeCell ref="C4:C6"/>
    <mergeCell ref="D4:D5"/>
    <mergeCell ref="E4:E5"/>
    <mergeCell ref="F4:F5"/>
    <mergeCell ref="G4:G6"/>
  </mergeCells>
  <pageMargins left="0.51181102362204722" right="0.51181102362204722" top="0.78740157480314965" bottom="0.78740157480314965"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87170-EBF2-4B1B-BFB3-50C688B92748}">
  <sheetPr>
    <pageSetUpPr fitToPage="1"/>
  </sheetPr>
  <dimension ref="A1:I139"/>
  <sheetViews>
    <sheetView topLeftCell="A88" zoomScale="115" zoomScaleNormal="115" workbookViewId="0">
      <selection activeCell="B105" sqref="B105:D105"/>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39" t="s">
        <v>0</v>
      </c>
      <c r="B1" s="440"/>
      <c r="C1" s="440"/>
      <c r="D1" s="440"/>
      <c r="E1" s="441"/>
    </row>
    <row r="2" spans="1:7" ht="13.5" customHeight="1" thickBot="1" x14ac:dyDescent="0.3">
      <c r="A2" s="442"/>
      <c r="B2" s="443"/>
      <c r="C2" s="443"/>
      <c r="D2" s="443"/>
      <c r="E2" s="444"/>
    </row>
    <row r="3" spans="1:7" ht="15" customHeight="1" x14ac:dyDescent="0.25">
      <c r="A3" s="445" t="s">
        <v>112</v>
      </c>
      <c r="B3" s="446"/>
      <c r="C3" s="447"/>
      <c r="D3" s="448" t="s">
        <v>310</v>
      </c>
      <c r="E3" s="449"/>
    </row>
    <row r="4" spans="1:7" ht="15" customHeight="1" x14ac:dyDescent="0.25">
      <c r="A4" s="445" t="s">
        <v>113</v>
      </c>
      <c r="B4" s="446"/>
      <c r="C4" s="447"/>
      <c r="D4" s="450" t="s">
        <v>397</v>
      </c>
      <c r="E4" s="451"/>
    </row>
    <row r="5" spans="1:7" x14ac:dyDescent="0.25">
      <c r="A5" s="241"/>
      <c r="B5" s="452" t="s">
        <v>311</v>
      </c>
      <c r="C5" s="452"/>
      <c r="D5" s="452"/>
      <c r="E5" s="453"/>
    </row>
    <row r="6" spans="1:7" x14ac:dyDescent="0.25">
      <c r="A6" s="454" t="s">
        <v>1</v>
      </c>
      <c r="B6" s="455"/>
      <c r="C6" s="455"/>
      <c r="D6" s="455"/>
      <c r="E6" s="456"/>
    </row>
    <row r="7" spans="1:7" ht="31.5" customHeight="1" x14ac:dyDescent="0.25">
      <c r="A7" s="4" t="s">
        <v>2</v>
      </c>
      <c r="B7" s="5" t="s">
        <v>3</v>
      </c>
      <c r="C7" s="463" t="s">
        <v>312</v>
      </c>
      <c r="D7" s="464"/>
      <c r="E7" s="465"/>
    </row>
    <row r="8" spans="1:7" ht="16.149999999999999" customHeight="1" x14ac:dyDescent="0.25">
      <c r="A8" s="4" t="s">
        <v>4</v>
      </c>
      <c r="B8" s="5" t="s">
        <v>5</v>
      </c>
      <c r="C8" s="466" t="s">
        <v>314</v>
      </c>
      <c r="D8" s="467"/>
      <c r="E8" s="468"/>
    </row>
    <row r="9" spans="1:7" ht="22.5" customHeight="1" x14ac:dyDescent="0.25">
      <c r="A9" s="4" t="s">
        <v>6</v>
      </c>
      <c r="B9" s="5" t="s">
        <v>7</v>
      </c>
      <c r="C9" s="466" t="s">
        <v>313</v>
      </c>
      <c r="D9" s="467"/>
      <c r="E9" s="468"/>
    </row>
    <row r="10" spans="1:7" ht="32.25" customHeight="1" x14ac:dyDescent="0.25">
      <c r="A10" s="4" t="s">
        <v>8</v>
      </c>
      <c r="B10" s="5" t="s">
        <v>9</v>
      </c>
      <c r="C10" s="466" t="s">
        <v>10</v>
      </c>
      <c r="D10" s="467"/>
      <c r="E10" s="468"/>
    </row>
    <row r="11" spans="1:7" x14ac:dyDescent="0.25">
      <c r="A11" s="454" t="s">
        <v>11</v>
      </c>
      <c r="B11" s="455"/>
      <c r="C11" s="455"/>
      <c r="D11" s="455"/>
      <c r="E11" s="456"/>
    </row>
    <row r="12" spans="1:7" ht="33.75" customHeight="1" x14ac:dyDescent="0.25">
      <c r="A12" s="469" t="s">
        <v>12</v>
      </c>
      <c r="B12" s="470"/>
      <c r="C12" s="7" t="s">
        <v>13</v>
      </c>
      <c r="D12" s="471" t="s">
        <v>332</v>
      </c>
      <c r="E12" s="472"/>
    </row>
    <row r="13" spans="1:7" ht="24.75" customHeight="1" x14ac:dyDescent="0.25">
      <c r="A13" s="473" t="s">
        <v>343</v>
      </c>
      <c r="B13" s="474"/>
      <c r="C13" s="8" t="s">
        <v>315</v>
      </c>
      <c r="D13" s="417">
        <v>2</v>
      </c>
      <c r="E13" s="419"/>
    </row>
    <row r="14" spans="1:7" ht="23.25" customHeight="1" x14ac:dyDescent="0.25">
      <c r="A14" s="457" t="s">
        <v>15</v>
      </c>
      <c r="B14" s="458"/>
      <c r="C14" s="458"/>
      <c r="D14" s="458"/>
      <c r="E14" s="459"/>
    </row>
    <row r="15" spans="1:7" x14ac:dyDescent="0.25">
      <c r="A15" s="460" t="s">
        <v>16</v>
      </c>
      <c r="B15" s="461"/>
      <c r="C15" s="461"/>
      <c r="D15" s="461"/>
      <c r="E15" s="462"/>
    </row>
    <row r="16" spans="1:7" ht="27.75" customHeight="1" x14ac:dyDescent="0.25">
      <c r="A16" s="409" t="s">
        <v>17</v>
      </c>
      <c r="B16" s="410"/>
      <c r="C16" s="410"/>
      <c r="D16" s="411"/>
      <c r="E16" s="56" t="s">
        <v>18</v>
      </c>
      <c r="G16" s="9"/>
    </row>
    <row r="17" spans="1:8" ht="31.5" customHeight="1" x14ac:dyDescent="0.25">
      <c r="A17" s="4">
        <v>1</v>
      </c>
      <c r="B17" s="10" t="s">
        <v>103</v>
      </c>
      <c r="C17" s="417" t="s">
        <v>344</v>
      </c>
      <c r="D17" s="418"/>
      <c r="E17" s="419"/>
    </row>
    <row r="18" spans="1:8" ht="31.5" customHeight="1" x14ac:dyDescent="0.25">
      <c r="A18" s="4">
        <v>2</v>
      </c>
      <c r="B18" s="10" t="s">
        <v>19</v>
      </c>
      <c r="C18" s="417" t="s">
        <v>345</v>
      </c>
      <c r="D18" s="418"/>
      <c r="E18" s="419"/>
    </row>
    <row r="19" spans="1:8" ht="31.5" customHeight="1" x14ac:dyDescent="0.25">
      <c r="A19" s="4">
        <v>3</v>
      </c>
      <c r="B19" s="10" t="s">
        <v>20</v>
      </c>
      <c r="C19" s="420">
        <v>1108</v>
      </c>
      <c r="D19" s="421"/>
      <c r="E19" s="422"/>
    </row>
    <row r="20" spans="1:8" ht="48" customHeight="1" x14ac:dyDescent="0.25">
      <c r="A20" s="4">
        <v>4</v>
      </c>
      <c r="B20" s="10" t="s">
        <v>22</v>
      </c>
      <c r="C20" s="417" t="s">
        <v>318</v>
      </c>
      <c r="D20" s="418"/>
      <c r="E20" s="419"/>
    </row>
    <row r="21" spans="1:8" ht="28.5" customHeight="1" x14ac:dyDescent="0.25">
      <c r="A21" s="4">
        <v>5</v>
      </c>
      <c r="B21" s="11" t="s">
        <v>23</v>
      </c>
      <c r="C21" s="423" t="s">
        <v>123</v>
      </c>
      <c r="D21" s="424"/>
      <c r="E21" s="425"/>
    </row>
    <row r="22" spans="1:8" s="6" customFormat="1" ht="27" customHeight="1" x14ac:dyDescent="0.25">
      <c r="A22" s="428" t="s">
        <v>24</v>
      </c>
      <c r="B22" s="429"/>
      <c r="C22" s="429"/>
      <c r="D22" s="429"/>
      <c r="E22" s="430"/>
    </row>
    <row r="23" spans="1:8" s="6" customFormat="1" ht="22.5" customHeight="1" x14ac:dyDescent="0.25">
      <c r="A23" s="57">
        <v>1</v>
      </c>
      <c r="B23" s="409" t="s">
        <v>25</v>
      </c>
      <c r="C23" s="410"/>
      <c r="D23" s="411"/>
      <c r="E23" s="56" t="s">
        <v>18</v>
      </c>
    </row>
    <row r="24" spans="1:8" ht="26.25" customHeight="1" x14ac:dyDescent="0.25">
      <c r="A24" s="12" t="s">
        <v>2</v>
      </c>
      <c r="B24" s="58" t="s">
        <v>27</v>
      </c>
      <c r="C24" s="379"/>
      <c r="D24" s="380"/>
      <c r="E24" s="172">
        <v>1108</v>
      </c>
    </row>
    <row r="25" spans="1:8" ht="26.25" customHeight="1" x14ac:dyDescent="0.25">
      <c r="A25" s="13" t="s">
        <v>4</v>
      </c>
      <c r="B25" s="59" t="s">
        <v>28</v>
      </c>
      <c r="C25" s="381" t="s">
        <v>114</v>
      </c>
      <c r="D25" s="382"/>
      <c r="E25" s="173">
        <f>TRUNC((+E24*30%),2)</f>
        <v>332.4</v>
      </c>
    </row>
    <row r="26" spans="1:8" x14ac:dyDescent="0.25">
      <c r="A26" s="13" t="s">
        <v>6</v>
      </c>
      <c r="B26" s="59" t="s">
        <v>29</v>
      </c>
      <c r="C26" s="383"/>
      <c r="D26" s="384"/>
      <c r="E26" s="173"/>
    </row>
    <row r="27" spans="1:8" x14ac:dyDescent="0.25">
      <c r="A27" s="13" t="s">
        <v>8</v>
      </c>
      <c r="B27" s="59" t="s">
        <v>30</v>
      </c>
      <c r="C27" s="383"/>
      <c r="D27" s="384"/>
      <c r="E27" s="173"/>
      <c r="H27" s="14"/>
    </row>
    <row r="28" spans="1:8" x14ac:dyDescent="0.2">
      <c r="A28" s="13" t="s">
        <v>31</v>
      </c>
      <c r="B28" s="59" t="s">
        <v>32</v>
      </c>
      <c r="C28" s="385"/>
      <c r="D28" s="384"/>
      <c r="E28" s="173"/>
      <c r="F28" s="60"/>
    </row>
    <row r="29" spans="1:8" x14ac:dyDescent="0.25">
      <c r="A29" s="398" t="s">
        <v>35</v>
      </c>
      <c r="B29" s="399"/>
      <c r="C29" s="399"/>
      <c r="D29" s="400"/>
      <c r="E29" s="171">
        <f>SUM(E24:E28)</f>
        <v>1440.4</v>
      </c>
    </row>
    <row r="30" spans="1:8" s="6" customFormat="1" ht="25.5" customHeight="1" x14ac:dyDescent="0.25">
      <c r="A30" s="401" t="s">
        <v>36</v>
      </c>
      <c r="B30" s="402"/>
      <c r="C30" s="402"/>
      <c r="D30" s="403"/>
      <c r="E30" s="171">
        <f>SUM(E29:E29)</f>
        <v>1440.4</v>
      </c>
    </row>
    <row r="31" spans="1:8" s="6" customFormat="1" ht="25.5" customHeight="1" x14ac:dyDescent="0.25">
      <c r="A31" s="428" t="s">
        <v>37</v>
      </c>
      <c r="B31" s="429"/>
      <c r="C31" s="429"/>
      <c r="D31" s="429"/>
      <c r="E31" s="430"/>
    </row>
    <row r="32" spans="1:8" s="6" customFormat="1" ht="25.5" customHeight="1" x14ac:dyDescent="0.25">
      <c r="A32" s="16"/>
      <c r="B32" s="404" t="s">
        <v>38</v>
      </c>
      <c r="C32" s="404"/>
      <c r="D32" s="404"/>
      <c r="E32" s="405"/>
    </row>
    <row r="33" spans="1:7" s="6" customFormat="1" ht="25.5" customHeight="1" x14ac:dyDescent="0.25">
      <c r="A33" s="57" t="s">
        <v>39</v>
      </c>
      <c r="B33" s="409" t="s">
        <v>40</v>
      </c>
      <c r="C33" s="410"/>
      <c r="D33" s="411"/>
      <c r="E33" s="56" t="s">
        <v>18</v>
      </c>
      <c r="G33" s="17"/>
    </row>
    <row r="34" spans="1:7" s="6" customFormat="1" ht="25.5" customHeight="1" x14ac:dyDescent="0.25">
      <c r="A34" s="18" t="s">
        <v>2</v>
      </c>
      <c r="B34" s="19" t="s">
        <v>320</v>
      </c>
      <c r="C34" s="20"/>
      <c r="D34" s="178">
        <f>(1/12)</f>
        <v>8.3333000000000004E-2</v>
      </c>
      <c r="E34" s="171">
        <f>TRUNC($E$30*D34,2)</f>
        <v>120.03</v>
      </c>
    </row>
    <row r="35" spans="1:7" s="6" customFormat="1" ht="25.5" customHeight="1" x14ac:dyDescent="0.25">
      <c r="A35" s="18" t="s">
        <v>4</v>
      </c>
      <c r="B35" s="426" t="s">
        <v>319</v>
      </c>
      <c r="C35" s="427"/>
      <c r="D35" s="176">
        <v>0.121</v>
      </c>
      <c r="E35" s="171">
        <f>TRUNC($E$30*D35,2)</f>
        <v>174.28</v>
      </c>
    </row>
    <row r="36" spans="1:7" s="6" customFormat="1" ht="25.5" customHeight="1" x14ac:dyDescent="0.25">
      <c r="A36" s="386" t="s">
        <v>35</v>
      </c>
      <c r="B36" s="387"/>
      <c r="C36" s="388"/>
      <c r="D36" s="177">
        <f>SUM(D34:D35)</f>
        <v>0.20433000000000001</v>
      </c>
      <c r="E36" s="171">
        <f>SUM(E34:E35)</f>
        <v>294.31</v>
      </c>
    </row>
    <row r="37" spans="1:7" s="6" customFormat="1" ht="25.5" customHeight="1" thickBot="1" x14ac:dyDescent="0.3">
      <c r="A37" s="389" t="s">
        <v>41</v>
      </c>
      <c r="B37" s="390"/>
      <c r="C37" s="390"/>
      <c r="D37" s="391"/>
      <c r="E37" s="179">
        <f>SUM(E36:E36)</f>
        <v>294.31</v>
      </c>
    </row>
    <row r="38" spans="1:7" s="6" customFormat="1" ht="25.5" customHeight="1" thickTop="1" thickBot="1" x14ac:dyDescent="0.3">
      <c r="A38" s="392" t="s">
        <v>42</v>
      </c>
      <c r="B38" s="392"/>
      <c r="C38" s="393"/>
      <c r="D38" s="239" t="s">
        <v>43</v>
      </c>
      <c r="E38" s="182">
        <f>E30</f>
        <v>1440.4</v>
      </c>
    </row>
    <row r="39" spans="1:7" s="6" customFormat="1" ht="22.5" customHeight="1" thickTop="1" thickBot="1" x14ac:dyDescent="0.3">
      <c r="A39" s="394"/>
      <c r="B39" s="394"/>
      <c r="C39" s="395"/>
      <c r="D39" s="239" t="s">
        <v>44</v>
      </c>
      <c r="E39" s="183">
        <f>E37</f>
        <v>294.31</v>
      </c>
    </row>
    <row r="40" spans="1:7" s="6" customFormat="1" ht="22.5" customHeight="1" thickTop="1" x14ac:dyDescent="0.25">
      <c r="A40" s="394"/>
      <c r="B40" s="394"/>
      <c r="C40" s="395"/>
      <c r="D40" s="181" t="s">
        <v>35</v>
      </c>
      <c r="E40" s="184">
        <f>SUM(E38:E39)</f>
        <v>1734.71</v>
      </c>
    </row>
    <row r="41" spans="1:7" s="6" customFormat="1" ht="42" customHeight="1" x14ac:dyDescent="0.25">
      <c r="A41" s="498" t="s">
        <v>321</v>
      </c>
      <c r="B41" s="499"/>
      <c r="C41" s="499"/>
      <c r="D41" s="499"/>
      <c r="E41" s="499"/>
      <c r="F41" s="22"/>
    </row>
    <row r="42" spans="1:7" s="6" customFormat="1" ht="22.5" customHeight="1" x14ac:dyDescent="0.25">
      <c r="A42" s="57" t="s">
        <v>45</v>
      </c>
      <c r="B42" s="409" t="s">
        <v>46</v>
      </c>
      <c r="C42" s="410"/>
      <c r="D42" s="411"/>
      <c r="E42" s="56" t="s">
        <v>18</v>
      </c>
      <c r="F42" s="22"/>
    </row>
    <row r="43" spans="1:7" s="6" customFormat="1" ht="22.5" customHeight="1" x14ac:dyDescent="0.25">
      <c r="A43" s="1" t="s">
        <v>2</v>
      </c>
      <c r="B43" s="396" t="s">
        <v>14</v>
      </c>
      <c r="C43" s="397"/>
      <c r="D43" s="24">
        <v>0.2</v>
      </c>
      <c r="E43" s="171">
        <f t="shared" ref="E43:E50" si="0">TRUNC($E$40*D43,2)</f>
        <v>346.94</v>
      </c>
      <c r="F43" s="22"/>
    </row>
    <row r="44" spans="1:7" s="6" customFormat="1" ht="22.5" customHeight="1" x14ac:dyDescent="0.25">
      <c r="A44" s="1" t="s">
        <v>4</v>
      </c>
      <c r="B44" s="396" t="s">
        <v>47</v>
      </c>
      <c r="C44" s="397"/>
      <c r="D44" s="197">
        <v>2.5000000000000001E-2</v>
      </c>
      <c r="E44" s="171">
        <f t="shared" si="0"/>
        <v>43.36</v>
      </c>
      <c r="F44" s="23"/>
    </row>
    <row r="45" spans="1:7" s="6" customFormat="1" ht="22.5" customHeight="1" x14ac:dyDescent="0.25">
      <c r="A45" s="1" t="s">
        <v>6</v>
      </c>
      <c r="B45" s="396" t="s">
        <v>115</v>
      </c>
      <c r="C45" s="397"/>
      <c r="D45" s="197">
        <v>0</v>
      </c>
      <c r="E45" s="171">
        <f t="shared" si="0"/>
        <v>0</v>
      </c>
    </row>
    <row r="46" spans="1:7" s="6" customFormat="1" ht="22.5" customHeight="1" x14ac:dyDescent="0.25">
      <c r="A46" s="1" t="s">
        <v>8</v>
      </c>
      <c r="B46" s="396" t="s">
        <v>48</v>
      </c>
      <c r="C46" s="397"/>
      <c r="D46" s="197">
        <v>1.4999999999999999E-2</v>
      </c>
      <c r="E46" s="171">
        <f t="shared" si="0"/>
        <v>26.02</v>
      </c>
      <c r="F46" s="22"/>
    </row>
    <row r="47" spans="1:7" s="6" customFormat="1" ht="22.5" customHeight="1" x14ac:dyDescent="0.25">
      <c r="A47" s="1" t="s">
        <v>31</v>
      </c>
      <c r="B47" s="396" t="s">
        <v>49</v>
      </c>
      <c r="C47" s="397"/>
      <c r="D47" s="197">
        <v>0.01</v>
      </c>
      <c r="E47" s="171">
        <f t="shared" si="0"/>
        <v>17.34</v>
      </c>
      <c r="F47" s="25"/>
    </row>
    <row r="48" spans="1:7" s="6" customFormat="1" ht="22.5" customHeight="1" x14ac:dyDescent="0.25">
      <c r="A48" s="1" t="s">
        <v>33</v>
      </c>
      <c r="B48" s="396" t="s">
        <v>50</v>
      </c>
      <c r="C48" s="397"/>
      <c r="D48" s="197">
        <v>6.0000000000000001E-3</v>
      </c>
      <c r="E48" s="171">
        <f t="shared" si="0"/>
        <v>10.4</v>
      </c>
    </row>
    <row r="49" spans="1:5" s="6" customFormat="1" ht="22.5" customHeight="1" x14ac:dyDescent="0.25">
      <c r="A49" s="1" t="s">
        <v>34</v>
      </c>
      <c r="B49" s="396" t="s">
        <v>51</v>
      </c>
      <c r="C49" s="397"/>
      <c r="D49" s="197">
        <v>2E-3</v>
      </c>
      <c r="E49" s="171">
        <f t="shared" si="0"/>
        <v>3.46</v>
      </c>
    </row>
    <row r="50" spans="1:5" s="6" customFormat="1" ht="22.5" customHeight="1" x14ac:dyDescent="0.25">
      <c r="A50" s="1" t="s">
        <v>52</v>
      </c>
      <c r="B50" s="396" t="s">
        <v>53</v>
      </c>
      <c r="C50" s="397"/>
      <c r="D50" s="197">
        <v>0.08</v>
      </c>
      <c r="E50" s="171">
        <f t="shared" si="0"/>
        <v>138.77000000000001</v>
      </c>
    </row>
    <row r="51" spans="1:5" s="6" customFormat="1" ht="22.5" customHeight="1" x14ac:dyDescent="0.25">
      <c r="A51" s="406" t="s">
        <v>35</v>
      </c>
      <c r="B51" s="407"/>
      <c r="C51" s="408"/>
      <c r="D51" s="185">
        <f>SUM(D43:D50)</f>
        <v>0.33800000000000002</v>
      </c>
      <c r="E51" s="186">
        <f>SUM(E43:E50)</f>
        <v>586.29</v>
      </c>
    </row>
    <row r="52" spans="1:5" s="6" customFormat="1" ht="25.5" customHeight="1" x14ac:dyDescent="0.25">
      <c r="A52" s="16"/>
      <c r="B52" s="404" t="s">
        <v>124</v>
      </c>
      <c r="C52" s="404"/>
      <c r="D52" s="404"/>
      <c r="E52" s="405"/>
    </row>
    <row r="53" spans="1:5" ht="25.5" customHeight="1" x14ac:dyDescent="0.25">
      <c r="A53" s="57" t="s">
        <v>54</v>
      </c>
      <c r="B53" s="409" t="s">
        <v>55</v>
      </c>
      <c r="C53" s="410"/>
      <c r="D53" s="411"/>
      <c r="E53" s="56" t="s">
        <v>18</v>
      </c>
    </row>
    <row r="54" spans="1:5" ht="25.5" customHeight="1" x14ac:dyDescent="0.25">
      <c r="A54" s="1" t="s">
        <v>2</v>
      </c>
      <c r="B54" s="475" t="s">
        <v>322</v>
      </c>
      <c r="C54" s="480"/>
      <c r="D54" s="476"/>
      <c r="E54" s="171">
        <f>'Uniforme + Transport. + V. Alim'!C44</f>
        <v>109.52</v>
      </c>
    </row>
    <row r="55" spans="1:5" ht="25.5" customHeight="1" x14ac:dyDescent="0.25">
      <c r="A55" s="1" t="s">
        <v>4</v>
      </c>
      <c r="B55" s="475" t="s">
        <v>323</v>
      </c>
      <c r="C55" s="480"/>
      <c r="D55" s="476"/>
      <c r="E55" s="171">
        <f>'Uniforme + Transport. + V. Alim'!F34</f>
        <v>220</v>
      </c>
    </row>
    <row r="56" spans="1:5" ht="25.5" customHeight="1" x14ac:dyDescent="0.25">
      <c r="A56" s="1" t="s">
        <v>6</v>
      </c>
      <c r="B56" s="475" t="s">
        <v>324</v>
      </c>
      <c r="C56" s="480"/>
      <c r="D56" s="476"/>
      <c r="E56" s="171">
        <f>TRUNC(((E30*3%)/12*3),2)</f>
        <v>10.8</v>
      </c>
    </row>
    <row r="57" spans="1:5" ht="25.5" customHeight="1" x14ac:dyDescent="0.25">
      <c r="A57" s="1" t="s">
        <v>8</v>
      </c>
      <c r="B57" s="475" t="s">
        <v>325</v>
      </c>
      <c r="C57" s="480"/>
      <c r="D57" s="476"/>
      <c r="E57" s="171">
        <v>5</v>
      </c>
    </row>
    <row r="58" spans="1:5" ht="25.5" customHeight="1" x14ac:dyDescent="0.25">
      <c r="A58" s="1" t="s">
        <v>31</v>
      </c>
      <c r="B58" s="475" t="s">
        <v>326</v>
      </c>
      <c r="C58" s="480"/>
      <c r="D58" s="476"/>
      <c r="E58" s="171">
        <v>18</v>
      </c>
    </row>
    <row r="59" spans="1:5" ht="35.25" customHeight="1" x14ac:dyDescent="0.25">
      <c r="A59" s="1" t="s">
        <v>33</v>
      </c>
      <c r="B59" s="475" t="s">
        <v>327</v>
      </c>
      <c r="C59" s="480"/>
      <c r="D59" s="476"/>
      <c r="E59" s="173">
        <v>24</v>
      </c>
    </row>
    <row r="60" spans="1:5" ht="25.5" customHeight="1" x14ac:dyDescent="0.25">
      <c r="A60" s="1" t="s">
        <v>34</v>
      </c>
      <c r="B60" s="475" t="s">
        <v>328</v>
      </c>
      <c r="C60" s="480"/>
      <c r="D60" s="476"/>
      <c r="E60" s="171">
        <v>0</v>
      </c>
    </row>
    <row r="61" spans="1:5" s="6" customFormat="1" ht="25.5" customHeight="1" x14ac:dyDescent="0.25">
      <c r="A61" s="386" t="s">
        <v>56</v>
      </c>
      <c r="B61" s="387"/>
      <c r="C61" s="387"/>
      <c r="D61" s="388"/>
      <c r="E61" s="186">
        <f>SUM(E54:E60)</f>
        <v>387.32</v>
      </c>
    </row>
    <row r="62" spans="1:5" s="6" customFormat="1" ht="25.5" customHeight="1" x14ac:dyDescent="0.25">
      <c r="A62" s="431" t="s">
        <v>57</v>
      </c>
      <c r="B62" s="431"/>
      <c r="C62" s="431"/>
      <c r="D62" s="431"/>
      <c r="E62" s="432"/>
    </row>
    <row r="63" spans="1:5" s="6" customFormat="1" ht="25.5" customHeight="1" x14ac:dyDescent="0.25">
      <c r="A63" s="26">
        <v>2</v>
      </c>
      <c r="B63" s="433" t="s">
        <v>58</v>
      </c>
      <c r="C63" s="434"/>
      <c r="D63" s="435"/>
      <c r="E63" s="193" t="s">
        <v>18</v>
      </c>
    </row>
    <row r="64" spans="1:5" s="6" customFormat="1" ht="25.5" customHeight="1" x14ac:dyDescent="0.25">
      <c r="A64" s="26" t="s">
        <v>39</v>
      </c>
      <c r="B64" s="61" t="s">
        <v>40</v>
      </c>
      <c r="C64" s="62"/>
      <c r="D64" s="63"/>
      <c r="E64" s="194">
        <f>E37</f>
        <v>294.31</v>
      </c>
    </row>
    <row r="65" spans="1:8" s="6" customFormat="1" ht="25.5" customHeight="1" x14ac:dyDescent="0.25">
      <c r="A65" s="26" t="s">
        <v>45</v>
      </c>
      <c r="B65" s="61" t="s">
        <v>46</v>
      </c>
      <c r="C65" s="62"/>
      <c r="D65" s="63"/>
      <c r="E65" s="194">
        <f>E51</f>
        <v>586.29</v>
      </c>
    </row>
    <row r="66" spans="1:8" s="6" customFormat="1" ht="25.5" customHeight="1" x14ac:dyDescent="0.25">
      <c r="A66" s="26" t="s">
        <v>54</v>
      </c>
      <c r="B66" s="61" t="s">
        <v>55</v>
      </c>
      <c r="C66" s="62"/>
      <c r="D66" s="63"/>
      <c r="E66" s="194">
        <f>E61</f>
        <v>387.32</v>
      </c>
    </row>
    <row r="67" spans="1:8" s="6" customFormat="1" ht="25.5" customHeight="1" x14ac:dyDescent="0.25">
      <c r="A67" s="491" t="s">
        <v>35</v>
      </c>
      <c r="B67" s="478"/>
      <c r="C67" s="478"/>
      <c r="D67" s="479"/>
      <c r="E67" s="195">
        <f>SUM(E64:E66)</f>
        <v>1267.92</v>
      </c>
    </row>
    <row r="68" spans="1:8" s="6" customFormat="1" ht="25.5" customHeight="1" x14ac:dyDescent="0.25">
      <c r="A68" s="436" t="s">
        <v>59</v>
      </c>
      <c r="B68" s="436"/>
      <c r="C68" s="436"/>
      <c r="D68" s="436"/>
      <c r="E68" s="436"/>
      <c r="H68" s="28"/>
    </row>
    <row r="69" spans="1:8" s="6" customFormat="1" ht="25.5" customHeight="1" x14ac:dyDescent="0.25">
      <c r="A69" s="200">
        <v>3</v>
      </c>
      <c r="B69" s="409" t="s">
        <v>60</v>
      </c>
      <c r="C69" s="437"/>
      <c r="D69" s="438"/>
      <c r="E69" s="56" t="s">
        <v>18</v>
      </c>
      <c r="H69" s="29"/>
    </row>
    <row r="70" spans="1:8" s="6" customFormat="1" ht="25.5" customHeight="1" x14ac:dyDescent="0.25">
      <c r="A70" s="199" t="s">
        <v>2</v>
      </c>
      <c r="B70" s="415" t="s">
        <v>61</v>
      </c>
      <c r="C70" s="416"/>
      <c r="D70" s="178">
        <f>((1/12)*5%)</f>
        <v>4.1669999999999997E-3</v>
      </c>
      <c r="E70" s="201">
        <f>TRUNC(($E$30)*D70,2)</f>
        <v>6</v>
      </c>
    </row>
    <row r="71" spans="1:8" s="6" customFormat="1" ht="25.5" customHeight="1" x14ac:dyDescent="0.25">
      <c r="A71" s="199" t="s">
        <v>4</v>
      </c>
      <c r="B71" s="415" t="s">
        <v>116</v>
      </c>
      <c r="C71" s="416"/>
      <c r="D71" s="198">
        <f>+D50</f>
        <v>0.08</v>
      </c>
      <c r="E71" s="201">
        <f>TRUNC(+E70*D71,2)</f>
        <v>0.48</v>
      </c>
    </row>
    <row r="72" spans="1:8" s="6" customFormat="1" ht="25.5" customHeight="1" x14ac:dyDescent="0.25">
      <c r="A72" s="199" t="s">
        <v>6</v>
      </c>
      <c r="B72" s="415" t="s">
        <v>329</v>
      </c>
      <c r="C72" s="416"/>
      <c r="D72" s="178">
        <f>(0.4*0.08)*0.05</f>
        <v>1.6000000000000001E-3</v>
      </c>
      <c r="E72" s="201">
        <f>TRUNC(($E$30)*D72,2)</f>
        <v>2.2999999999999998</v>
      </c>
    </row>
    <row r="73" spans="1:8" s="6" customFormat="1" ht="25.5" customHeight="1" x14ac:dyDescent="0.25">
      <c r="A73" s="199" t="s">
        <v>8</v>
      </c>
      <c r="B73" s="503" t="s">
        <v>62</v>
      </c>
      <c r="C73" s="504"/>
      <c r="D73" s="198">
        <f>((7/30)/12)*100%</f>
        <v>1.9439999999999999E-2</v>
      </c>
      <c r="E73" s="201">
        <f>TRUNC(($E$30)*D73,2)</f>
        <v>28</v>
      </c>
    </row>
    <row r="74" spans="1:8" s="6" customFormat="1" ht="38.25" customHeight="1" x14ac:dyDescent="0.25">
      <c r="A74" s="199" t="s">
        <v>31</v>
      </c>
      <c r="B74" s="415" t="s">
        <v>104</v>
      </c>
      <c r="C74" s="416"/>
      <c r="D74" s="198">
        <f>+D51</f>
        <v>0.33800000000000002</v>
      </c>
      <c r="E74" s="201">
        <f>TRUNC(+E73*D74,2)</f>
        <v>9.4600000000000009</v>
      </c>
    </row>
    <row r="75" spans="1:8" s="6" customFormat="1" ht="25.5" customHeight="1" x14ac:dyDescent="0.25">
      <c r="A75" s="199" t="s">
        <v>33</v>
      </c>
      <c r="B75" s="505" t="s">
        <v>330</v>
      </c>
      <c r="C75" s="506"/>
      <c r="D75" s="196">
        <f>(40%*8%)*95%</f>
        <v>3.04E-2</v>
      </c>
      <c r="E75" s="201">
        <f>TRUNC(($E$30)*D75,2)</f>
        <v>43.78</v>
      </c>
    </row>
    <row r="76" spans="1:8" s="6" customFormat="1" ht="16.149999999999999" customHeight="1" thickBot="1" x14ac:dyDescent="0.3">
      <c r="A76" s="507" t="s">
        <v>35</v>
      </c>
      <c r="B76" s="508"/>
      <c r="C76" s="508"/>
      <c r="D76" s="509"/>
      <c r="E76" s="202">
        <f>SUM(E70:E75)</f>
        <v>90.02</v>
      </c>
    </row>
    <row r="77" spans="1:8" s="6" customFormat="1" ht="22.5" customHeight="1" thickTop="1" thickBot="1" x14ac:dyDescent="0.3">
      <c r="A77" s="489" t="s">
        <v>63</v>
      </c>
      <c r="B77" s="489"/>
      <c r="C77" s="489"/>
      <c r="D77" s="239" t="s">
        <v>43</v>
      </c>
      <c r="E77" s="180">
        <f>E30</f>
        <v>1440.4</v>
      </c>
    </row>
    <row r="78" spans="1:8" s="6" customFormat="1" ht="22.5" customHeight="1" thickTop="1" thickBot="1" x14ac:dyDescent="0.3">
      <c r="A78" s="489"/>
      <c r="B78" s="489"/>
      <c r="C78" s="489"/>
      <c r="D78" s="239" t="s">
        <v>64</v>
      </c>
      <c r="E78" s="180">
        <f>E67</f>
        <v>1267.92</v>
      </c>
    </row>
    <row r="79" spans="1:8" s="6" customFormat="1" ht="22.5" customHeight="1" thickTop="1" thickBot="1" x14ac:dyDescent="0.3">
      <c r="A79" s="489"/>
      <c r="B79" s="489"/>
      <c r="C79" s="489"/>
      <c r="D79" s="239" t="s">
        <v>65</v>
      </c>
      <c r="E79" s="180">
        <f>E76</f>
        <v>90.02</v>
      </c>
    </row>
    <row r="80" spans="1:8" s="6" customFormat="1" ht="23.25" customHeight="1" thickTop="1" thickBot="1" x14ac:dyDescent="0.3">
      <c r="A80" s="489"/>
      <c r="B80" s="489"/>
      <c r="C80" s="489"/>
      <c r="D80" s="31" t="s">
        <v>56</v>
      </c>
      <c r="E80" s="180">
        <f>SUM(E77:E79)</f>
        <v>2798.34</v>
      </c>
    </row>
    <row r="81" spans="1:5" s="6" customFormat="1" ht="23.25" customHeight="1" thickTop="1" x14ac:dyDescent="0.25">
      <c r="A81" s="428" t="s">
        <v>66</v>
      </c>
      <c r="B81" s="429"/>
      <c r="C81" s="429"/>
      <c r="D81" s="430"/>
      <c r="E81" s="240" t="s">
        <v>26</v>
      </c>
    </row>
    <row r="82" spans="1:5" s="6" customFormat="1" ht="26.25" customHeight="1" x14ac:dyDescent="0.25">
      <c r="A82" s="500" t="s">
        <v>117</v>
      </c>
      <c r="B82" s="501"/>
      <c r="C82" s="501"/>
      <c r="D82" s="501"/>
      <c r="E82" s="502"/>
    </row>
    <row r="83" spans="1:5" s="6" customFormat="1" ht="26.25" customHeight="1" x14ac:dyDescent="0.25">
      <c r="A83" s="57" t="s">
        <v>67</v>
      </c>
      <c r="B83" s="492" t="s">
        <v>105</v>
      </c>
      <c r="C83" s="493"/>
      <c r="D83" s="494"/>
      <c r="E83" s="56" t="s">
        <v>18</v>
      </c>
    </row>
    <row r="84" spans="1:5" s="6" customFormat="1" ht="26.25" customHeight="1" x14ac:dyDescent="0.25">
      <c r="A84" s="32" t="s">
        <v>2</v>
      </c>
      <c r="B84" s="477" t="s">
        <v>106</v>
      </c>
      <c r="C84" s="477"/>
      <c r="D84" s="192">
        <f>(( 1+1/3)/12)/12</f>
        <v>9.2599999999999991E-3</v>
      </c>
      <c r="E84" s="201">
        <f>TRUNC(+D84*$E$80,2)</f>
        <v>25.91</v>
      </c>
    </row>
    <row r="85" spans="1:5" s="6" customFormat="1" ht="26.25" customHeight="1" x14ac:dyDescent="0.25">
      <c r="A85" s="33" t="s">
        <v>4</v>
      </c>
      <c r="B85" s="477" t="s">
        <v>107</v>
      </c>
      <c r="C85" s="477"/>
      <c r="D85" s="196">
        <f>((2/30)/12)</f>
        <v>5.5599999999999998E-3</v>
      </c>
      <c r="E85" s="201">
        <f>TRUNC(+D85*$E$80,2)</f>
        <v>15.55</v>
      </c>
    </row>
    <row r="86" spans="1:5" s="6" customFormat="1" ht="26.25" customHeight="1" x14ac:dyDescent="0.25">
      <c r="A86" s="33" t="s">
        <v>6</v>
      </c>
      <c r="B86" s="477" t="s">
        <v>108</v>
      </c>
      <c r="C86" s="477"/>
      <c r="D86" s="192">
        <f>((5/30)/12)*0.02</f>
        <v>2.7999999999999998E-4</v>
      </c>
      <c r="E86" s="201">
        <f>TRUNC(+D86*$E$80,2)</f>
        <v>0.78</v>
      </c>
    </row>
    <row r="87" spans="1:5" s="6" customFormat="1" ht="26.25" customHeight="1" x14ac:dyDescent="0.25">
      <c r="A87" s="33" t="s">
        <v>8</v>
      </c>
      <c r="B87" s="477" t="s">
        <v>109</v>
      </c>
      <c r="C87" s="477"/>
      <c r="D87" s="192">
        <f>((15/30)/12)*0.08</f>
        <v>3.3300000000000001E-3</v>
      </c>
      <c r="E87" s="201">
        <f>TRUNC(+D87*$E$80,2)</f>
        <v>9.31</v>
      </c>
    </row>
    <row r="88" spans="1:5" s="6" customFormat="1" ht="26.25" customHeight="1" x14ac:dyDescent="0.25">
      <c r="A88" s="33" t="s">
        <v>31</v>
      </c>
      <c r="B88" s="477" t="s">
        <v>110</v>
      </c>
      <c r="C88" s="477"/>
      <c r="D88" s="204">
        <f>(4/12)/12*0.02*100/100</f>
        <v>5.5999999999999995E-4</v>
      </c>
      <c r="E88" s="201">
        <f t="shared" ref="E88:E89" si="1">TRUNC(+D88*$E$80,2)</f>
        <v>1.56</v>
      </c>
    </row>
    <row r="89" spans="1:5" s="6" customFormat="1" ht="26.25" customHeight="1" x14ac:dyDescent="0.25">
      <c r="A89" s="33" t="s">
        <v>33</v>
      </c>
      <c r="B89" s="477" t="s">
        <v>111</v>
      </c>
      <c r="C89" s="477"/>
      <c r="D89" s="192">
        <v>0</v>
      </c>
      <c r="E89" s="201">
        <f t="shared" si="1"/>
        <v>0</v>
      </c>
    </row>
    <row r="90" spans="1:5" s="6" customFormat="1" ht="26.25" customHeight="1" x14ac:dyDescent="0.25">
      <c r="A90" s="401" t="s">
        <v>35</v>
      </c>
      <c r="B90" s="402"/>
      <c r="C90" s="403"/>
      <c r="D90" s="203"/>
      <c r="E90" s="186">
        <f>SUM(E84:E89)</f>
        <v>53.11</v>
      </c>
    </row>
    <row r="91" spans="1:5" s="6" customFormat="1" ht="23.25" customHeight="1" x14ac:dyDescent="0.25">
      <c r="A91" s="495" t="s">
        <v>331</v>
      </c>
      <c r="B91" s="496"/>
      <c r="C91" s="496"/>
      <c r="D91" s="496"/>
      <c r="E91" s="497"/>
    </row>
    <row r="92" spans="1:5" s="6" customFormat="1" ht="23.25" customHeight="1" x14ac:dyDescent="0.25">
      <c r="A92" s="57" t="s">
        <v>68</v>
      </c>
      <c r="B92" s="492" t="s">
        <v>118</v>
      </c>
      <c r="C92" s="493"/>
      <c r="D92" s="494"/>
      <c r="E92" s="56" t="s">
        <v>18</v>
      </c>
    </row>
    <row r="93" spans="1:5" s="6" customFormat="1" ht="59.25" customHeight="1" x14ac:dyDescent="0.25">
      <c r="A93" s="34" t="s">
        <v>2</v>
      </c>
      <c r="B93" s="475" t="s">
        <v>119</v>
      </c>
      <c r="C93" s="476"/>
      <c r="D93" s="24"/>
      <c r="E93" s="205">
        <v>0</v>
      </c>
    </row>
    <row r="94" spans="1:5" s="6" customFormat="1" ht="15.6" customHeight="1" x14ac:dyDescent="0.25">
      <c r="A94" s="401" t="s">
        <v>35</v>
      </c>
      <c r="B94" s="402"/>
      <c r="C94" s="403"/>
      <c r="D94" s="203"/>
      <c r="E94" s="186">
        <f>SUM(E93)</f>
        <v>0</v>
      </c>
    </row>
    <row r="95" spans="1:5" s="6" customFormat="1" ht="20.25" customHeight="1" x14ac:dyDescent="0.25">
      <c r="A95" s="490" t="s">
        <v>69</v>
      </c>
      <c r="B95" s="490"/>
      <c r="C95" s="490"/>
      <c r="D95" s="490"/>
      <c r="E95" s="490"/>
    </row>
    <row r="96" spans="1:5" s="6" customFormat="1" x14ac:dyDescent="0.25">
      <c r="A96" s="26">
        <v>4</v>
      </c>
      <c r="B96" s="433" t="s">
        <v>70</v>
      </c>
      <c r="C96" s="434"/>
      <c r="D96" s="435"/>
      <c r="E96" s="27" t="s">
        <v>18</v>
      </c>
    </row>
    <row r="97" spans="1:9" s="6" customFormat="1" ht="31.15" customHeight="1" x14ac:dyDescent="0.25">
      <c r="A97" s="26" t="s">
        <v>67</v>
      </c>
      <c r="B97" s="61" t="s">
        <v>105</v>
      </c>
      <c r="C97" s="62"/>
      <c r="D97" s="63"/>
      <c r="E97" s="194">
        <f>+E90</f>
        <v>53.11</v>
      </c>
    </row>
    <row r="98" spans="1:9" s="6" customFormat="1" x14ac:dyDescent="0.25">
      <c r="A98" s="26" t="s">
        <v>68</v>
      </c>
      <c r="B98" s="61" t="s">
        <v>118</v>
      </c>
      <c r="C98" s="62"/>
      <c r="D98" s="63"/>
      <c r="E98" s="186">
        <f>+E94</f>
        <v>0</v>
      </c>
    </row>
    <row r="99" spans="1:9" s="6" customFormat="1" ht="15" customHeight="1" x14ac:dyDescent="0.25">
      <c r="A99" s="64"/>
      <c r="B99" s="478" t="s">
        <v>35</v>
      </c>
      <c r="C99" s="478"/>
      <c r="D99" s="479"/>
      <c r="E99" s="195">
        <f>SUM(E97:E98)</f>
        <v>53.11</v>
      </c>
    </row>
    <row r="100" spans="1:9" s="6" customFormat="1" ht="25.5" customHeight="1" x14ac:dyDescent="0.25">
      <c r="A100" s="401" t="s">
        <v>71</v>
      </c>
      <c r="B100" s="402"/>
      <c r="C100" s="402"/>
      <c r="D100" s="403"/>
      <c r="E100" s="186">
        <f>SUM(E99:E99)</f>
        <v>53.11</v>
      </c>
    </row>
    <row r="101" spans="1:9" s="6" customFormat="1" x14ac:dyDescent="0.25">
      <c r="A101" s="428" t="s">
        <v>72</v>
      </c>
      <c r="B101" s="429"/>
      <c r="C101" s="429"/>
      <c r="D101" s="430"/>
      <c r="E101" s="174"/>
    </row>
    <row r="102" spans="1:9" s="6" customFormat="1" x14ac:dyDescent="0.25">
      <c r="A102" s="57">
        <v>5</v>
      </c>
      <c r="B102" s="409" t="s">
        <v>73</v>
      </c>
      <c r="C102" s="410"/>
      <c r="D102" s="411"/>
      <c r="E102" s="56" t="s">
        <v>18</v>
      </c>
    </row>
    <row r="103" spans="1:9" s="6" customFormat="1" ht="25.5" customHeight="1" x14ac:dyDescent="0.25">
      <c r="A103" s="1" t="s">
        <v>2</v>
      </c>
      <c r="B103" s="412" t="s">
        <v>333</v>
      </c>
      <c r="C103" s="413"/>
      <c r="D103" s="414"/>
      <c r="E103" s="201">
        <f>'Uniforme + Transport. + V. Alim'!F23</f>
        <v>0</v>
      </c>
    </row>
    <row r="104" spans="1:9" s="6" customFormat="1" ht="21.75" customHeight="1" x14ac:dyDescent="0.25">
      <c r="A104" s="1" t="s">
        <v>4</v>
      </c>
      <c r="B104" s="412" t="s">
        <v>400</v>
      </c>
      <c r="C104" s="413"/>
      <c r="D104" s="414"/>
      <c r="E104" s="205" cm="1">
        <f t="array" ref="E104:H104">'Material + Equip.'!E83:H83</f>
        <v>0</v>
      </c>
      <c r="F104" s="245">
        <v>0</v>
      </c>
      <c r="G104" s="245">
        <v>0</v>
      </c>
      <c r="H104" s="245">
        <v>0</v>
      </c>
      <c r="I104" s="245"/>
    </row>
    <row r="105" spans="1:9" s="6" customFormat="1" x14ac:dyDescent="0.25">
      <c r="A105" s="1" t="s">
        <v>6</v>
      </c>
      <c r="B105" s="412" t="s">
        <v>399</v>
      </c>
      <c r="C105" s="413"/>
      <c r="D105" s="414"/>
      <c r="E105" s="205" cm="1">
        <f t="array" ref="E105:H105">'Material + Equip.'!E84:H84</f>
        <v>0</v>
      </c>
      <c r="F105" s="246">
        <v>0</v>
      </c>
      <c r="G105" s="245">
        <v>0</v>
      </c>
      <c r="H105" s="245">
        <v>0</v>
      </c>
      <c r="I105" s="245"/>
    </row>
    <row r="106" spans="1:9" s="6" customFormat="1" ht="18.75" customHeight="1" x14ac:dyDescent="0.25">
      <c r="A106" s="1" t="s">
        <v>8</v>
      </c>
      <c r="B106" s="412" t="s">
        <v>336</v>
      </c>
      <c r="C106" s="413"/>
      <c r="D106" s="414"/>
      <c r="E106" s="201">
        <v>7</v>
      </c>
      <c r="F106" s="246"/>
      <c r="G106" s="245"/>
      <c r="H106" s="245"/>
      <c r="I106" s="245"/>
    </row>
    <row r="107" spans="1:9" s="6" customFormat="1" ht="16.149999999999999" customHeight="1" thickBot="1" x14ac:dyDescent="0.3">
      <c r="A107" s="401" t="s">
        <v>74</v>
      </c>
      <c r="B107" s="402"/>
      <c r="C107" s="402"/>
      <c r="D107" s="403"/>
      <c r="E107" s="186">
        <f>SUM(E103:E106)</f>
        <v>7</v>
      </c>
      <c r="F107" s="22"/>
    </row>
    <row r="108" spans="1:9" s="6" customFormat="1" ht="22.5" customHeight="1" thickTop="1" thickBot="1" x14ac:dyDescent="0.3">
      <c r="A108" s="489" t="s">
        <v>75</v>
      </c>
      <c r="B108" s="489"/>
      <c r="C108" s="489"/>
      <c r="D108" s="239" t="s">
        <v>43</v>
      </c>
      <c r="E108" s="180">
        <f>E30</f>
        <v>1440.4</v>
      </c>
    </row>
    <row r="109" spans="1:9" s="6" customFormat="1" ht="22.5" customHeight="1" thickTop="1" thickBot="1" x14ac:dyDescent="0.3">
      <c r="A109" s="489"/>
      <c r="B109" s="489"/>
      <c r="C109" s="489"/>
      <c r="D109" s="239" t="s">
        <v>64</v>
      </c>
      <c r="E109" s="180">
        <f>E67</f>
        <v>1267.92</v>
      </c>
    </row>
    <row r="110" spans="1:9" s="6" customFormat="1" ht="22.5" customHeight="1" thickTop="1" thickBot="1" x14ac:dyDescent="0.3">
      <c r="A110" s="489"/>
      <c r="B110" s="489"/>
      <c r="C110" s="489"/>
      <c r="D110" s="239" t="s">
        <v>65</v>
      </c>
      <c r="E110" s="180">
        <f>E76</f>
        <v>90.02</v>
      </c>
    </row>
    <row r="111" spans="1:9" s="6" customFormat="1" ht="22.5" customHeight="1" thickTop="1" thickBot="1" x14ac:dyDescent="0.3">
      <c r="A111" s="489"/>
      <c r="B111" s="489"/>
      <c r="C111" s="489"/>
      <c r="D111" s="239" t="s">
        <v>76</v>
      </c>
      <c r="E111" s="180">
        <f>E100</f>
        <v>53.11</v>
      </c>
    </row>
    <row r="112" spans="1:9" s="6" customFormat="1" ht="22.5" customHeight="1" thickTop="1" thickBot="1" x14ac:dyDescent="0.3">
      <c r="A112" s="489"/>
      <c r="B112" s="489"/>
      <c r="C112" s="489"/>
      <c r="D112" s="239" t="s">
        <v>77</v>
      </c>
      <c r="E112" s="180">
        <f>E107</f>
        <v>7</v>
      </c>
    </row>
    <row r="113" spans="1:5" s="6" customFormat="1" ht="22.5" customHeight="1" thickTop="1" thickBot="1" x14ac:dyDescent="0.3">
      <c r="A113" s="489"/>
      <c r="B113" s="489"/>
      <c r="C113" s="489"/>
      <c r="D113" s="31" t="s">
        <v>56</v>
      </c>
      <c r="E113" s="180">
        <f>SUM(E108:E112)</f>
        <v>2858.45</v>
      </c>
    </row>
    <row r="114" spans="1:5" s="6" customFormat="1" ht="13.5" thickTop="1" x14ac:dyDescent="0.25">
      <c r="A114" s="428" t="s">
        <v>78</v>
      </c>
      <c r="B114" s="429"/>
      <c r="C114" s="429" t="s">
        <v>79</v>
      </c>
      <c r="D114" s="430" t="s">
        <v>80</v>
      </c>
      <c r="E114" s="174"/>
    </row>
    <row r="115" spans="1:5" s="6" customFormat="1" x14ac:dyDescent="0.25">
      <c r="A115" s="57">
        <v>6</v>
      </c>
      <c r="B115" s="409" t="s">
        <v>81</v>
      </c>
      <c r="C115" s="410"/>
      <c r="D115" s="411"/>
      <c r="E115" s="56" t="s">
        <v>18</v>
      </c>
    </row>
    <row r="116" spans="1:5" s="6" customFormat="1" ht="31.15" customHeight="1" x14ac:dyDescent="0.25">
      <c r="A116" s="36" t="s">
        <v>2</v>
      </c>
      <c r="B116" s="35" t="s">
        <v>82</v>
      </c>
      <c r="C116" s="381">
        <v>0</v>
      </c>
      <c r="D116" s="382"/>
      <c r="E116" s="201">
        <f>TRUNC(+E113*C116,2)</f>
        <v>0</v>
      </c>
    </row>
    <row r="117" spans="1:5" s="6" customFormat="1" ht="31.9" customHeight="1" thickBot="1" x14ac:dyDescent="0.3">
      <c r="A117" s="36" t="s">
        <v>4</v>
      </c>
      <c r="B117" s="35" t="s">
        <v>83</v>
      </c>
      <c r="C117" s="482">
        <v>0</v>
      </c>
      <c r="D117" s="483"/>
      <c r="E117" s="201">
        <f>TRUNC(C117*(+E113+E116),2)</f>
        <v>0</v>
      </c>
    </row>
    <row r="118" spans="1:5" s="6" customFormat="1" ht="27" customHeight="1" thickBot="1" x14ac:dyDescent="0.3">
      <c r="A118" s="37"/>
      <c r="B118" s="65" t="s">
        <v>84</v>
      </c>
      <c r="C118" s="484" t="s">
        <v>85</v>
      </c>
      <c r="D118" s="485"/>
      <c r="E118" s="218">
        <f>SUM(E116:E117,E113)</f>
        <v>2858.45</v>
      </c>
    </row>
    <row r="119" spans="1:5" s="6" customFormat="1" ht="13.5" thickBot="1" x14ac:dyDescent="0.3">
      <c r="A119" s="38" t="s">
        <v>6</v>
      </c>
      <c r="B119" s="238" t="s">
        <v>86</v>
      </c>
      <c r="C119" s="206">
        <f>(D126*100)</f>
        <v>8.65</v>
      </c>
      <c r="D119" s="207">
        <f>+(100-C119)/100</f>
        <v>0.91349999999999998</v>
      </c>
      <c r="E119" s="219">
        <f>E118/D119</f>
        <v>3129.12</v>
      </c>
    </row>
    <row r="120" spans="1:5" s="6" customFormat="1" ht="15.6" customHeight="1" x14ac:dyDescent="0.25">
      <c r="A120" s="40"/>
      <c r="B120" s="41" t="s">
        <v>87</v>
      </c>
      <c r="C120" s="208"/>
      <c r="D120" s="209"/>
      <c r="E120" s="30"/>
    </row>
    <row r="121" spans="1:5" s="6" customFormat="1" x14ac:dyDescent="0.25">
      <c r="A121" s="40"/>
      <c r="B121" s="42" t="s">
        <v>120</v>
      </c>
      <c r="C121" s="210"/>
      <c r="D121" s="192">
        <v>6.4999999999999997E-3</v>
      </c>
      <c r="E121" s="201">
        <f>+E119*D121</f>
        <v>20.34</v>
      </c>
    </row>
    <row r="122" spans="1:5" s="6" customFormat="1" x14ac:dyDescent="0.25">
      <c r="A122" s="40"/>
      <c r="B122" s="42" t="s">
        <v>121</v>
      </c>
      <c r="C122" s="210"/>
      <c r="D122" s="192">
        <v>0.03</v>
      </c>
      <c r="E122" s="201">
        <f>+E119*D122</f>
        <v>93.87</v>
      </c>
    </row>
    <row r="123" spans="1:5" s="6" customFormat="1" x14ac:dyDescent="0.25">
      <c r="A123" s="40"/>
      <c r="B123" s="43" t="s">
        <v>88</v>
      </c>
      <c r="C123" s="211"/>
      <c r="D123" s="212"/>
      <c r="E123" s="201"/>
    </row>
    <row r="124" spans="1:5" s="6" customFormat="1" x14ac:dyDescent="0.25">
      <c r="A124" s="40"/>
      <c r="B124" s="43" t="s">
        <v>89</v>
      </c>
      <c r="C124" s="211"/>
      <c r="D124" s="213"/>
      <c r="E124" s="201"/>
    </row>
    <row r="125" spans="1:5" s="6" customFormat="1" x14ac:dyDescent="0.25">
      <c r="A125" s="40"/>
      <c r="B125" s="44" t="s">
        <v>122</v>
      </c>
      <c r="C125" s="214"/>
      <c r="D125" s="215">
        <v>0.05</v>
      </c>
      <c r="E125" s="220">
        <f>+E119*D125</f>
        <v>156.46</v>
      </c>
    </row>
    <row r="126" spans="1:5" s="6" customFormat="1" x14ac:dyDescent="0.25">
      <c r="A126" s="45"/>
      <c r="B126" s="46" t="s">
        <v>90</v>
      </c>
      <c r="C126" s="216"/>
      <c r="D126" s="217">
        <f>SUM(D121:D125)</f>
        <v>8.6499999999999994E-2</v>
      </c>
      <c r="E126" s="221">
        <f>SUM(E121:E125)</f>
        <v>270.67</v>
      </c>
    </row>
    <row r="127" spans="1:5" s="6" customFormat="1" ht="15.6" customHeight="1" x14ac:dyDescent="0.25">
      <c r="A127" s="486" t="s">
        <v>91</v>
      </c>
      <c r="B127" s="487"/>
      <c r="C127" s="487"/>
      <c r="D127" s="488"/>
      <c r="E127" s="222">
        <f>E116+E117+E126</f>
        <v>270.67</v>
      </c>
    </row>
    <row r="128" spans="1:5" s="6" customFormat="1" ht="25.5" customHeight="1" x14ac:dyDescent="0.25">
      <c r="A128" s="401" t="s">
        <v>92</v>
      </c>
      <c r="B128" s="402"/>
      <c r="C128" s="402"/>
      <c r="D128" s="403"/>
      <c r="E128" s="186">
        <f>SUM(E127:E127)</f>
        <v>270.67</v>
      </c>
    </row>
    <row r="129" spans="1:7" s="6" customFormat="1" ht="15.6" customHeight="1" x14ac:dyDescent="0.25">
      <c r="A129" s="401" t="s">
        <v>93</v>
      </c>
      <c r="B129" s="402"/>
      <c r="C129" s="402"/>
      <c r="D129" s="402"/>
      <c r="E129" s="403"/>
    </row>
    <row r="130" spans="1:7" s="6" customFormat="1" ht="15.6" customHeight="1" x14ac:dyDescent="0.25">
      <c r="A130" s="401" t="s">
        <v>94</v>
      </c>
      <c r="B130" s="402"/>
      <c r="C130" s="402"/>
      <c r="D130" s="403"/>
      <c r="E130" s="47" t="s">
        <v>18</v>
      </c>
    </row>
    <row r="131" spans="1:7" s="6" customFormat="1" x14ac:dyDescent="0.25">
      <c r="A131" s="36" t="s">
        <v>2</v>
      </c>
      <c r="B131" s="475" t="s">
        <v>95</v>
      </c>
      <c r="C131" s="480"/>
      <c r="D131" s="476"/>
      <c r="E131" s="201">
        <f>E30</f>
        <v>1440.4</v>
      </c>
    </row>
    <row r="132" spans="1:7" s="6" customFormat="1" ht="15.6" customHeight="1" x14ac:dyDescent="0.25">
      <c r="A132" s="36" t="s">
        <v>4</v>
      </c>
      <c r="B132" s="475" t="s">
        <v>96</v>
      </c>
      <c r="C132" s="480"/>
      <c r="D132" s="476"/>
      <c r="E132" s="201">
        <f>+E67</f>
        <v>1267.92</v>
      </c>
    </row>
    <row r="133" spans="1:7" s="6" customFormat="1" x14ac:dyDescent="0.25">
      <c r="A133" s="36" t="s">
        <v>6</v>
      </c>
      <c r="B133" s="475" t="s">
        <v>97</v>
      </c>
      <c r="C133" s="480"/>
      <c r="D133" s="476"/>
      <c r="E133" s="201">
        <f>+E76</f>
        <v>90.02</v>
      </c>
    </row>
    <row r="134" spans="1:7" s="6" customFormat="1" ht="15.6" customHeight="1" x14ac:dyDescent="0.25">
      <c r="A134" s="36" t="s">
        <v>8</v>
      </c>
      <c r="B134" s="475" t="s">
        <v>98</v>
      </c>
      <c r="C134" s="480"/>
      <c r="D134" s="476"/>
      <c r="E134" s="201">
        <f>+E100</f>
        <v>53.11</v>
      </c>
    </row>
    <row r="135" spans="1:7" s="6" customFormat="1" ht="46.9" customHeight="1" x14ac:dyDescent="0.25">
      <c r="A135" s="36" t="s">
        <v>31</v>
      </c>
      <c r="B135" s="48" t="s">
        <v>99</v>
      </c>
      <c r="C135" s="49"/>
      <c r="D135" s="50"/>
      <c r="E135" s="201">
        <f>+E107</f>
        <v>7</v>
      </c>
      <c r="G135" s="6" t="s">
        <v>338</v>
      </c>
    </row>
    <row r="136" spans="1:7" s="6" customFormat="1" ht="15.6" customHeight="1" x14ac:dyDescent="0.25">
      <c r="A136" s="406" t="s">
        <v>100</v>
      </c>
      <c r="B136" s="407"/>
      <c r="C136" s="408"/>
      <c r="D136" s="51"/>
      <c r="E136" s="186">
        <f>SUM(E131:E135)</f>
        <v>2858.45</v>
      </c>
    </row>
    <row r="137" spans="1:7" s="6" customFormat="1" x14ac:dyDescent="0.25">
      <c r="A137" s="36" t="s">
        <v>33</v>
      </c>
      <c r="B137" s="475" t="s">
        <v>101</v>
      </c>
      <c r="C137" s="480"/>
      <c r="D137" s="476"/>
      <c r="E137" s="201">
        <f>E128</f>
        <v>270.67</v>
      </c>
      <c r="F137" s="17"/>
    </row>
    <row r="138" spans="1:7" s="6" customFormat="1" ht="16.149999999999999" customHeight="1" x14ac:dyDescent="0.25">
      <c r="A138" s="481" t="s">
        <v>102</v>
      </c>
      <c r="B138" s="481"/>
      <c r="C138" s="481"/>
      <c r="D138" s="481"/>
      <c r="E138" s="224">
        <f>+E136+E137</f>
        <v>3129.12</v>
      </c>
      <c r="F138" s="66"/>
    </row>
    <row r="139" spans="1:7" x14ac:dyDescent="0.25">
      <c r="A139" s="510"/>
      <c r="B139" s="510"/>
      <c r="C139" s="510"/>
      <c r="D139" s="510"/>
      <c r="E139" s="223"/>
    </row>
  </sheetData>
  <mergeCells count="117">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5:D105"/>
    <mergeCell ref="B106:D106"/>
    <mergeCell ref="A107:D107"/>
    <mergeCell ref="A108:C113"/>
    <mergeCell ref="A114:D114"/>
    <mergeCell ref="B115:D115"/>
    <mergeCell ref="B99:D99"/>
    <mergeCell ref="A100:D100"/>
    <mergeCell ref="A101:D101"/>
    <mergeCell ref="B102:D102"/>
    <mergeCell ref="B103:D103"/>
    <mergeCell ref="B104:D104"/>
    <mergeCell ref="A91:E91"/>
    <mergeCell ref="B92:D92"/>
    <mergeCell ref="B93:C93"/>
    <mergeCell ref="A94:C94"/>
    <mergeCell ref="A95:E95"/>
    <mergeCell ref="B96:D96"/>
    <mergeCell ref="B85:C85"/>
    <mergeCell ref="B86:C86"/>
    <mergeCell ref="B87:C87"/>
    <mergeCell ref="B88:C88"/>
    <mergeCell ref="B89:C89"/>
    <mergeCell ref="A90:C90"/>
    <mergeCell ref="A76:D76"/>
    <mergeCell ref="A77:C80"/>
    <mergeCell ref="A81:D81"/>
    <mergeCell ref="A82:E82"/>
    <mergeCell ref="B83:D83"/>
    <mergeCell ref="B84:C84"/>
    <mergeCell ref="B70:C70"/>
    <mergeCell ref="B71:C71"/>
    <mergeCell ref="B72:C72"/>
    <mergeCell ref="B73:C73"/>
    <mergeCell ref="B74:C74"/>
    <mergeCell ref="B75:C75"/>
    <mergeCell ref="A61:D61"/>
    <mergeCell ref="A62:E62"/>
    <mergeCell ref="B63:D63"/>
    <mergeCell ref="A67:D67"/>
    <mergeCell ref="A68:E68"/>
    <mergeCell ref="B69:D69"/>
    <mergeCell ref="B55:D55"/>
    <mergeCell ref="B56:D56"/>
    <mergeCell ref="B57:D57"/>
    <mergeCell ref="B58:D58"/>
    <mergeCell ref="B59:D59"/>
    <mergeCell ref="B60:D60"/>
    <mergeCell ref="B49:C49"/>
    <mergeCell ref="B50:C50"/>
    <mergeCell ref="A51:C51"/>
    <mergeCell ref="B52:E52"/>
    <mergeCell ref="B53:D53"/>
    <mergeCell ref="B54:D54"/>
    <mergeCell ref="B43:C43"/>
    <mergeCell ref="B44:C44"/>
    <mergeCell ref="B45:C45"/>
    <mergeCell ref="B46:C46"/>
    <mergeCell ref="B47:C47"/>
    <mergeCell ref="B48:C48"/>
    <mergeCell ref="B35:C35"/>
    <mergeCell ref="A36:C36"/>
    <mergeCell ref="A37:D37"/>
    <mergeCell ref="A38:C40"/>
    <mergeCell ref="A41:E41"/>
    <mergeCell ref="B42:D42"/>
    <mergeCell ref="C28:D28"/>
    <mergeCell ref="A29:D29"/>
    <mergeCell ref="A30:D30"/>
    <mergeCell ref="A31:E31"/>
    <mergeCell ref="B32:E32"/>
    <mergeCell ref="B33:D33"/>
    <mergeCell ref="A22:E22"/>
    <mergeCell ref="B23:D23"/>
    <mergeCell ref="C24:D24"/>
    <mergeCell ref="C25:D25"/>
    <mergeCell ref="C26:D26"/>
    <mergeCell ref="C27:D27"/>
    <mergeCell ref="A16:D16"/>
    <mergeCell ref="C17:E17"/>
    <mergeCell ref="C18:E18"/>
    <mergeCell ref="C19:E19"/>
    <mergeCell ref="C20:E20"/>
    <mergeCell ref="C21:E21"/>
    <mergeCell ref="A12:B12"/>
    <mergeCell ref="D12:E12"/>
    <mergeCell ref="A13:B13"/>
    <mergeCell ref="D13:E13"/>
    <mergeCell ref="A14:E14"/>
    <mergeCell ref="A15:E15"/>
    <mergeCell ref="A6:E6"/>
    <mergeCell ref="C7:E7"/>
    <mergeCell ref="C8:E8"/>
    <mergeCell ref="C9:E9"/>
    <mergeCell ref="C10:E10"/>
    <mergeCell ref="A11:E11"/>
    <mergeCell ref="A1:E2"/>
    <mergeCell ref="A3:C3"/>
    <mergeCell ref="D3:E3"/>
    <mergeCell ref="A4:C4"/>
    <mergeCell ref="D4:E4"/>
    <mergeCell ref="B5:E5"/>
  </mergeCells>
  <hyperlinks>
    <hyperlink ref="B73" location="Plan2!A1" display="Aviso prévio trabalhado" xr:uid="{467FD5CB-A186-4DC0-BEC7-8E3B11B6F286}"/>
    <hyperlink ref="B48" r:id="rId1" display="08 - Sebrae 0,3% ou 0,6% - IN nº 03, MPS/SRP/2005, Anexo II e III ver código da Tabela" xr:uid="{C4008F34-119E-4142-A638-5C1DC0049D59}"/>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9CFFB-3B29-4777-8D2D-3AEA6BFD63A5}">
  <sheetPr>
    <pageSetUpPr fitToPage="1"/>
  </sheetPr>
  <dimension ref="A1:I139"/>
  <sheetViews>
    <sheetView topLeftCell="A91" zoomScale="115" zoomScaleNormal="115" workbookViewId="0">
      <selection activeCell="B105" sqref="B105:D105"/>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39" t="s">
        <v>0</v>
      </c>
      <c r="B1" s="440"/>
      <c r="C1" s="440"/>
      <c r="D1" s="440"/>
      <c r="E1" s="441"/>
    </row>
    <row r="2" spans="1:7" ht="13.5" customHeight="1" thickBot="1" x14ac:dyDescent="0.3">
      <c r="A2" s="442"/>
      <c r="B2" s="443"/>
      <c r="C2" s="443"/>
      <c r="D2" s="443"/>
      <c r="E2" s="444"/>
    </row>
    <row r="3" spans="1:7" ht="15" customHeight="1" x14ac:dyDescent="0.25">
      <c r="A3" s="445" t="s">
        <v>112</v>
      </c>
      <c r="B3" s="446"/>
      <c r="C3" s="447"/>
      <c r="D3" s="448" t="s">
        <v>310</v>
      </c>
      <c r="E3" s="449"/>
    </row>
    <row r="4" spans="1:7" ht="15" customHeight="1" x14ac:dyDescent="0.25">
      <c r="A4" s="445" t="s">
        <v>113</v>
      </c>
      <c r="B4" s="446"/>
      <c r="C4" s="447"/>
      <c r="D4" s="450" t="s">
        <v>397</v>
      </c>
      <c r="E4" s="451"/>
    </row>
    <row r="5" spans="1:7" x14ac:dyDescent="0.25">
      <c r="A5" s="241"/>
      <c r="B5" s="452" t="s">
        <v>311</v>
      </c>
      <c r="C5" s="452"/>
      <c r="D5" s="452"/>
      <c r="E5" s="453"/>
    </row>
    <row r="6" spans="1:7" x14ac:dyDescent="0.25">
      <c r="A6" s="454" t="s">
        <v>1</v>
      </c>
      <c r="B6" s="455"/>
      <c r="C6" s="455"/>
      <c r="D6" s="455"/>
      <c r="E6" s="456"/>
    </row>
    <row r="7" spans="1:7" ht="31.5" customHeight="1" x14ac:dyDescent="0.25">
      <c r="A7" s="4" t="s">
        <v>2</v>
      </c>
      <c r="B7" s="5" t="s">
        <v>3</v>
      </c>
      <c r="C7" s="463" t="s">
        <v>312</v>
      </c>
      <c r="D7" s="464"/>
      <c r="E7" s="465"/>
    </row>
    <row r="8" spans="1:7" ht="16.149999999999999" customHeight="1" x14ac:dyDescent="0.25">
      <c r="A8" s="4" t="s">
        <v>4</v>
      </c>
      <c r="B8" s="5" t="s">
        <v>5</v>
      </c>
      <c r="C8" s="466" t="s">
        <v>347</v>
      </c>
      <c r="D8" s="467"/>
      <c r="E8" s="468"/>
    </row>
    <row r="9" spans="1:7" ht="22.5" customHeight="1" x14ac:dyDescent="0.25">
      <c r="A9" s="4" t="s">
        <v>6</v>
      </c>
      <c r="B9" s="5" t="s">
        <v>7</v>
      </c>
      <c r="C9" s="466" t="s">
        <v>313</v>
      </c>
      <c r="D9" s="467"/>
      <c r="E9" s="468"/>
    </row>
    <row r="10" spans="1:7" ht="32.25" customHeight="1" x14ac:dyDescent="0.25">
      <c r="A10" s="4" t="s">
        <v>8</v>
      </c>
      <c r="B10" s="5" t="s">
        <v>9</v>
      </c>
      <c r="C10" s="466" t="s">
        <v>10</v>
      </c>
      <c r="D10" s="467"/>
      <c r="E10" s="468"/>
    </row>
    <row r="11" spans="1:7" x14ac:dyDescent="0.25">
      <c r="A11" s="454" t="s">
        <v>11</v>
      </c>
      <c r="B11" s="455"/>
      <c r="C11" s="455"/>
      <c r="D11" s="455"/>
      <c r="E11" s="456"/>
    </row>
    <row r="12" spans="1:7" ht="33.75" customHeight="1" x14ac:dyDescent="0.25">
      <c r="A12" s="469" t="s">
        <v>12</v>
      </c>
      <c r="B12" s="470"/>
      <c r="C12" s="7" t="s">
        <v>13</v>
      </c>
      <c r="D12" s="471" t="s">
        <v>332</v>
      </c>
      <c r="E12" s="472"/>
    </row>
    <row r="13" spans="1:7" ht="24.75" customHeight="1" x14ac:dyDescent="0.25">
      <c r="A13" s="473" t="s">
        <v>181</v>
      </c>
      <c r="B13" s="474"/>
      <c r="C13" s="8" t="s">
        <v>315</v>
      </c>
      <c r="D13" s="417">
        <v>3</v>
      </c>
      <c r="E13" s="419"/>
    </row>
    <row r="14" spans="1:7" ht="23.25" customHeight="1" x14ac:dyDescent="0.25">
      <c r="A14" s="457" t="s">
        <v>15</v>
      </c>
      <c r="B14" s="458"/>
      <c r="C14" s="458"/>
      <c r="D14" s="458"/>
      <c r="E14" s="459"/>
    </row>
    <row r="15" spans="1:7" x14ac:dyDescent="0.25">
      <c r="A15" s="460" t="s">
        <v>16</v>
      </c>
      <c r="B15" s="461"/>
      <c r="C15" s="461"/>
      <c r="D15" s="461"/>
      <c r="E15" s="462"/>
    </row>
    <row r="16" spans="1:7" ht="27.75" customHeight="1" x14ac:dyDescent="0.25">
      <c r="A16" s="409" t="s">
        <v>17</v>
      </c>
      <c r="B16" s="410"/>
      <c r="C16" s="410"/>
      <c r="D16" s="411"/>
      <c r="E16" s="56" t="s">
        <v>18</v>
      </c>
      <c r="G16" s="9"/>
    </row>
    <row r="17" spans="1:8" ht="31.5" customHeight="1" x14ac:dyDescent="0.25">
      <c r="A17" s="4">
        <v>1</v>
      </c>
      <c r="B17" s="10" t="s">
        <v>103</v>
      </c>
      <c r="C17" s="417" t="s">
        <v>341</v>
      </c>
      <c r="D17" s="418"/>
      <c r="E17" s="419"/>
    </row>
    <row r="18" spans="1:8" ht="31.5" customHeight="1" x14ac:dyDescent="0.25">
      <c r="A18" s="4">
        <v>2</v>
      </c>
      <c r="B18" s="10" t="s">
        <v>19</v>
      </c>
      <c r="C18" s="417" t="s">
        <v>342</v>
      </c>
      <c r="D18" s="418"/>
      <c r="E18" s="419"/>
    </row>
    <row r="19" spans="1:8" ht="31.5" customHeight="1" x14ac:dyDescent="0.25">
      <c r="A19" s="4">
        <v>3</v>
      </c>
      <c r="B19" s="10" t="s">
        <v>20</v>
      </c>
      <c r="C19" s="420">
        <v>1108</v>
      </c>
      <c r="D19" s="421"/>
      <c r="E19" s="422"/>
    </row>
    <row r="20" spans="1:8" ht="48" customHeight="1" x14ac:dyDescent="0.25">
      <c r="A20" s="4">
        <v>4</v>
      </c>
      <c r="B20" s="10" t="s">
        <v>22</v>
      </c>
      <c r="C20" s="417" t="s">
        <v>318</v>
      </c>
      <c r="D20" s="418"/>
      <c r="E20" s="419"/>
    </row>
    <row r="21" spans="1:8" ht="28.5" customHeight="1" x14ac:dyDescent="0.25">
      <c r="A21" s="4">
        <v>5</v>
      </c>
      <c r="B21" s="11" t="s">
        <v>23</v>
      </c>
      <c r="C21" s="423" t="s">
        <v>123</v>
      </c>
      <c r="D21" s="424"/>
      <c r="E21" s="425"/>
    </row>
    <row r="22" spans="1:8" s="6" customFormat="1" ht="27" customHeight="1" x14ac:dyDescent="0.25">
      <c r="A22" s="428" t="s">
        <v>24</v>
      </c>
      <c r="B22" s="429"/>
      <c r="C22" s="429"/>
      <c r="D22" s="429"/>
      <c r="E22" s="430"/>
    </row>
    <row r="23" spans="1:8" s="6" customFormat="1" ht="22.5" customHeight="1" x14ac:dyDescent="0.25">
      <c r="A23" s="57">
        <v>1</v>
      </c>
      <c r="B23" s="409" t="s">
        <v>25</v>
      </c>
      <c r="C23" s="410"/>
      <c r="D23" s="411"/>
      <c r="E23" s="56" t="s">
        <v>18</v>
      </c>
    </row>
    <row r="24" spans="1:8" ht="26.25" customHeight="1" x14ac:dyDescent="0.25">
      <c r="A24" s="12" t="s">
        <v>2</v>
      </c>
      <c r="B24" s="58" t="s">
        <v>27</v>
      </c>
      <c r="C24" s="379"/>
      <c r="D24" s="380"/>
      <c r="E24" s="172">
        <v>1108</v>
      </c>
    </row>
    <row r="25" spans="1:8" ht="26.25" customHeight="1" x14ac:dyDescent="0.25">
      <c r="A25" s="13" t="s">
        <v>4</v>
      </c>
      <c r="B25" s="59" t="s">
        <v>28</v>
      </c>
      <c r="C25" s="381" t="s">
        <v>114</v>
      </c>
      <c r="D25" s="382"/>
      <c r="E25" s="173">
        <f>TRUNC((+E24*30%),2)</f>
        <v>332.4</v>
      </c>
    </row>
    <row r="26" spans="1:8" x14ac:dyDescent="0.25">
      <c r="A26" s="13" t="s">
        <v>6</v>
      </c>
      <c r="B26" s="59" t="s">
        <v>29</v>
      </c>
      <c r="C26" s="383"/>
      <c r="D26" s="384"/>
      <c r="E26" s="173"/>
    </row>
    <row r="27" spans="1:8" x14ac:dyDescent="0.25">
      <c r="A27" s="13" t="s">
        <v>8</v>
      </c>
      <c r="B27" s="59" t="s">
        <v>30</v>
      </c>
      <c r="C27" s="383"/>
      <c r="D27" s="384"/>
      <c r="E27" s="173"/>
      <c r="H27" s="14"/>
    </row>
    <row r="28" spans="1:8" x14ac:dyDescent="0.2">
      <c r="A28" s="13" t="s">
        <v>31</v>
      </c>
      <c r="B28" s="59" t="s">
        <v>32</v>
      </c>
      <c r="C28" s="385"/>
      <c r="D28" s="384"/>
      <c r="E28" s="173"/>
      <c r="F28" s="60"/>
    </row>
    <row r="29" spans="1:8" x14ac:dyDescent="0.25">
      <c r="A29" s="398" t="s">
        <v>35</v>
      </c>
      <c r="B29" s="399"/>
      <c r="C29" s="399"/>
      <c r="D29" s="400"/>
      <c r="E29" s="171">
        <f>SUM(E24:E28)</f>
        <v>1440.4</v>
      </c>
    </row>
    <row r="30" spans="1:8" s="6" customFormat="1" ht="25.5" customHeight="1" x14ac:dyDescent="0.25">
      <c r="A30" s="401" t="s">
        <v>36</v>
      </c>
      <c r="B30" s="402"/>
      <c r="C30" s="402"/>
      <c r="D30" s="403"/>
      <c r="E30" s="171">
        <f>SUM(E29:E29)</f>
        <v>1440.4</v>
      </c>
    </row>
    <row r="31" spans="1:8" s="6" customFormat="1" ht="25.5" customHeight="1" x14ac:dyDescent="0.25">
      <c r="A31" s="428" t="s">
        <v>37</v>
      </c>
      <c r="B31" s="429"/>
      <c r="C31" s="429"/>
      <c r="D31" s="429"/>
      <c r="E31" s="430"/>
    </row>
    <row r="32" spans="1:8" s="6" customFormat="1" ht="25.5" customHeight="1" x14ac:dyDescent="0.25">
      <c r="A32" s="16"/>
      <c r="B32" s="404" t="s">
        <v>38</v>
      </c>
      <c r="C32" s="404"/>
      <c r="D32" s="404"/>
      <c r="E32" s="405"/>
    </row>
    <row r="33" spans="1:7" s="6" customFormat="1" ht="25.5" customHeight="1" x14ac:dyDescent="0.25">
      <c r="A33" s="57" t="s">
        <v>39</v>
      </c>
      <c r="B33" s="409" t="s">
        <v>40</v>
      </c>
      <c r="C33" s="410"/>
      <c r="D33" s="411"/>
      <c r="E33" s="56" t="s">
        <v>18</v>
      </c>
      <c r="G33" s="17"/>
    </row>
    <row r="34" spans="1:7" s="6" customFormat="1" ht="25.5" customHeight="1" x14ac:dyDescent="0.25">
      <c r="A34" s="18" t="s">
        <v>2</v>
      </c>
      <c r="B34" s="19" t="s">
        <v>320</v>
      </c>
      <c r="C34" s="20"/>
      <c r="D34" s="178">
        <f>(1/12)</f>
        <v>8.3333000000000004E-2</v>
      </c>
      <c r="E34" s="171">
        <f>TRUNC($E$30*D34,2)</f>
        <v>120.03</v>
      </c>
    </row>
    <row r="35" spans="1:7" s="6" customFormat="1" ht="25.5" customHeight="1" x14ac:dyDescent="0.25">
      <c r="A35" s="18" t="s">
        <v>4</v>
      </c>
      <c r="B35" s="426" t="s">
        <v>319</v>
      </c>
      <c r="C35" s="427"/>
      <c r="D35" s="176">
        <v>0.121</v>
      </c>
      <c r="E35" s="171">
        <f>TRUNC($E$30*D35,2)</f>
        <v>174.28</v>
      </c>
    </row>
    <row r="36" spans="1:7" s="6" customFormat="1" ht="25.5" customHeight="1" x14ac:dyDescent="0.25">
      <c r="A36" s="386" t="s">
        <v>35</v>
      </c>
      <c r="B36" s="387"/>
      <c r="C36" s="388"/>
      <c r="D36" s="177">
        <f>SUM(D34:D35)</f>
        <v>0.20433000000000001</v>
      </c>
      <c r="E36" s="171">
        <f>SUM(E34:E35)</f>
        <v>294.31</v>
      </c>
    </row>
    <row r="37" spans="1:7" s="6" customFormat="1" ht="25.5" customHeight="1" thickBot="1" x14ac:dyDescent="0.3">
      <c r="A37" s="389" t="s">
        <v>41</v>
      </c>
      <c r="B37" s="390"/>
      <c r="C37" s="390"/>
      <c r="D37" s="391"/>
      <c r="E37" s="179">
        <f>SUM(E36:E36)</f>
        <v>294.31</v>
      </c>
    </row>
    <row r="38" spans="1:7" s="6" customFormat="1" ht="25.5" customHeight="1" thickTop="1" thickBot="1" x14ac:dyDescent="0.3">
      <c r="A38" s="392" t="s">
        <v>42</v>
      </c>
      <c r="B38" s="392"/>
      <c r="C38" s="393"/>
      <c r="D38" s="239" t="s">
        <v>43</v>
      </c>
      <c r="E38" s="182">
        <f>E30</f>
        <v>1440.4</v>
      </c>
    </row>
    <row r="39" spans="1:7" s="6" customFormat="1" ht="22.5" customHeight="1" thickTop="1" thickBot="1" x14ac:dyDescent="0.3">
      <c r="A39" s="394"/>
      <c r="B39" s="394"/>
      <c r="C39" s="395"/>
      <c r="D39" s="239" t="s">
        <v>44</v>
      </c>
      <c r="E39" s="183">
        <f>E37</f>
        <v>294.31</v>
      </c>
    </row>
    <row r="40" spans="1:7" s="6" customFormat="1" ht="22.5" customHeight="1" thickTop="1" x14ac:dyDescent="0.25">
      <c r="A40" s="394"/>
      <c r="B40" s="394"/>
      <c r="C40" s="395"/>
      <c r="D40" s="181" t="s">
        <v>35</v>
      </c>
      <c r="E40" s="184">
        <f>SUM(E38:E39)</f>
        <v>1734.71</v>
      </c>
    </row>
    <row r="41" spans="1:7" s="6" customFormat="1" ht="42" customHeight="1" x14ac:dyDescent="0.25">
      <c r="A41" s="498" t="s">
        <v>321</v>
      </c>
      <c r="B41" s="499"/>
      <c r="C41" s="499"/>
      <c r="D41" s="499"/>
      <c r="E41" s="499"/>
      <c r="F41" s="22"/>
    </row>
    <row r="42" spans="1:7" s="6" customFormat="1" ht="22.5" customHeight="1" x14ac:dyDescent="0.25">
      <c r="A42" s="57" t="s">
        <v>45</v>
      </c>
      <c r="B42" s="409" t="s">
        <v>46</v>
      </c>
      <c r="C42" s="410"/>
      <c r="D42" s="411"/>
      <c r="E42" s="56" t="s">
        <v>18</v>
      </c>
      <c r="F42" s="22"/>
    </row>
    <row r="43" spans="1:7" s="6" customFormat="1" ht="22.5" customHeight="1" x14ac:dyDescent="0.25">
      <c r="A43" s="1" t="s">
        <v>2</v>
      </c>
      <c r="B43" s="396" t="s">
        <v>14</v>
      </c>
      <c r="C43" s="397"/>
      <c r="D43" s="24">
        <v>0.2</v>
      </c>
      <c r="E43" s="171">
        <f t="shared" ref="E43:E50" si="0">TRUNC($E$40*D43,2)</f>
        <v>346.94</v>
      </c>
      <c r="F43" s="22"/>
    </row>
    <row r="44" spans="1:7" s="6" customFormat="1" ht="22.5" customHeight="1" x14ac:dyDescent="0.25">
      <c r="A44" s="1" t="s">
        <v>4</v>
      </c>
      <c r="B44" s="396" t="s">
        <v>47</v>
      </c>
      <c r="C44" s="397"/>
      <c r="D44" s="197">
        <v>2.5000000000000001E-2</v>
      </c>
      <c r="E44" s="171">
        <f t="shared" si="0"/>
        <v>43.36</v>
      </c>
      <c r="F44" s="23"/>
    </row>
    <row r="45" spans="1:7" s="6" customFormat="1" ht="22.5" customHeight="1" x14ac:dyDescent="0.25">
      <c r="A45" s="1" t="s">
        <v>6</v>
      </c>
      <c r="B45" s="396" t="s">
        <v>115</v>
      </c>
      <c r="C45" s="397"/>
      <c r="D45" s="197">
        <v>0</v>
      </c>
      <c r="E45" s="171">
        <f t="shared" si="0"/>
        <v>0</v>
      </c>
    </row>
    <row r="46" spans="1:7" s="6" customFormat="1" ht="22.5" customHeight="1" x14ac:dyDescent="0.25">
      <c r="A46" s="1" t="s">
        <v>8</v>
      </c>
      <c r="B46" s="396" t="s">
        <v>48</v>
      </c>
      <c r="C46" s="397"/>
      <c r="D46" s="197">
        <v>1.4999999999999999E-2</v>
      </c>
      <c r="E46" s="171">
        <f t="shared" si="0"/>
        <v>26.02</v>
      </c>
      <c r="F46" s="22"/>
    </row>
    <row r="47" spans="1:7" s="6" customFormat="1" ht="22.5" customHeight="1" x14ac:dyDescent="0.25">
      <c r="A47" s="1" t="s">
        <v>31</v>
      </c>
      <c r="B47" s="396" t="s">
        <v>49</v>
      </c>
      <c r="C47" s="397"/>
      <c r="D47" s="197">
        <v>0.01</v>
      </c>
      <c r="E47" s="171">
        <f t="shared" si="0"/>
        <v>17.34</v>
      </c>
      <c r="F47" s="25"/>
    </row>
    <row r="48" spans="1:7" s="6" customFormat="1" ht="22.5" customHeight="1" x14ac:dyDescent="0.25">
      <c r="A48" s="1" t="s">
        <v>33</v>
      </c>
      <c r="B48" s="396" t="s">
        <v>50</v>
      </c>
      <c r="C48" s="397"/>
      <c r="D48" s="197">
        <v>6.0000000000000001E-3</v>
      </c>
      <c r="E48" s="171">
        <f t="shared" si="0"/>
        <v>10.4</v>
      </c>
    </row>
    <row r="49" spans="1:5" s="6" customFormat="1" ht="22.5" customHeight="1" x14ac:dyDescent="0.25">
      <c r="A49" s="1" t="s">
        <v>34</v>
      </c>
      <c r="B49" s="396" t="s">
        <v>51</v>
      </c>
      <c r="C49" s="397"/>
      <c r="D49" s="197">
        <v>2E-3</v>
      </c>
      <c r="E49" s="171">
        <f t="shared" si="0"/>
        <v>3.46</v>
      </c>
    </row>
    <row r="50" spans="1:5" s="6" customFormat="1" ht="22.5" customHeight="1" x14ac:dyDescent="0.25">
      <c r="A50" s="1" t="s">
        <v>52</v>
      </c>
      <c r="B50" s="396" t="s">
        <v>53</v>
      </c>
      <c r="C50" s="397"/>
      <c r="D50" s="197">
        <v>0.08</v>
      </c>
      <c r="E50" s="171">
        <f t="shared" si="0"/>
        <v>138.77000000000001</v>
      </c>
    </row>
    <row r="51" spans="1:5" s="6" customFormat="1" ht="22.5" customHeight="1" x14ac:dyDescent="0.25">
      <c r="A51" s="406" t="s">
        <v>35</v>
      </c>
      <c r="B51" s="407"/>
      <c r="C51" s="408"/>
      <c r="D51" s="185">
        <f>SUM(D43:D50)</f>
        <v>0.33800000000000002</v>
      </c>
      <c r="E51" s="186">
        <f>SUM(E43:E50)</f>
        <v>586.29</v>
      </c>
    </row>
    <row r="52" spans="1:5" s="6" customFormat="1" ht="25.5" customHeight="1" x14ac:dyDescent="0.25">
      <c r="A52" s="16"/>
      <c r="B52" s="404" t="s">
        <v>124</v>
      </c>
      <c r="C52" s="404"/>
      <c r="D52" s="404"/>
      <c r="E52" s="405"/>
    </row>
    <row r="53" spans="1:5" ht="25.5" customHeight="1" x14ac:dyDescent="0.25">
      <c r="A53" s="57" t="s">
        <v>54</v>
      </c>
      <c r="B53" s="409" t="s">
        <v>55</v>
      </c>
      <c r="C53" s="410"/>
      <c r="D53" s="411"/>
      <c r="E53" s="56" t="s">
        <v>18</v>
      </c>
    </row>
    <row r="54" spans="1:5" ht="25.5" customHeight="1" x14ac:dyDescent="0.25">
      <c r="A54" s="1" t="s">
        <v>2</v>
      </c>
      <c r="B54" s="475" t="s">
        <v>322</v>
      </c>
      <c r="C54" s="480"/>
      <c r="D54" s="476"/>
      <c r="E54" s="171">
        <v>0</v>
      </c>
    </row>
    <row r="55" spans="1:5" ht="25.5" customHeight="1" x14ac:dyDescent="0.25">
      <c r="A55" s="1" t="s">
        <v>4</v>
      </c>
      <c r="B55" s="475" t="s">
        <v>323</v>
      </c>
      <c r="C55" s="480"/>
      <c r="D55" s="476"/>
      <c r="E55" s="171">
        <f>'Uniforme + Transport. + V. Alim'!F34</f>
        <v>220</v>
      </c>
    </row>
    <row r="56" spans="1:5" ht="25.5" customHeight="1" x14ac:dyDescent="0.25">
      <c r="A56" s="1" t="s">
        <v>6</v>
      </c>
      <c r="B56" s="475" t="s">
        <v>324</v>
      </c>
      <c r="C56" s="480"/>
      <c r="D56" s="476"/>
      <c r="E56" s="171">
        <f>TRUNC(((E30*3%)/12*3),2)</f>
        <v>10.8</v>
      </c>
    </row>
    <row r="57" spans="1:5" ht="25.5" customHeight="1" x14ac:dyDescent="0.25">
      <c r="A57" s="1" t="s">
        <v>8</v>
      </c>
      <c r="B57" s="475" t="s">
        <v>325</v>
      </c>
      <c r="C57" s="480"/>
      <c r="D57" s="476"/>
      <c r="E57" s="171">
        <v>5</v>
      </c>
    </row>
    <row r="58" spans="1:5" ht="25.5" customHeight="1" x14ac:dyDescent="0.25">
      <c r="A58" s="1" t="s">
        <v>31</v>
      </c>
      <c r="B58" s="475" t="s">
        <v>326</v>
      </c>
      <c r="C58" s="480"/>
      <c r="D58" s="476"/>
      <c r="E58" s="171">
        <v>18</v>
      </c>
    </row>
    <row r="59" spans="1:5" ht="35.25" customHeight="1" x14ac:dyDescent="0.25">
      <c r="A59" s="1" t="s">
        <v>33</v>
      </c>
      <c r="B59" s="475" t="s">
        <v>327</v>
      </c>
      <c r="C59" s="480"/>
      <c r="D59" s="476"/>
      <c r="E59" s="173">
        <v>24</v>
      </c>
    </row>
    <row r="60" spans="1:5" ht="25.5" customHeight="1" x14ac:dyDescent="0.25">
      <c r="A60" s="1" t="s">
        <v>34</v>
      </c>
      <c r="B60" s="475" t="s">
        <v>328</v>
      </c>
      <c r="C60" s="480"/>
      <c r="D60" s="476"/>
      <c r="E60" s="171">
        <v>0</v>
      </c>
    </row>
    <row r="61" spans="1:5" s="6" customFormat="1" ht="25.5" customHeight="1" x14ac:dyDescent="0.25">
      <c r="A61" s="386" t="s">
        <v>56</v>
      </c>
      <c r="B61" s="387"/>
      <c r="C61" s="387"/>
      <c r="D61" s="388"/>
      <c r="E61" s="186">
        <f>SUM(E54:E60)</f>
        <v>277.8</v>
      </c>
    </row>
    <row r="62" spans="1:5" s="6" customFormat="1" ht="25.5" customHeight="1" x14ac:dyDescent="0.25">
      <c r="A62" s="431" t="s">
        <v>57</v>
      </c>
      <c r="B62" s="431"/>
      <c r="C62" s="431"/>
      <c r="D62" s="431"/>
      <c r="E62" s="432"/>
    </row>
    <row r="63" spans="1:5" s="6" customFormat="1" ht="25.5" customHeight="1" x14ac:dyDescent="0.25">
      <c r="A63" s="26">
        <v>2</v>
      </c>
      <c r="B63" s="433" t="s">
        <v>58</v>
      </c>
      <c r="C63" s="434"/>
      <c r="D63" s="435"/>
      <c r="E63" s="193" t="s">
        <v>18</v>
      </c>
    </row>
    <row r="64" spans="1:5" s="6" customFormat="1" ht="25.5" customHeight="1" x14ac:dyDescent="0.25">
      <c r="A64" s="26" t="s">
        <v>39</v>
      </c>
      <c r="B64" s="61" t="s">
        <v>40</v>
      </c>
      <c r="C64" s="62"/>
      <c r="D64" s="63"/>
      <c r="E64" s="194">
        <f>E37</f>
        <v>294.31</v>
      </c>
    </row>
    <row r="65" spans="1:8" s="6" customFormat="1" ht="25.5" customHeight="1" x14ac:dyDescent="0.25">
      <c r="A65" s="26" t="s">
        <v>45</v>
      </c>
      <c r="B65" s="61" t="s">
        <v>46</v>
      </c>
      <c r="C65" s="62"/>
      <c r="D65" s="63"/>
      <c r="E65" s="194">
        <f>E51</f>
        <v>586.29</v>
      </c>
    </row>
    <row r="66" spans="1:8" s="6" customFormat="1" ht="25.5" customHeight="1" x14ac:dyDescent="0.25">
      <c r="A66" s="26" t="s">
        <v>54</v>
      </c>
      <c r="B66" s="61" t="s">
        <v>55</v>
      </c>
      <c r="C66" s="62"/>
      <c r="D66" s="63"/>
      <c r="E66" s="194">
        <f>E61</f>
        <v>277.8</v>
      </c>
    </row>
    <row r="67" spans="1:8" s="6" customFormat="1" ht="25.5" customHeight="1" x14ac:dyDescent="0.25">
      <c r="A67" s="491" t="s">
        <v>35</v>
      </c>
      <c r="B67" s="478"/>
      <c r="C67" s="478"/>
      <c r="D67" s="479"/>
      <c r="E67" s="195">
        <f>SUM(E64:E66)</f>
        <v>1158.4000000000001</v>
      </c>
    </row>
    <row r="68" spans="1:8" s="6" customFormat="1" ht="25.5" customHeight="1" x14ac:dyDescent="0.25">
      <c r="A68" s="436" t="s">
        <v>59</v>
      </c>
      <c r="B68" s="436"/>
      <c r="C68" s="436"/>
      <c r="D68" s="436"/>
      <c r="E68" s="436"/>
      <c r="H68" s="28"/>
    </row>
    <row r="69" spans="1:8" s="6" customFormat="1" ht="25.5" customHeight="1" x14ac:dyDescent="0.25">
      <c r="A69" s="200">
        <v>3</v>
      </c>
      <c r="B69" s="409" t="s">
        <v>60</v>
      </c>
      <c r="C69" s="437"/>
      <c r="D69" s="438"/>
      <c r="E69" s="56" t="s">
        <v>18</v>
      </c>
      <c r="H69" s="29"/>
    </row>
    <row r="70" spans="1:8" s="6" customFormat="1" ht="25.5" customHeight="1" x14ac:dyDescent="0.25">
      <c r="A70" s="199" t="s">
        <v>2</v>
      </c>
      <c r="B70" s="415" t="s">
        <v>61</v>
      </c>
      <c r="C70" s="416"/>
      <c r="D70" s="178">
        <f>((1/12)*5%)</f>
        <v>4.1669999999999997E-3</v>
      </c>
      <c r="E70" s="201">
        <f>TRUNC(($E$30)*D70,2)</f>
        <v>6</v>
      </c>
    </row>
    <row r="71" spans="1:8" s="6" customFormat="1" ht="25.5" customHeight="1" x14ac:dyDescent="0.25">
      <c r="A71" s="199" t="s">
        <v>4</v>
      </c>
      <c r="B71" s="415" t="s">
        <v>116</v>
      </c>
      <c r="C71" s="416"/>
      <c r="D71" s="198">
        <f>+D50</f>
        <v>0.08</v>
      </c>
      <c r="E71" s="201">
        <f>TRUNC(+E70*D71,2)</f>
        <v>0.48</v>
      </c>
    </row>
    <row r="72" spans="1:8" s="6" customFormat="1" ht="25.5" customHeight="1" x14ac:dyDescent="0.25">
      <c r="A72" s="199" t="s">
        <v>6</v>
      </c>
      <c r="B72" s="415" t="s">
        <v>329</v>
      </c>
      <c r="C72" s="416"/>
      <c r="D72" s="178">
        <f>(0.4*0.08)*0.05</f>
        <v>1.6000000000000001E-3</v>
      </c>
      <c r="E72" s="201">
        <f>TRUNC(($E$30)*D72,2)</f>
        <v>2.2999999999999998</v>
      </c>
    </row>
    <row r="73" spans="1:8" s="6" customFormat="1" ht="25.5" customHeight="1" x14ac:dyDescent="0.25">
      <c r="A73" s="199" t="s">
        <v>8</v>
      </c>
      <c r="B73" s="503" t="s">
        <v>62</v>
      </c>
      <c r="C73" s="504"/>
      <c r="D73" s="198">
        <f>((7/30)/12)*100%</f>
        <v>1.9439999999999999E-2</v>
      </c>
      <c r="E73" s="201">
        <f>TRUNC(($E$30)*D73,2)</f>
        <v>28</v>
      </c>
    </row>
    <row r="74" spans="1:8" s="6" customFormat="1" ht="38.25" customHeight="1" x14ac:dyDescent="0.25">
      <c r="A74" s="199" t="s">
        <v>31</v>
      </c>
      <c r="B74" s="415" t="s">
        <v>104</v>
      </c>
      <c r="C74" s="416"/>
      <c r="D74" s="198">
        <f>+D51</f>
        <v>0.33800000000000002</v>
      </c>
      <c r="E74" s="201">
        <f>TRUNC(+E73*D74,2)</f>
        <v>9.4600000000000009</v>
      </c>
    </row>
    <row r="75" spans="1:8" s="6" customFormat="1" ht="25.5" customHeight="1" x14ac:dyDescent="0.25">
      <c r="A75" s="199" t="s">
        <v>33</v>
      </c>
      <c r="B75" s="505" t="s">
        <v>330</v>
      </c>
      <c r="C75" s="506"/>
      <c r="D75" s="196">
        <f>(40%*8%)*95%</f>
        <v>3.04E-2</v>
      </c>
      <c r="E75" s="201">
        <f>TRUNC(($E$30)*D75,2)</f>
        <v>43.78</v>
      </c>
    </row>
    <row r="76" spans="1:8" s="6" customFormat="1" ht="16.149999999999999" customHeight="1" thickBot="1" x14ac:dyDescent="0.3">
      <c r="A76" s="507" t="s">
        <v>35</v>
      </c>
      <c r="B76" s="508"/>
      <c r="C76" s="508"/>
      <c r="D76" s="509"/>
      <c r="E76" s="202">
        <f>SUM(E70:E75)</f>
        <v>90.02</v>
      </c>
    </row>
    <row r="77" spans="1:8" s="6" customFormat="1" ht="22.5" customHeight="1" thickTop="1" thickBot="1" x14ac:dyDescent="0.3">
      <c r="A77" s="489" t="s">
        <v>63</v>
      </c>
      <c r="B77" s="489"/>
      <c r="C77" s="489"/>
      <c r="D77" s="239" t="s">
        <v>43</v>
      </c>
      <c r="E77" s="180">
        <f>E30</f>
        <v>1440.4</v>
      </c>
    </row>
    <row r="78" spans="1:8" s="6" customFormat="1" ht="22.5" customHeight="1" thickTop="1" thickBot="1" x14ac:dyDescent="0.3">
      <c r="A78" s="489"/>
      <c r="B78" s="489"/>
      <c r="C78" s="489"/>
      <c r="D78" s="239" t="s">
        <v>64</v>
      </c>
      <c r="E78" s="180">
        <f>E67</f>
        <v>1158.4000000000001</v>
      </c>
    </row>
    <row r="79" spans="1:8" s="6" customFormat="1" ht="22.5" customHeight="1" thickTop="1" thickBot="1" x14ac:dyDescent="0.3">
      <c r="A79" s="489"/>
      <c r="B79" s="489"/>
      <c r="C79" s="489"/>
      <c r="D79" s="239" t="s">
        <v>65</v>
      </c>
      <c r="E79" s="180">
        <f>E76</f>
        <v>90.02</v>
      </c>
    </row>
    <row r="80" spans="1:8" s="6" customFormat="1" ht="23.25" customHeight="1" thickTop="1" thickBot="1" x14ac:dyDescent="0.3">
      <c r="A80" s="489"/>
      <c r="B80" s="489"/>
      <c r="C80" s="489"/>
      <c r="D80" s="31" t="s">
        <v>56</v>
      </c>
      <c r="E80" s="180">
        <f>SUM(E77:E79)</f>
        <v>2688.82</v>
      </c>
    </row>
    <row r="81" spans="1:5" s="6" customFormat="1" ht="23.25" customHeight="1" thickTop="1" x14ac:dyDescent="0.25">
      <c r="A81" s="428" t="s">
        <v>66</v>
      </c>
      <c r="B81" s="429"/>
      <c r="C81" s="429"/>
      <c r="D81" s="430"/>
      <c r="E81" s="240" t="s">
        <v>26</v>
      </c>
    </row>
    <row r="82" spans="1:5" s="6" customFormat="1" ht="26.25" customHeight="1" x14ac:dyDescent="0.25">
      <c r="A82" s="500" t="s">
        <v>117</v>
      </c>
      <c r="B82" s="501"/>
      <c r="C82" s="501"/>
      <c r="D82" s="501"/>
      <c r="E82" s="502"/>
    </row>
    <row r="83" spans="1:5" s="6" customFormat="1" ht="26.25" customHeight="1" x14ac:dyDescent="0.25">
      <c r="A83" s="57" t="s">
        <v>67</v>
      </c>
      <c r="B83" s="492" t="s">
        <v>105</v>
      </c>
      <c r="C83" s="493"/>
      <c r="D83" s="494"/>
      <c r="E83" s="56" t="s">
        <v>18</v>
      </c>
    </row>
    <row r="84" spans="1:5" s="6" customFormat="1" ht="26.25" customHeight="1" x14ac:dyDescent="0.25">
      <c r="A84" s="32" t="s">
        <v>2</v>
      </c>
      <c r="B84" s="477" t="s">
        <v>106</v>
      </c>
      <c r="C84" s="477"/>
      <c r="D84" s="192">
        <f>(( 1+1/3)/12)/12</f>
        <v>9.2599999999999991E-3</v>
      </c>
      <c r="E84" s="201">
        <f>TRUNC(+D84*$E$80,2)</f>
        <v>24.89</v>
      </c>
    </row>
    <row r="85" spans="1:5" s="6" customFormat="1" ht="26.25" customHeight="1" x14ac:dyDescent="0.25">
      <c r="A85" s="33" t="s">
        <v>4</v>
      </c>
      <c r="B85" s="477" t="s">
        <v>107</v>
      </c>
      <c r="C85" s="477"/>
      <c r="D85" s="196">
        <f>((2/30)/12)</f>
        <v>5.5599999999999998E-3</v>
      </c>
      <c r="E85" s="201">
        <f>TRUNC(+D85*$E$80,2)</f>
        <v>14.94</v>
      </c>
    </row>
    <row r="86" spans="1:5" s="6" customFormat="1" ht="26.25" customHeight="1" x14ac:dyDescent="0.25">
      <c r="A86" s="33" t="s">
        <v>6</v>
      </c>
      <c r="B86" s="477" t="s">
        <v>108</v>
      </c>
      <c r="C86" s="477"/>
      <c r="D86" s="192">
        <f>((5/30)/12)*0.02</f>
        <v>2.7999999999999998E-4</v>
      </c>
      <c r="E86" s="201">
        <f>TRUNC(+D86*$E$80,2)</f>
        <v>0.75</v>
      </c>
    </row>
    <row r="87" spans="1:5" s="6" customFormat="1" ht="26.25" customHeight="1" x14ac:dyDescent="0.25">
      <c r="A87" s="33" t="s">
        <v>8</v>
      </c>
      <c r="B87" s="477" t="s">
        <v>109</v>
      </c>
      <c r="C87" s="477"/>
      <c r="D87" s="192">
        <f>((15/30)/12)*0.08</f>
        <v>3.3300000000000001E-3</v>
      </c>
      <c r="E87" s="201">
        <f>TRUNC(+D87*$E$80,2)</f>
        <v>8.9499999999999993</v>
      </c>
    </row>
    <row r="88" spans="1:5" s="6" customFormat="1" ht="26.25" customHeight="1" x14ac:dyDescent="0.25">
      <c r="A88" s="33" t="s">
        <v>31</v>
      </c>
      <c r="B88" s="477" t="s">
        <v>110</v>
      </c>
      <c r="C88" s="477"/>
      <c r="D88" s="204">
        <f>(4/12)/12*0.02*100/100</f>
        <v>5.5999999999999995E-4</v>
      </c>
      <c r="E88" s="201">
        <f t="shared" ref="E88:E89" si="1">TRUNC(+D88*$E$80,2)</f>
        <v>1.5</v>
      </c>
    </row>
    <row r="89" spans="1:5" s="6" customFormat="1" ht="26.25" customHeight="1" x14ac:dyDescent="0.25">
      <c r="A89" s="33" t="s">
        <v>33</v>
      </c>
      <c r="B89" s="477" t="s">
        <v>111</v>
      </c>
      <c r="C89" s="477"/>
      <c r="D89" s="192">
        <v>0</v>
      </c>
      <c r="E89" s="201">
        <f t="shared" si="1"/>
        <v>0</v>
      </c>
    </row>
    <row r="90" spans="1:5" s="6" customFormat="1" ht="26.25" customHeight="1" x14ac:dyDescent="0.25">
      <c r="A90" s="401" t="s">
        <v>35</v>
      </c>
      <c r="B90" s="402"/>
      <c r="C90" s="403"/>
      <c r="D90" s="203"/>
      <c r="E90" s="186">
        <f>SUM(E84:E89)</f>
        <v>51.03</v>
      </c>
    </row>
    <row r="91" spans="1:5" s="6" customFormat="1" ht="23.25" customHeight="1" x14ac:dyDescent="0.25">
      <c r="A91" s="495" t="s">
        <v>331</v>
      </c>
      <c r="B91" s="496"/>
      <c r="C91" s="496"/>
      <c r="D91" s="496"/>
      <c r="E91" s="497"/>
    </row>
    <row r="92" spans="1:5" s="6" customFormat="1" ht="23.25" customHeight="1" x14ac:dyDescent="0.25">
      <c r="A92" s="57" t="s">
        <v>68</v>
      </c>
      <c r="B92" s="492" t="s">
        <v>118</v>
      </c>
      <c r="C92" s="493"/>
      <c r="D92" s="494"/>
      <c r="E92" s="56" t="s">
        <v>18</v>
      </c>
    </row>
    <row r="93" spans="1:5" s="6" customFormat="1" ht="59.25" customHeight="1" x14ac:dyDescent="0.25">
      <c r="A93" s="34" t="s">
        <v>2</v>
      </c>
      <c r="B93" s="475" t="s">
        <v>119</v>
      </c>
      <c r="C93" s="476"/>
      <c r="D93" s="24"/>
      <c r="E93" s="205">
        <v>0</v>
      </c>
    </row>
    <row r="94" spans="1:5" s="6" customFormat="1" ht="15.6" customHeight="1" x14ac:dyDescent="0.25">
      <c r="A94" s="401" t="s">
        <v>35</v>
      </c>
      <c r="B94" s="402"/>
      <c r="C94" s="403"/>
      <c r="D94" s="203"/>
      <c r="E94" s="186">
        <f>SUM(E93)</f>
        <v>0</v>
      </c>
    </row>
    <row r="95" spans="1:5" s="6" customFormat="1" ht="20.25" customHeight="1" x14ac:dyDescent="0.25">
      <c r="A95" s="490" t="s">
        <v>69</v>
      </c>
      <c r="B95" s="490"/>
      <c r="C95" s="490"/>
      <c r="D95" s="490"/>
      <c r="E95" s="490"/>
    </row>
    <row r="96" spans="1:5" s="6" customFormat="1" x14ac:dyDescent="0.25">
      <c r="A96" s="26">
        <v>4</v>
      </c>
      <c r="B96" s="433" t="s">
        <v>70</v>
      </c>
      <c r="C96" s="434"/>
      <c r="D96" s="435"/>
      <c r="E96" s="27" t="s">
        <v>18</v>
      </c>
    </row>
    <row r="97" spans="1:9" s="6" customFormat="1" ht="31.15" customHeight="1" x14ac:dyDescent="0.25">
      <c r="A97" s="26" t="s">
        <v>67</v>
      </c>
      <c r="B97" s="61" t="s">
        <v>105</v>
      </c>
      <c r="C97" s="62"/>
      <c r="D97" s="63"/>
      <c r="E97" s="194">
        <f>+E90</f>
        <v>51.03</v>
      </c>
    </row>
    <row r="98" spans="1:9" s="6" customFormat="1" x14ac:dyDescent="0.25">
      <c r="A98" s="26" t="s">
        <v>68</v>
      </c>
      <c r="B98" s="61" t="s">
        <v>118</v>
      </c>
      <c r="C98" s="62"/>
      <c r="D98" s="63"/>
      <c r="E98" s="186">
        <f>+E94</f>
        <v>0</v>
      </c>
    </row>
    <row r="99" spans="1:9" s="6" customFormat="1" ht="15" customHeight="1" x14ac:dyDescent="0.25">
      <c r="A99" s="64"/>
      <c r="B99" s="478" t="s">
        <v>35</v>
      </c>
      <c r="C99" s="478"/>
      <c r="D99" s="479"/>
      <c r="E99" s="195">
        <f>SUM(E97:E98)</f>
        <v>51.03</v>
      </c>
    </row>
    <row r="100" spans="1:9" s="6" customFormat="1" ht="25.5" customHeight="1" x14ac:dyDescent="0.25">
      <c r="A100" s="401" t="s">
        <v>71</v>
      </c>
      <c r="B100" s="402"/>
      <c r="C100" s="402"/>
      <c r="D100" s="403"/>
      <c r="E100" s="186">
        <f>SUM(E99:E99)</f>
        <v>51.03</v>
      </c>
    </row>
    <row r="101" spans="1:9" s="6" customFormat="1" x14ac:dyDescent="0.25">
      <c r="A101" s="428" t="s">
        <v>72</v>
      </c>
      <c r="B101" s="429"/>
      <c r="C101" s="429"/>
      <c r="D101" s="430"/>
      <c r="E101" s="174"/>
    </row>
    <row r="102" spans="1:9" s="6" customFormat="1" x14ac:dyDescent="0.25">
      <c r="A102" s="57">
        <v>5</v>
      </c>
      <c r="B102" s="409" t="s">
        <v>73</v>
      </c>
      <c r="C102" s="410"/>
      <c r="D102" s="411"/>
      <c r="E102" s="56" t="s">
        <v>18</v>
      </c>
    </row>
    <row r="103" spans="1:9" s="6" customFormat="1" ht="25.5" customHeight="1" x14ac:dyDescent="0.25">
      <c r="A103" s="1" t="s">
        <v>2</v>
      </c>
      <c r="B103" s="412" t="s">
        <v>333</v>
      </c>
      <c r="C103" s="413"/>
      <c r="D103" s="414"/>
      <c r="E103" s="201">
        <f>'Uniforme + Transport. + V. Alim'!F23</f>
        <v>0</v>
      </c>
    </row>
    <row r="104" spans="1:9" s="6" customFormat="1" ht="21.75" customHeight="1" x14ac:dyDescent="0.25">
      <c r="A104" s="1" t="s">
        <v>4</v>
      </c>
      <c r="B104" s="412" t="s">
        <v>400</v>
      </c>
      <c r="C104" s="413"/>
      <c r="D104" s="414"/>
      <c r="E104" s="205" cm="1">
        <f t="array" ref="E104:H104">'Material + Equip.'!E83:H83</f>
        <v>0</v>
      </c>
      <c r="F104" s="245">
        <v>0</v>
      </c>
      <c r="G104" s="245">
        <v>0</v>
      </c>
      <c r="H104" s="245">
        <v>0</v>
      </c>
      <c r="I104" s="245"/>
    </row>
    <row r="105" spans="1:9" s="6" customFormat="1" x14ac:dyDescent="0.25">
      <c r="A105" s="1" t="s">
        <v>6</v>
      </c>
      <c r="B105" s="412" t="s">
        <v>399</v>
      </c>
      <c r="C105" s="413"/>
      <c r="D105" s="414"/>
      <c r="E105" s="205" cm="1">
        <f t="array" ref="E105:H105">'Material + Equip.'!E84:H84</f>
        <v>0</v>
      </c>
      <c r="F105" s="246">
        <v>0</v>
      </c>
      <c r="G105" s="245">
        <v>0</v>
      </c>
      <c r="H105" s="245">
        <v>0</v>
      </c>
      <c r="I105" s="245"/>
    </row>
    <row r="106" spans="1:9" s="6" customFormat="1" ht="18.75" customHeight="1" x14ac:dyDescent="0.25">
      <c r="A106" s="1" t="s">
        <v>8</v>
      </c>
      <c r="B106" s="412" t="s">
        <v>336</v>
      </c>
      <c r="C106" s="413"/>
      <c r="D106" s="414"/>
      <c r="E106" s="201">
        <v>7</v>
      </c>
      <c r="F106" s="246"/>
      <c r="G106" s="245"/>
      <c r="H106" s="245"/>
      <c r="I106" s="245"/>
    </row>
    <row r="107" spans="1:9" s="6" customFormat="1" ht="16.149999999999999" customHeight="1" thickBot="1" x14ac:dyDescent="0.3">
      <c r="A107" s="401" t="s">
        <v>74</v>
      </c>
      <c r="B107" s="402"/>
      <c r="C107" s="402"/>
      <c r="D107" s="403"/>
      <c r="E107" s="186">
        <f>SUM(E103:E106)</f>
        <v>7</v>
      </c>
      <c r="F107" s="22"/>
    </row>
    <row r="108" spans="1:9" s="6" customFormat="1" ht="22.5" customHeight="1" thickTop="1" thickBot="1" x14ac:dyDescent="0.3">
      <c r="A108" s="489" t="s">
        <v>75</v>
      </c>
      <c r="B108" s="489"/>
      <c r="C108" s="489"/>
      <c r="D108" s="239" t="s">
        <v>43</v>
      </c>
      <c r="E108" s="180">
        <f>E30</f>
        <v>1440.4</v>
      </c>
    </row>
    <row r="109" spans="1:9" s="6" customFormat="1" ht="22.5" customHeight="1" thickTop="1" thickBot="1" x14ac:dyDescent="0.3">
      <c r="A109" s="489"/>
      <c r="B109" s="489"/>
      <c r="C109" s="489"/>
      <c r="D109" s="239" t="s">
        <v>64</v>
      </c>
      <c r="E109" s="180">
        <f>E67</f>
        <v>1158.4000000000001</v>
      </c>
    </row>
    <row r="110" spans="1:9" s="6" customFormat="1" ht="22.5" customHeight="1" thickTop="1" thickBot="1" x14ac:dyDescent="0.3">
      <c r="A110" s="489"/>
      <c r="B110" s="489"/>
      <c r="C110" s="489"/>
      <c r="D110" s="239" t="s">
        <v>65</v>
      </c>
      <c r="E110" s="180">
        <f>E76</f>
        <v>90.02</v>
      </c>
    </row>
    <row r="111" spans="1:9" s="6" customFormat="1" ht="22.5" customHeight="1" thickTop="1" thickBot="1" x14ac:dyDescent="0.3">
      <c r="A111" s="489"/>
      <c r="B111" s="489"/>
      <c r="C111" s="489"/>
      <c r="D111" s="239" t="s">
        <v>76</v>
      </c>
      <c r="E111" s="180">
        <f>E100</f>
        <v>51.03</v>
      </c>
    </row>
    <row r="112" spans="1:9" s="6" customFormat="1" ht="22.5" customHeight="1" thickTop="1" thickBot="1" x14ac:dyDescent="0.3">
      <c r="A112" s="489"/>
      <c r="B112" s="489"/>
      <c r="C112" s="489"/>
      <c r="D112" s="239" t="s">
        <v>77</v>
      </c>
      <c r="E112" s="180">
        <f>E107</f>
        <v>7</v>
      </c>
    </row>
    <row r="113" spans="1:5" s="6" customFormat="1" ht="22.5" customHeight="1" thickTop="1" thickBot="1" x14ac:dyDescent="0.3">
      <c r="A113" s="489"/>
      <c r="B113" s="489"/>
      <c r="C113" s="489"/>
      <c r="D113" s="31" t="s">
        <v>56</v>
      </c>
      <c r="E113" s="180">
        <f>SUM(E108:E112)</f>
        <v>2746.85</v>
      </c>
    </row>
    <row r="114" spans="1:5" s="6" customFormat="1" ht="13.5" thickTop="1" x14ac:dyDescent="0.25">
      <c r="A114" s="428" t="s">
        <v>78</v>
      </c>
      <c r="B114" s="429"/>
      <c r="C114" s="429" t="s">
        <v>79</v>
      </c>
      <c r="D114" s="430" t="s">
        <v>80</v>
      </c>
      <c r="E114" s="174"/>
    </row>
    <row r="115" spans="1:5" s="6" customFormat="1" x14ac:dyDescent="0.25">
      <c r="A115" s="57">
        <v>6</v>
      </c>
      <c r="B115" s="409" t="s">
        <v>81</v>
      </c>
      <c r="C115" s="410"/>
      <c r="D115" s="411"/>
      <c r="E115" s="56" t="s">
        <v>18</v>
      </c>
    </row>
    <row r="116" spans="1:5" s="6" customFormat="1" ht="31.15" customHeight="1" x14ac:dyDescent="0.25">
      <c r="A116" s="36" t="s">
        <v>2</v>
      </c>
      <c r="B116" s="35" t="s">
        <v>82</v>
      </c>
      <c r="C116" s="381">
        <v>0</v>
      </c>
      <c r="D116" s="382"/>
      <c r="E116" s="201">
        <f>TRUNC(+E113*C116,2)</f>
        <v>0</v>
      </c>
    </row>
    <row r="117" spans="1:5" s="6" customFormat="1" ht="31.9" customHeight="1" thickBot="1" x14ac:dyDescent="0.3">
      <c r="A117" s="36" t="s">
        <v>4</v>
      </c>
      <c r="B117" s="35" t="s">
        <v>83</v>
      </c>
      <c r="C117" s="482">
        <v>0</v>
      </c>
      <c r="D117" s="483"/>
      <c r="E117" s="201">
        <f>TRUNC(C117*(+E113+E116),2)</f>
        <v>0</v>
      </c>
    </row>
    <row r="118" spans="1:5" s="6" customFormat="1" ht="27" customHeight="1" thickBot="1" x14ac:dyDescent="0.3">
      <c r="A118" s="37"/>
      <c r="B118" s="65" t="s">
        <v>84</v>
      </c>
      <c r="C118" s="484" t="s">
        <v>85</v>
      </c>
      <c r="D118" s="485"/>
      <c r="E118" s="218">
        <f>SUM(E116:E117,E113)</f>
        <v>2746.85</v>
      </c>
    </row>
    <row r="119" spans="1:5" s="6" customFormat="1" ht="13.5" thickBot="1" x14ac:dyDescent="0.3">
      <c r="A119" s="38" t="s">
        <v>6</v>
      </c>
      <c r="B119" s="238" t="s">
        <v>86</v>
      </c>
      <c r="C119" s="206">
        <f>(D126*100)</f>
        <v>8.65</v>
      </c>
      <c r="D119" s="207">
        <f>+(100-C119)/100</f>
        <v>0.91349999999999998</v>
      </c>
      <c r="E119" s="219">
        <f>E118/D119</f>
        <v>3006.95</v>
      </c>
    </row>
    <row r="120" spans="1:5" s="6" customFormat="1" ht="15.6" customHeight="1" x14ac:dyDescent="0.25">
      <c r="A120" s="40"/>
      <c r="B120" s="41" t="s">
        <v>87</v>
      </c>
      <c r="C120" s="208"/>
      <c r="D120" s="209"/>
      <c r="E120" s="30"/>
    </row>
    <row r="121" spans="1:5" s="6" customFormat="1" x14ac:dyDescent="0.25">
      <c r="A121" s="40"/>
      <c r="B121" s="42" t="s">
        <v>120</v>
      </c>
      <c r="C121" s="210"/>
      <c r="D121" s="192">
        <v>6.4999999999999997E-3</v>
      </c>
      <c r="E121" s="201">
        <f>+E119*D121</f>
        <v>19.55</v>
      </c>
    </row>
    <row r="122" spans="1:5" s="6" customFormat="1" x14ac:dyDescent="0.25">
      <c r="A122" s="40"/>
      <c r="B122" s="42" t="s">
        <v>121</v>
      </c>
      <c r="C122" s="210"/>
      <c r="D122" s="192">
        <v>0.03</v>
      </c>
      <c r="E122" s="201">
        <f>+E119*D122</f>
        <v>90.21</v>
      </c>
    </row>
    <row r="123" spans="1:5" s="6" customFormat="1" x14ac:dyDescent="0.25">
      <c r="A123" s="40"/>
      <c r="B123" s="43" t="s">
        <v>88</v>
      </c>
      <c r="C123" s="211"/>
      <c r="D123" s="212"/>
      <c r="E123" s="201"/>
    </row>
    <row r="124" spans="1:5" s="6" customFormat="1" x14ac:dyDescent="0.25">
      <c r="A124" s="40"/>
      <c r="B124" s="43" t="s">
        <v>89</v>
      </c>
      <c r="C124" s="211"/>
      <c r="D124" s="213"/>
      <c r="E124" s="201"/>
    </row>
    <row r="125" spans="1:5" s="6" customFormat="1" x14ac:dyDescent="0.25">
      <c r="A125" s="40"/>
      <c r="B125" s="44" t="s">
        <v>122</v>
      </c>
      <c r="C125" s="214"/>
      <c r="D125" s="215">
        <v>0.05</v>
      </c>
      <c r="E125" s="220">
        <f>+E119*D125</f>
        <v>150.35</v>
      </c>
    </row>
    <row r="126" spans="1:5" s="6" customFormat="1" x14ac:dyDescent="0.25">
      <c r="A126" s="45"/>
      <c r="B126" s="46" t="s">
        <v>90</v>
      </c>
      <c r="C126" s="216"/>
      <c r="D126" s="217">
        <f>SUM(D121:D125)</f>
        <v>8.6499999999999994E-2</v>
      </c>
      <c r="E126" s="221">
        <f>SUM(E121:E125)</f>
        <v>260.11</v>
      </c>
    </row>
    <row r="127" spans="1:5" s="6" customFormat="1" ht="15.6" customHeight="1" x14ac:dyDescent="0.25">
      <c r="A127" s="486" t="s">
        <v>91</v>
      </c>
      <c r="B127" s="487"/>
      <c r="C127" s="487"/>
      <c r="D127" s="488"/>
      <c r="E127" s="222">
        <f>E116+E117+E126</f>
        <v>260.11</v>
      </c>
    </row>
    <row r="128" spans="1:5" s="6" customFormat="1" ht="25.5" customHeight="1" x14ac:dyDescent="0.25">
      <c r="A128" s="401" t="s">
        <v>92</v>
      </c>
      <c r="B128" s="402"/>
      <c r="C128" s="402"/>
      <c r="D128" s="403"/>
      <c r="E128" s="186">
        <f>SUM(E127:E127)</f>
        <v>260.11</v>
      </c>
    </row>
    <row r="129" spans="1:7" s="6" customFormat="1" ht="15.6" customHeight="1" x14ac:dyDescent="0.25">
      <c r="A129" s="401" t="s">
        <v>93</v>
      </c>
      <c r="B129" s="402"/>
      <c r="C129" s="402"/>
      <c r="D129" s="402"/>
      <c r="E129" s="403"/>
    </row>
    <row r="130" spans="1:7" s="6" customFormat="1" ht="15.6" customHeight="1" x14ac:dyDescent="0.25">
      <c r="A130" s="401" t="s">
        <v>94</v>
      </c>
      <c r="B130" s="402"/>
      <c r="C130" s="402"/>
      <c r="D130" s="403"/>
      <c r="E130" s="47" t="s">
        <v>18</v>
      </c>
    </row>
    <row r="131" spans="1:7" s="6" customFormat="1" x14ac:dyDescent="0.25">
      <c r="A131" s="36" t="s">
        <v>2</v>
      </c>
      <c r="B131" s="475" t="s">
        <v>95</v>
      </c>
      <c r="C131" s="480"/>
      <c r="D131" s="476"/>
      <c r="E131" s="201">
        <f>E30</f>
        <v>1440.4</v>
      </c>
    </row>
    <row r="132" spans="1:7" s="6" customFormat="1" ht="15.6" customHeight="1" x14ac:dyDescent="0.25">
      <c r="A132" s="36" t="s">
        <v>4</v>
      </c>
      <c r="B132" s="475" t="s">
        <v>96</v>
      </c>
      <c r="C132" s="480"/>
      <c r="D132" s="476"/>
      <c r="E132" s="201">
        <f>+E67</f>
        <v>1158.4000000000001</v>
      </c>
    </row>
    <row r="133" spans="1:7" s="6" customFormat="1" x14ac:dyDescent="0.25">
      <c r="A133" s="36" t="s">
        <v>6</v>
      </c>
      <c r="B133" s="475" t="s">
        <v>97</v>
      </c>
      <c r="C133" s="480"/>
      <c r="D133" s="476"/>
      <c r="E133" s="201">
        <f>+E76</f>
        <v>90.02</v>
      </c>
    </row>
    <row r="134" spans="1:7" s="6" customFormat="1" ht="15.6" customHeight="1" x14ac:dyDescent="0.25">
      <c r="A134" s="36" t="s">
        <v>8</v>
      </c>
      <c r="B134" s="475" t="s">
        <v>98</v>
      </c>
      <c r="C134" s="480"/>
      <c r="D134" s="476"/>
      <c r="E134" s="201">
        <f>+E100</f>
        <v>51.03</v>
      </c>
    </row>
    <row r="135" spans="1:7" s="6" customFormat="1" ht="46.9" customHeight="1" x14ac:dyDescent="0.25">
      <c r="A135" s="36" t="s">
        <v>31</v>
      </c>
      <c r="B135" s="48" t="s">
        <v>99</v>
      </c>
      <c r="C135" s="49"/>
      <c r="D135" s="50"/>
      <c r="E135" s="201">
        <f>+E107</f>
        <v>7</v>
      </c>
      <c r="G135" s="6" t="s">
        <v>338</v>
      </c>
    </row>
    <row r="136" spans="1:7" s="6" customFormat="1" ht="15.6" customHeight="1" x14ac:dyDescent="0.25">
      <c r="A136" s="406" t="s">
        <v>100</v>
      </c>
      <c r="B136" s="407"/>
      <c r="C136" s="408"/>
      <c r="D136" s="51"/>
      <c r="E136" s="186">
        <f>SUM(E131:E135)</f>
        <v>2746.85</v>
      </c>
    </row>
    <row r="137" spans="1:7" s="6" customFormat="1" x14ac:dyDescent="0.25">
      <c r="A137" s="36" t="s">
        <v>33</v>
      </c>
      <c r="B137" s="475" t="s">
        <v>101</v>
      </c>
      <c r="C137" s="480"/>
      <c r="D137" s="476"/>
      <c r="E137" s="201">
        <f>E128</f>
        <v>260.11</v>
      </c>
      <c r="F137" s="17"/>
    </row>
    <row r="138" spans="1:7" s="6" customFormat="1" ht="16.149999999999999" customHeight="1" x14ac:dyDescent="0.25">
      <c r="A138" s="481" t="s">
        <v>102</v>
      </c>
      <c r="B138" s="481"/>
      <c r="C138" s="481"/>
      <c r="D138" s="481"/>
      <c r="E138" s="224">
        <f>+E136+E137</f>
        <v>3006.96</v>
      </c>
      <c r="F138" s="66"/>
    </row>
    <row r="139" spans="1:7" x14ac:dyDescent="0.25">
      <c r="A139" s="510"/>
      <c r="B139" s="510"/>
      <c r="C139" s="510"/>
      <c r="D139" s="510"/>
      <c r="E139" s="223"/>
    </row>
  </sheetData>
  <mergeCells count="117">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5:D105"/>
    <mergeCell ref="B106:D106"/>
    <mergeCell ref="A107:D107"/>
    <mergeCell ref="A108:C113"/>
    <mergeCell ref="A114:D114"/>
    <mergeCell ref="B115:D115"/>
    <mergeCell ref="B99:D99"/>
    <mergeCell ref="A100:D100"/>
    <mergeCell ref="A101:D101"/>
    <mergeCell ref="B102:D102"/>
    <mergeCell ref="B103:D103"/>
    <mergeCell ref="B104:D104"/>
    <mergeCell ref="A91:E91"/>
    <mergeCell ref="B92:D92"/>
    <mergeCell ref="B93:C93"/>
    <mergeCell ref="A94:C94"/>
    <mergeCell ref="A95:E95"/>
    <mergeCell ref="B96:D96"/>
    <mergeCell ref="B85:C85"/>
    <mergeCell ref="B86:C86"/>
    <mergeCell ref="B87:C87"/>
    <mergeCell ref="B88:C88"/>
    <mergeCell ref="B89:C89"/>
    <mergeCell ref="A90:C90"/>
    <mergeCell ref="A76:D76"/>
    <mergeCell ref="A77:C80"/>
    <mergeCell ref="A81:D81"/>
    <mergeCell ref="A82:E82"/>
    <mergeCell ref="B83:D83"/>
    <mergeCell ref="B84:C84"/>
    <mergeCell ref="B70:C70"/>
    <mergeCell ref="B71:C71"/>
    <mergeCell ref="B72:C72"/>
    <mergeCell ref="B73:C73"/>
    <mergeCell ref="B74:C74"/>
    <mergeCell ref="B75:C75"/>
    <mergeCell ref="A61:D61"/>
    <mergeCell ref="A62:E62"/>
    <mergeCell ref="B63:D63"/>
    <mergeCell ref="A67:D67"/>
    <mergeCell ref="A68:E68"/>
    <mergeCell ref="B69:D69"/>
    <mergeCell ref="B55:D55"/>
    <mergeCell ref="B56:D56"/>
    <mergeCell ref="B57:D57"/>
    <mergeCell ref="B58:D58"/>
    <mergeCell ref="B59:D59"/>
    <mergeCell ref="B60:D60"/>
    <mergeCell ref="B49:C49"/>
    <mergeCell ref="B50:C50"/>
    <mergeCell ref="A51:C51"/>
    <mergeCell ref="B52:E52"/>
    <mergeCell ref="B53:D53"/>
    <mergeCell ref="B54:D54"/>
    <mergeCell ref="B43:C43"/>
    <mergeCell ref="B44:C44"/>
    <mergeCell ref="B45:C45"/>
    <mergeCell ref="B46:C46"/>
    <mergeCell ref="B47:C47"/>
    <mergeCell ref="B48:C48"/>
    <mergeCell ref="B35:C35"/>
    <mergeCell ref="A36:C36"/>
    <mergeCell ref="A37:D37"/>
    <mergeCell ref="A38:C40"/>
    <mergeCell ref="A41:E41"/>
    <mergeCell ref="B42:D42"/>
    <mergeCell ref="C28:D28"/>
    <mergeCell ref="A29:D29"/>
    <mergeCell ref="A30:D30"/>
    <mergeCell ref="A31:E31"/>
    <mergeCell ref="B32:E32"/>
    <mergeCell ref="B33:D33"/>
    <mergeCell ref="A22:E22"/>
    <mergeCell ref="B23:D23"/>
    <mergeCell ref="C24:D24"/>
    <mergeCell ref="C25:D25"/>
    <mergeCell ref="C26:D26"/>
    <mergeCell ref="C27:D27"/>
    <mergeCell ref="A16:D16"/>
    <mergeCell ref="C17:E17"/>
    <mergeCell ref="C18:E18"/>
    <mergeCell ref="C19:E19"/>
    <mergeCell ref="C20:E20"/>
    <mergeCell ref="C21:E21"/>
    <mergeCell ref="A12:B12"/>
    <mergeCell ref="D12:E12"/>
    <mergeCell ref="A13:B13"/>
    <mergeCell ref="D13:E13"/>
    <mergeCell ref="A14:E14"/>
    <mergeCell ref="A15:E15"/>
    <mergeCell ref="A6:E6"/>
    <mergeCell ref="C7:E7"/>
    <mergeCell ref="C8:E8"/>
    <mergeCell ref="C9:E9"/>
    <mergeCell ref="C10:E10"/>
    <mergeCell ref="A11:E11"/>
    <mergeCell ref="A1:E2"/>
    <mergeCell ref="A3:C3"/>
    <mergeCell ref="D3:E3"/>
    <mergeCell ref="A4:C4"/>
    <mergeCell ref="D4:E4"/>
    <mergeCell ref="B5:E5"/>
  </mergeCells>
  <hyperlinks>
    <hyperlink ref="B73" location="Plan2!A1" display="Aviso prévio trabalhado" xr:uid="{90761351-5364-4EF2-84A3-5F2113648B2B}"/>
    <hyperlink ref="B48" r:id="rId1" display="08 - Sebrae 0,3% ou 0,6% - IN nº 03, MPS/SRP/2005, Anexo II e III ver código da Tabela" xr:uid="{B1C0667A-4D92-4743-BC5B-0739F51E8A32}"/>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AE373-49CA-4EB8-898F-8F001D33A8D0}">
  <sheetPr>
    <pageSetUpPr fitToPage="1"/>
  </sheetPr>
  <dimension ref="A1:I139"/>
  <sheetViews>
    <sheetView topLeftCell="A91" zoomScale="115" zoomScaleNormal="115" workbookViewId="0">
      <selection activeCell="B105" sqref="B105:D105"/>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39" t="s">
        <v>0</v>
      </c>
      <c r="B1" s="440"/>
      <c r="C1" s="440"/>
      <c r="D1" s="440"/>
      <c r="E1" s="441"/>
    </row>
    <row r="2" spans="1:7" ht="13.5" customHeight="1" thickBot="1" x14ac:dyDescent="0.3">
      <c r="A2" s="442"/>
      <c r="B2" s="443"/>
      <c r="C2" s="443"/>
      <c r="D2" s="443"/>
      <c r="E2" s="444"/>
    </row>
    <row r="3" spans="1:7" ht="15" customHeight="1" x14ac:dyDescent="0.25">
      <c r="A3" s="445" t="s">
        <v>112</v>
      </c>
      <c r="B3" s="446"/>
      <c r="C3" s="447"/>
      <c r="D3" s="448" t="s">
        <v>310</v>
      </c>
      <c r="E3" s="449"/>
    </row>
    <row r="4" spans="1:7" ht="15" customHeight="1" x14ac:dyDescent="0.25">
      <c r="A4" s="445" t="s">
        <v>113</v>
      </c>
      <c r="B4" s="446"/>
      <c r="C4" s="447"/>
      <c r="D4" s="450" t="s">
        <v>397</v>
      </c>
      <c r="E4" s="451"/>
    </row>
    <row r="5" spans="1:7" x14ac:dyDescent="0.25">
      <c r="A5" s="241"/>
      <c r="B5" s="452" t="s">
        <v>311</v>
      </c>
      <c r="C5" s="452"/>
      <c r="D5" s="452"/>
      <c r="E5" s="453"/>
    </row>
    <row r="6" spans="1:7" x14ac:dyDescent="0.25">
      <c r="A6" s="454" t="s">
        <v>1</v>
      </c>
      <c r="B6" s="455"/>
      <c r="C6" s="455"/>
      <c r="D6" s="455"/>
      <c r="E6" s="456"/>
    </row>
    <row r="7" spans="1:7" ht="31.5" customHeight="1" x14ac:dyDescent="0.25">
      <c r="A7" s="4" t="s">
        <v>2</v>
      </c>
      <c r="B7" s="5" t="s">
        <v>3</v>
      </c>
      <c r="C7" s="463" t="s">
        <v>312</v>
      </c>
      <c r="D7" s="464"/>
      <c r="E7" s="465"/>
    </row>
    <row r="8" spans="1:7" ht="16.149999999999999" customHeight="1" x14ac:dyDescent="0.25">
      <c r="A8" s="4" t="s">
        <v>4</v>
      </c>
      <c r="B8" s="5" t="s">
        <v>5</v>
      </c>
      <c r="C8" s="466" t="s">
        <v>346</v>
      </c>
      <c r="D8" s="467"/>
      <c r="E8" s="468"/>
    </row>
    <row r="9" spans="1:7" ht="22.5" customHeight="1" x14ac:dyDescent="0.25">
      <c r="A9" s="4" t="s">
        <v>6</v>
      </c>
      <c r="B9" s="5" t="s">
        <v>7</v>
      </c>
      <c r="C9" s="466" t="s">
        <v>313</v>
      </c>
      <c r="D9" s="467"/>
      <c r="E9" s="468"/>
    </row>
    <row r="10" spans="1:7" ht="32.25" customHeight="1" x14ac:dyDescent="0.25">
      <c r="A10" s="4" t="s">
        <v>8</v>
      </c>
      <c r="B10" s="5" t="s">
        <v>9</v>
      </c>
      <c r="C10" s="466" t="s">
        <v>10</v>
      </c>
      <c r="D10" s="467"/>
      <c r="E10" s="468"/>
    </row>
    <row r="11" spans="1:7" x14ac:dyDescent="0.25">
      <c r="A11" s="454" t="s">
        <v>11</v>
      </c>
      <c r="B11" s="455"/>
      <c r="C11" s="455"/>
      <c r="D11" s="455"/>
      <c r="E11" s="456"/>
    </row>
    <row r="12" spans="1:7" ht="33.75" customHeight="1" x14ac:dyDescent="0.25">
      <c r="A12" s="469" t="s">
        <v>12</v>
      </c>
      <c r="B12" s="470"/>
      <c r="C12" s="7" t="s">
        <v>13</v>
      </c>
      <c r="D12" s="471" t="s">
        <v>332</v>
      </c>
      <c r="E12" s="472"/>
    </row>
    <row r="13" spans="1:7" ht="24.75" customHeight="1" x14ac:dyDescent="0.25">
      <c r="A13" s="473" t="s">
        <v>181</v>
      </c>
      <c r="B13" s="474"/>
      <c r="C13" s="8" t="s">
        <v>315</v>
      </c>
      <c r="D13" s="417">
        <v>2</v>
      </c>
      <c r="E13" s="419"/>
    </row>
    <row r="14" spans="1:7" ht="23.25" customHeight="1" x14ac:dyDescent="0.25">
      <c r="A14" s="457" t="s">
        <v>15</v>
      </c>
      <c r="B14" s="458"/>
      <c r="C14" s="458"/>
      <c r="D14" s="458"/>
      <c r="E14" s="459"/>
    </row>
    <row r="15" spans="1:7" x14ac:dyDescent="0.25">
      <c r="A15" s="460" t="s">
        <v>16</v>
      </c>
      <c r="B15" s="461"/>
      <c r="C15" s="461"/>
      <c r="D15" s="461"/>
      <c r="E15" s="462"/>
    </row>
    <row r="16" spans="1:7" ht="27.75" customHeight="1" x14ac:dyDescent="0.25">
      <c r="A16" s="409" t="s">
        <v>17</v>
      </c>
      <c r="B16" s="410"/>
      <c r="C16" s="410"/>
      <c r="D16" s="411"/>
      <c r="E16" s="56" t="s">
        <v>18</v>
      </c>
      <c r="G16" s="9"/>
    </row>
    <row r="17" spans="1:8" ht="31.5" customHeight="1" x14ac:dyDescent="0.25">
      <c r="A17" s="4">
        <v>1</v>
      </c>
      <c r="B17" s="10" t="s">
        <v>103</v>
      </c>
      <c r="C17" s="417" t="s">
        <v>341</v>
      </c>
      <c r="D17" s="418"/>
      <c r="E17" s="419"/>
    </row>
    <row r="18" spans="1:8" ht="31.5" customHeight="1" x14ac:dyDescent="0.25">
      <c r="A18" s="4">
        <v>2</v>
      </c>
      <c r="B18" s="10" t="s">
        <v>19</v>
      </c>
      <c r="C18" s="417" t="s">
        <v>342</v>
      </c>
      <c r="D18" s="418"/>
      <c r="E18" s="419"/>
    </row>
    <row r="19" spans="1:8" ht="31.5" customHeight="1" x14ac:dyDescent="0.25">
      <c r="A19" s="4">
        <v>3</v>
      </c>
      <c r="B19" s="10" t="s">
        <v>20</v>
      </c>
      <c r="C19" s="420">
        <v>1108</v>
      </c>
      <c r="D19" s="421"/>
      <c r="E19" s="422"/>
    </row>
    <row r="20" spans="1:8" ht="48" customHeight="1" x14ac:dyDescent="0.25">
      <c r="A20" s="4">
        <v>4</v>
      </c>
      <c r="B20" s="10" t="s">
        <v>22</v>
      </c>
      <c r="C20" s="417" t="s">
        <v>318</v>
      </c>
      <c r="D20" s="418"/>
      <c r="E20" s="419"/>
    </row>
    <row r="21" spans="1:8" ht="28.5" customHeight="1" x14ac:dyDescent="0.25">
      <c r="A21" s="4">
        <v>5</v>
      </c>
      <c r="B21" s="11" t="s">
        <v>23</v>
      </c>
      <c r="C21" s="423" t="s">
        <v>123</v>
      </c>
      <c r="D21" s="424"/>
      <c r="E21" s="425"/>
    </row>
    <row r="22" spans="1:8" s="6" customFormat="1" ht="27" customHeight="1" x14ac:dyDescent="0.25">
      <c r="A22" s="428" t="s">
        <v>24</v>
      </c>
      <c r="B22" s="429"/>
      <c r="C22" s="429"/>
      <c r="D22" s="429"/>
      <c r="E22" s="430"/>
    </row>
    <row r="23" spans="1:8" s="6" customFormat="1" ht="22.5" customHeight="1" x14ac:dyDescent="0.25">
      <c r="A23" s="57">
        <v>1</v>
      </c>
      <c r="B23" s="409" t="s">
        <v>25</v>
      </c>
      <c r="C23" s="410"/>
      <c r="D23" s="411"/>
      <c r="E23" s="56" t="s">
        <v>18</v>
      </c>
    </row>
    <row r="24" spans="1:8" ht="26.25" customHeight="1" x14ac:dyDescent="0.25">
      <c r="A24" s="12" t="s">
        <v>2</v>
      </c>
      <c r="B24" s="58" t="s">
        <v>27</v>
      </c>
      <c r="C24" s="379"/>
      <c r="D24" s="380"/>
      <c r="E24" s="172">
        <v>1108</v>
      </c>
    </row>
    <row r="25" spans="1:8" ht="26.25" customHeight="1" x14ac:dyDescent="0.25">
      <c r="A25" s="13" t="s">
        <v>4</v>
      </c>
      <c r="B25" s="59" t="s">
        <v>28</v>
      </c>
      <c r="C25" s="381" t="s">
        <v>114</v>
      </c>
      <c r="D25" s="382"/>
      <c r="E25" s="173">
        <f>TRUNC((+E24*30%),2)</f>
        <v>332.4</v>
      </c>
    </row>
    <row r="26" spans="1:8" x14ac:dyDescent="0.25">
      <c r="A26" s="13" t="s">
        <v>6</v>
      </c>
      <c r="B26" s="59" t="s">
        <v>29</v>
      </c>
      <c r="C26" s="383"/>
      <c r="D26" s="384"/>
      <c r="E26" s="173"/>
    </row>
    <row r="27" spans="1:8" x14ac:dyDescent="0.25">
      <c r="A27" s="13" t="s">
        <v>8</v>
      </c>
      <c r="B27" s="59" t="s">
        <v>30</v>
      </c>
      <c r="C27" s="383"/>
      <c r="D27" s="384"/>
      <c r="E27" s="173"/>
      <c r="H27" s="14"/>
    </row>
    <row r="28" spans="1:8" x14ac:dyDescent="0.2">
      <c r="A28" s="13" t="s">
        <v>31</v>
      </c>
      <c r="B28" s="59" t="s">
        <v>32</v>
      </c>
      <c r="C28" s="385"/>
      <c r="D28" s="384"/>
      <c r="E28" s="173"/>
      <c r="F28" s="60"/>
    </row>
    <row r="29" spans="1:8" x14ac:dyDescent="0.25">
      <c r="A29" s="398" t="s">
        <v>35</v>
      </c>
      <c r="B29" s="399"/>
      <c r="C29" s="399"/>
      <c r="D29" s="400"/>
      <c r="E29" s="171">
        <f>SUM(E24:E28)</f>
        <v>1440.4</v>
      </c>
    </row>
    <row r="30" spans="1:8" s="6" customFormat="1" ht="25.5" customHeight="1" x14ac:dyDescent="0.25">
      <c r="A30" s="401" t="s">
        <v>36</v>
      </c>
      <c r="B30" s="402"/>
      <c r="C30" s="402"/>
      <c r="D30" s="403"/>
      <c r="E30" s="171">
        <f>SUM(E29:E29)</f>
        <v>1440.4</v>
      </c>
    </row>
    <row r="31" spans="1:8" s="6" customFormat="1" ht="25.5" customHeight="1" x14ac:dyDescent="0.25">
      <c r="A31" s="428" t="s">
        <v>37</v>
      </c>
      <c r="B31" s="429"/>
      <c r="C31" s="429"/>
      <c r="D31" s="429"/>
      <c r="E31" s="430"/>
    </row>
    <row r="32" spans="1:8" s="6" customFormat="1" ht="25.5" customHeight="1" x14ac:dyDescent="0.25">
      <c r="A32" s="16"/>
      <c r="B32" s="404" t="s">
        <v>38</v>
      </c>
      <c r="C32" s="404"/>
      <c r="D32" s="404"/>
      <c r="E32" s="405"/>
    </row>
    <row r="33" spans="1:7" s="6" customFormat="1" ht="25.5" customHeight="1" x14ac:dyDescent="0.25">
      <c r="A33" s="57" t="s">
        <v>39</v>
      </c>
      <c r="B33" s="409" t="s">
        <v>40</v>
      </c>
      <c r="C33" s="410"/>
      <c r="D33" s="411"/>
      <c r="E33" s="56" t="s">
        <v>18</v>
      </c>
      <c r="G33" s="17"/>
    </row>
    <row r="34" spans="1:7" s="6" customFormat="1" ht="25.5" customHeight="1" x14ac:dyDescent="0.25">
      <c r="A34" s="18" t="s">
        <v>2</v>
      </c>
      <c r="B34" s="19" t="s">
        <v>320</v>
      </c>
      <c r="C34" s="20"/>
      <c r="D34" s="178">
        <f>(1/12)</f>
        <v>8.3333000000000004E-2</v>
      </c>
      <c r="E34" s="171">
        <f>TRUNC($E$30*D34,2)</f>
        <v>120.03</v>
      </c>
    </row>
    <row r="35" spans="1:7" s="6" customFormat="1" ht="25.5" customHeight="1" x14ac:dyDescent="0.25">
      <c r="A35" s="18" t="s">
        <v>4</v>
      </c>
      <c r="B35" s="426" t="s">
        <v>319</v>
      </c>
      <c r="C35" s="427"/>
      <c r="D35" s="176">
        <v>0.121</v>
      </c>
      <c r="E35" s="171">
        <f>TRUNC($E$30*D35,2)</f>
        <v>174.28</v>
      </c>
    </row>
    <row r="36" spans="1:7" s="6" customFormat="1" ht="25.5" customHeight="1" x14ac:dyDescent="0.25">
      <c r="A36" s="386" t="s">
        <v>35</v>
      </c>
      <c r="B36" s="387"/>
      <c r="C36" s="388"/>
      <c r="D36" s="177">
        <f>SUM(D34:D35)</f>
        <v>0.20433000000000001</v>
      </c>
      <c r="E36" s="171">
        <f>SUM(E34:E35)</f>
        <v>294.31</v>
      </c>
    </row>
    <row r="37" spans="1:7" s="6" customFormat="1" ht="25.5" customHeight="1" thickBot="1" x14ac:dyDescent="0.3">
      <c r="A37" s="389" t="s">
        <v>41</v>
      </c>
      <c r="B37" s="390"/>
      <c r="C37" s="390"/>
      <c r="D37" s="391"/>
      <c r="E37" s="179">
        <f>SUM(E36:E36)</f>
        <v>294.31</v>
      </c>
    </row>
    <row r="38" spans="1:7" s="6" customFormat="1" ht="25.5" customHeight="1" thickTop="1" thickBot="1" x14ac:dyDescent="0.3">
      <c r="A38" s="392" t="s">
        <v>42</v>
      </c>
      <c r="B38" s="392"/>
      <c r="C38" s="393"/>
      <c r="D38" s="239" t="s">
        <v>43</v>
      </c>
      <c r="E38" s="182">
        <f>E30</f>
        <v>1440.4</v>
      </c>
    </row>
    <row r="39" spans="1:7" s="6" customFormat="1" ht="22.5" customHeight="1" thickTop="1" thickBot="1" x14ac:dyDescent="0.3">
      <c r="A39" s="394"/>
      <c r="B39" s="394"/>
      <c r="C39" s="395"/>
      <c r="D39" s="239" t="s">
        <v>44</v>
      </c>
      <c r="E39" s="183">
        <f>E37</f>
        <v>294.31</v>
      </c>
    </row>
    <row r="40" spans="1:7" s="6" customFormat="1" ht="22.5" customHeight="1" thickTop="1" x14ac:dyDescent="0.25">
      <c r="A40" s="394"/>
      <c r="B40" s="394"/>
      <c r="C40" s="395"/>
      <c r="D40" s="181" t="s">
        <v>35</v>
      </c>
      <c r="E40" s="184">
        <f>SUM(E38:E39)</f>
        <v>1734.71</v>
      </c>
    </row>
    <row r="41" spans="1:7" s="6" customFormat="1" ht="42" customHeight="1" x14ac:dyDescent="0.25">
      <c r="A41" s="498" t="s">
        <v>321</v>
      </c>
      <c r="B41" s="499"/>
      <c r="C41" s="499"/>
      <c r="D41" s="499"/>
      <c r="E41" s="499"/>
      <c r="F41" s="22"/>
    </row>
    <row r="42" spans="1:7" s="6" customFormat="1" ht="22.5" customHeight="1" x14ac:dyDescent="0.25">
      <c r="A42" s="57" t="s">
        <v>45</v>
      </c>
      <c r="B42" s="409" t="s">
        <v>46</v>
      </c>
      <c r="C42" s="410"/>
      <c r="D42" s="411"/>
      <c r="E42" s="56" t="s">
        <v>18</v>
      </c>
      <c r="F42" s="22"/>
    </row>
    <row r="43" spans="1:7" s="6" customFormat="1" ht="22.5" customHeight="1" x14ac:dyDescent="0.25">
      <c r="A43" s="1" t="s">
        <v>2</v>
      </c>
      <c r="B43" s="396" t="s">
        <v>14</v>
      </c>
      <c r="C43" s="397"/>
      <c r="D43" s="24">
        <v>0.2</v>
      </c>
      <c r="E43" s="171">
        <f t="shared" ref="E43:E50" si="0">TRUNC($E$40*D43,2)</f>
        <v>346.94</v>
      </c>
      <c r="F43" s="22"/>
    </row>
    <row r="44" spans="1:7" s="6" customFormat="1" ht="22.5" customHeight="1" x14ac:dyDescent="0.25">
      <c r="A44" s="1" t="s">
        <v>4</v>
      </c>
      <c r="B44" s="396" t="s">
        <v>47</v>
      </c>
      <c r="C44" s="397"/>
      <c r="D44" s="197">
        <v>2.5000000000000001E-2</v>
      </c>
      <c r="E44" s="171">
        <f t="shared" si="0"/>
        <v>43.36</v>
      </c>
      <c r="F44" s="23"/>
    </row>
    <row r="45" spans="1:7" s="6" customFormat="1" ht="22.5" customHeight="1" x14ac:dyDescent="0.25">
      <c r="A45" s="1" t="s">
        <v>6</v>
      </c>
      <c r="B45" s="396" t="s">
        <v>115</v>
      </c>
      <c r="C45" s="397"/>
      <c r="D45" s="197">
        <v>0</v>
      </c>
      <c r="E45" s="171">
        <f t="shared" si="0"/>
        <v>0</v>
      </c>
    </row>
    <row r="46" spans="1:7" s="6" customFormat="1" ht="22.5" customHeight="1" x14ac:dyDescent="0.25">
      <c r="A46" s="1" t="s">
        <v>8</v>
      </c>
      <c r="B46" s="396" t="s">
        <v>48</v>
      </c>
      <c r="C46" s="397"/>
      <c r="D46" s="197">
        <v>1.4999999999999999E-2</v>
      </c>
      <c r="E46" s="171">
        <f t="shared" si="0"/>
        <v>26.02</v>
      </c>
      <c r="F46" s="22"/>
    </row>
    <row r="47" spans="1:7" s="6" customFormat="1" ht="22.5" customHeight="1" x14ac:dyDescent="0.25">
      <c r="A47" s="1" t="s">
        <v>31</v>
      </c>
      <c r="B47" s="396" t="s">
        <v>49</v>
      </c>
      <c r="C47" s="397"/>
      <c r="D47" s="197">
        <v>0.01</v>
      </c>
      <c r="E47" s="171">
        <f t="shared" si="0"/>
        <v>17.34</v>
      </c>
      <c r="F47" s="25"/>
    </row>
    <row r="48" spans="1:7" s="6" customFormat="1" ht="22.5" customHeight="1" x14ac:dyDescent="0.25">
      <c r="A48" s="1" t="s">
        <v>33</v>
      </c>
      <c r="B48" s="396" t="s">
        <v>50</v>
      </c>
      <c r="C48" s="397"/>
      <c r="D48" s="197">
        <v>6.0000000000000001E-3</v>
      </c>
      <c r="E48" s="171">
        <f t="shared" si="0"/>
        <v>10.4</v>
      </c>
    </row>
    <row r="49" spans="1:5" s="6" customFormat="1" ht="22.5" customHeight="1" x14ac:dyDescent="0.25">
      <c r="A49" s="1" t="s">
        <v>34</v>
      </c>
      <c r="B49" s="396" t="s">
        <v>51</v>
      </c>
      <c r="C49" s="397"/>
      <c r="D49" s="197">
        <v>2E-3</v>
      </c>
      <c r="E49" s="171">
        <f t="shared" si="0"/>
        <v>3.46</v>
      </c>
    </row>
    <row r="50" spans="1:5" s="6" customFormat="1" ht="22.5" customHeight="1" x14ac:dyDescent="0.25">
      <c r="A50" s="1" t="s">
        <v>52</v>
      </c>
      <c r="B50" s="396" t="s">
        <v>53</v>
      </c>
      <c r="C50" s="397"/>
      <c r="D50" s="197">
        <v>0.08</v>
      </c>
      <c r="E50" s="171">
        <f t="shared" si="0"/>
        <v>138.77000000000001</v>
      </c>
    </row>
    <row r="51" spans="1:5" s="6" customFormat="1" ht="22.5" customHeight="1" x14ac:dyDescent="0.25">
      <c r="A51" s="406" t="s">
        <v>35</v>
      </c>
      <c r="B51" s="407"/>
      <c r="C51" s="408"/>
      <c r="D51" s="185">
        <f>SUM(D43:D50)</f>
        <v>0.33800000000000002</v>
      </c>
      <c r="E51" s="186">
        <f>SUM(E43:E50)</f>
        <v>586.29</v>
      </c>
    </row>
    <row r="52" spans="1:5" s="6" customFormat="1" ht="25.5" customHeight="1" x14ac:dyDescent="0.25">
      <c r="A52" s="16"/>
      <c r="B52" s="404" t="s">
        <v>124</v>
      </c>
      <c r="C52" s="404"/>
      <c r="D52" s="404"/>
      <c r="E52" s="405"/>
    </row>
    <row r="53" spans="1:5" ht="25.5" customHeight="1" x14ac:dyDescent="0.25">
      <c r="A53" s="57" t="s">
        <v>54</v>
      </c>
      <c r="B53" s="409" t="s">
        <v>55</v>
      </c>
      <c r="C53" s="410"/>
      <c r="D53" s="411"/>
      <c r="E53" s="56" t="s">
        <v>18</v>
      </c>
    </row>
    <row r="54" spans="1:5" ht="25.5" customHeight="1" x14ac:dyDescent="0.25">
      <c r="A54" s="1" t="s">
        <v>2</v>
      </c>
      <c r="B54" s="475" t="s">
        <v>322</v>
      </c>
      <c r="C54" s="480"/>
      <c r="D54" s="476"/>
      <c r="E54" s="171">
        <v>0</v>
      </c>
    </row>
    <row r="55" spans="1:5" ht="25.5" customHeight="1" x14ac:dyDescent="0.25">
      <c r="A55" s="1" t="s">
        <v>4</v>
      </c>
      <c r="B55" s="475" t="s">
        <v>323</v>
      </c>
      <c r="C55" s="480"/>
      <c r="D55" s="476"/>
      <c r="E55" s="171">
        <f>'Uniforme + Transport. + V. Alim'!F34</f>
        <v>220</v>
      </c>
    </row>
    <row r="56" spans="1:5" ht="25.5" customHeight="1" x14ac:dyDescent="0.25">
      <c r="A56" s="1" t="s">
        <v>6</v>
      </c>
      <c r="B56" s="475" t="s">
        <v>324</v>
      </c>
      <c r="C56" s="480"/>
      <c r="D56" s="476"/>
      <c r="E56" s="171">
        <f>TRUNC(((E30*3%)/12*3),2)</f>
        <v>10.8</v>
      </c>
    </row>
    <row r="57" spans="1:5" ht="25.5" customHeight="1" x14ac:dyDescent="0.25">
      <c r="A57" s="1" t="s">
        <v>8</v>
      </c>
      <c r="B57" s="475" t="s">
        <v>325</v>
      </c>
      <c r="C57" s="480"/>
      <c r="D57" s="476"/>
      <c r="E57" s="171">
        <v>5</v>
      </c>
    </row>
    <row r="58" spans="1:5" ht="25.5" customHeight="1" x14ac:dyDescent="0.25">
      <c r="A58" s="1" t="s">
        <v>31</v>
      </c>
      <c r="B58" s="475" t="s">
        <v>326</v>
      </c>
      <c r="C58" s="480"/>
      <c r="D58" s="476"/>
      <c r="E58" s="171">
        <v>18</v>
      </c>
    </row>
    <row r="59" spans="1:5" ht="35.25" customHeight="1" x14ac:dyDescent="0.25">
      <c r="A59" s="1" t="s">
        <v>33</v>
      </c>
      <c r="B59" s="475" t="s">
        <v>327</v>
      </c>
      <c r="C59" s="480"/>
      <c r="D59" s="476"/>
      <c r="E59" s="173">
        <v>24</v>
      </c>
    </row>
    <row r="60" spans="1:5" ht="25.5" customHeight="1" x14ac:dyDescent="0.25">
      <c r="A60" s="1" t="s">
        <v>34</v>
      </c>
      <c r="B60" s="475" t="s">
        <v>328</v>
      </c>
      <c r="C60" s="480"/>
      <c r="D60" s="476"/>
      <c r="E60" s="171">
        <v>0</v>
      </c>
    </row>
    <row r="61" spans="1:5" s="6" customFormat="1" ht="25.5" customHeight="1" x14ac:dyDescent="0.25">
      <c r="A61" s="386" t="s">
        <v>56</v>
      </c>
      <c r="B61" s="387"/>
      <c r="C61" s="387"/>
      <c r="D61" s="388"/>
      <c r="E61" s="186">
        <f>SUM(E54:E60)</f>
        <v>277.8</v>
      </c>
    </row>
    <row r="62" spans="1:5" s="6" customFormat="1" ht="25.5" customHeight="1" x14ac:dyDescent="0.25">
      <c r="A62" s="431" t="s">
        <v>57</v>
      </c>
      <c r="B62" s="431"/>
      <c r="C62" s="431"/>
      <c r="D62" s="431"/>
      <c r="E62" s="432"/>
    </row>
    <row r="63" spans="1:5" s="6" customFormat="1" ht="25.5" customHeight="1" x14ac:dyDescent="0.25">
      <c r="A63" s="26">
        <v>2</v>
      </c>
      <c r="B63" s="433" t="s">
        <v>58</v>
      </c>
      <c r="C63" s="434"/>
      <c r="D63" s="435"/>
      <c r="E63" s="193" t="s">
        <v>18</v>
      </c>
    </row>
    <row r="64" spans="1:5" s="6" customFormat="1" ht="25.5" customHeight="1" x14ac:dyDescent="0.25">
      <c r="A64" s="26" t="s">
        <v>39</v>
      </c>
      <c r="B64" s="61" t="s">
        <v>40</v>
      </c>
      <c r="C64" s="62"/>
      <c r="D64" s="63"/>
      <c r="E64" s="194">
        <f>E37</f>
        <v>294.31</v>
      </c>
    </row>
    <row r="65" spans="1:8" s="6" customFormat="1" ht="25.5" customHeight="1" x14ac:dyDescent="0.25">
      <c r="A65" s="26" t="s">
        <v>45</v>
      </c>
      <c r="B65" s="61" t="s">
        <v>46</v>
      </c>
      <c r="C65" s="62"/>
      <c r="D65" s="63"/>
      <c r="E65" s="194">
        <f>E51</f>
        <v>586.29</v>
      </c>
    </row>
    <row r="66" spans="1:8" s="6" customFormat="1" ht="25.5" customHeight="1" x14ac:dyDescent="0.25">
      <c r="A66" s="26" t="s">
        <v>54</v>
      </c>
      <c r="B66" s="61" t="s">
        <v>55</v>
      </c>
      <c r="C66" s="62"/>
      <c r="D66" s="63"/>
      <c r="E66" s="194">
        <f>E61</f>
        <v>277.8</v>
      </c>
    </row>
    <row r="67" spans="1:8" s="6" customFormat="1" ht="25.5" customHeight="1" x14ac:dyDescent="0.25">
      <c r="A67" s="491" t="s">
        <v>35</v>
      </c>
      <c r="B67" s="478"/>
      <c r="C67" s="478"/>
      <c r="D67" s="479"/>
      <c r="E67" s="195">
        <f>SUM(E64:E66)</f>
        <v>1158.4000000000001</v>
      </c>
    </row>
    <row r="68" spans="1:8" s="6" customFormat="1" ht="25.5" customHeight="1" x14ac:dyDescent="0.25">
      <c r="A68" s="436" t="s">
        <v>59</v>
      </c>
      <c r="B68" s="436"/>
      <c r="C68" s="436"/>
      <c r="D68" s="436"/>
      <c r="E68" s="436"/>
      <c r="H68" s="28"/>
    </row>
    <row r="69" spans="1:8" s="6" customFormat="1" ht="25.5" customHeight="1" x14ac:dyDescent="0.25">
      <c r="A69" s="200">
        <v>3</v>
      </c>
      <c r="B69" s="409" t="s">
        <v>60</v>
      </c>
      <c r="C69" s="437"/>
      <c r="D69" s="438"/>
      <c r="E69" s="56" t="s">
        <v>18</v>
      </c>
      <c r="H69" s="29"/>
    </row>
    <row r="70" spans="1:8" s="6" customFormat="1" ht="25.5" customHeight="1" x14ac:dyDescent="0.25">
      <c r="A70" s="199" t="s">
        <v>2</v>
      </c>
      <c r="B70" s="415" t="s">
        <v>61</v>
      </c>
      <c r="C70" s="416"/>
      <c r="D70" s="178">
        <f>((1/12)*5%)</f>
        <v>4.1669999999999997E-3</v>
      </c>
      <c r="E70" s="201">
        <f>TRUNC(($E$30)*D70,2)</f>
        <v>6</v>
      </c>
    </row>
    <row r="71" spans="1:8" s="6" customFormat="1" ht="25.5" customHeight="1" x14ac:dyDescent="0.25">
      <c r="A71" s="199" t="s">
        <v>4</v>
      </c>
      <c r="B71" s="415" t="s">
        <v>116</v>
      </c>
      <c r="C71" s="416"/>
      <c r="D71" s="198">
        <f>+D50</f>
        <v>0.08</v>
      </c>
      <c r="E71" s="201">
        <f>TRUNC(+E70*D71,2)</f>
        <v>0.48</v>
      </c>
    </row>
    <row r="72" spans="1:8" s="6" customFormat="1" ht="25.5" customHeight="1" x14ac:dyDescent="0.25">
      <c r="A72" s="199" t="s">
        <v>6</v>
      </c>
      <c r="B72" s="415" t="s">
        <v>329</v>
      </c>
      <c r="C72" s="416"/>
      <c r="D72" s="178">
        <f>(0.4*0.08)*0.05</f>
        <v>1.6000000000000001E-3</v>
      </c>
      <c r="E72" s="201">
        <f>TRUNC(($E$30)*D72,2)</f>
        <v>2.2999999999999998</v>
      </c>
    </row>
    <row r="73" spans="1:8" s="6" customFormat="1" ht="25.5" customHeight="1" x14ac:dyDescent="0.25">
      <c r="A73" s="199" t="s">
        <v>8</v>
      </c>
      <c r="B73" s="503" t="s">
        <v>62</v>
      </c>
      <c r="C73" s="504"/>
      <c r="D73" s="198">
        <f>((7/30)/12)*100%</f>
        <v>1.9439999999999999E-2</v>
      </c>
      <c r="E73" s="201">
        <f>TRUNC(($E$30)*D73,2)</f>
        <v>28</v>
      </c>
    </row>
    <row r="74" spans="1:8" s="6" customFormat="1" ht="38.25" customHeight="1" x14ac:dyDescent="0.25">
      <c r="A74" s="199" t="s">
        <v>31</v>
      </c>
      <c r="B74" s="415" t="s">
        <v>104</v>
      </c>
      <c r="C74" s="416"/>
      <c r="D74" s="198">
        <f>+D51</f>
        <v>0.33800000000000002</v>
      </c>
      <c r="E74" s="201">
        <f>TRUNC(+E73*D74,2)</f>
        <v>9.4600000000000009</v>
      </c>
    </row>
    <row r="75" spans="1:8" s="6" customFormat="1" ht="25.5" customHeight="1" x14ac:dyDescent="0.25">
      <c r="A75" s="199" t="s">
        <v>33</v>
      </c>
      <c r="B75" s="505" t="s">
        <v>330</v>
      </c>
      <c r="C75" s="506"/>
      <c r="D75" s="196">
        <f>(40%*8%)*95%</f>
        <v>3.04E-2</v>
      </c>
      <c r="E75" s="201">
        <f>TRUNC(($E$30)*D75,2)</f>
        <v>43.78</v>
      </c>
    </row>
    <row r="76" spans="1:8" s="6" customFormat="1" ht="16.149999999999999" customHeight="1" thickBot="1" x14ac:dyDescent="0.3">
      <c r="A76" s="507" t="s">
        <v>35</v>
      </c>
      <c r="B76" s="508"/>
      <c r="C76" s="508"/>
      <c r="D76" s="509"/>
      <c r="E76" s="202">
        <f>SUM(E70:E75)</f>
        <v>90.02</v>
      </c>
    </row>
    <row r="77" spans="1:8" s="6" customFormat="1" ht="22.5" customHeight="1" thickTop="1" thickBot="1" x14ac:dyDescent="0.3">
      <c r="A77" s="489" t="s">
        <v>63</v>
      </c>
      <c r="B77" s="489"/>
      <c r="C77" s="489"/>
      <c r="D77" s="239" t="s">
        <v>43</v>
      </c>
      <c r="E77" s="180">
        <f>E30</f>
        <v>1440.4</v>
      </c>
    </row>
    <row r="78" spans="1:8" s="6" customFormat="1" ht="22.5" customHeight="1" thickTop="1" thickBot="1" x14ac:dyDescent="0.3">
      <c r="A78" s="489"/>
      <c r="B78" s="489"/>
      <c r="C78" s="489"/>
      <c r="D78" s="239" t="s">
        <v>64</v>
      </c>
      <c r="E78" s="180">
        <f>E67</f>
        <v>1158.4000000000001</v>
      </c>
    </row>
    <row r="79" spans="1:8" s="6" customFormat="1" ht="22.5" customHeight="1" thickTop="1" thickBot="1" x14ac:dyDescent="0.3">
      <c r="A79" s="489"/>
      <c r="B79" s="489"/>
      <c r="C79" s="489"/>
      <c r="D79" s="239" t="s">
        <v>65</v>
      </c>
      <c r="E79" s="180">
        <f>E76</f>
        <v>90.02</v>
      </c>
    </row>
    <row r="80" spans="1:8" s="6" customFormat="1" ht="23.25" customHeight="1" thickTop="1" thickBot="1" x14ac:dyDescent="0.3">
      <c r="A80" s="489"/>
      <c r="B80" s="489"/>
      <c r="C80" s="489"/>
      <c r="D80" s="31" t="s">
        <v>56</v>
      </c>
      <c r="E80" s="180">
        <f>SUM(E77:E79)</f>
        <v>2688.82</v>
      </c>
    </row>
    <row r="81" spans="1:5" s="6" customFormat="1" ht="23.25" customHeight="1" thickTop="1" x14ac:dyDescent="0.25">
      <c r="A81" s="428" t="s">
        <v>66</v>
      </c>
      <c r="B81" s="429"/>
      <c r="C81" s="429"/>
      <c r="D81" s="430"/>
      <c r="E81" s="240" t="s">
        <v>26</v>
      </c>
    </row>
    <row r="82" spans="1:5" s="6" customFormat="1" ht="26.25" customHeight="1" x14ac:dyDescent="0.25">
      <c r="A82" s="500" t="s">
        <v>117</v>
      </c>
      <c r="B82" s="501"/>
      <c r="C82" s="501"/>
      <c r="D82" s="501"/>
      <c r="E82" s="502"/>
    </row>
    <row r="83" spans="1:5" s="6" customFormat="1" ht="26.25" customHeight="1" x14ac:dyDescent="0.25">
      <c r="A83" s="57" t="s">
        <v>67</v>
      </c>
      <c r="B83" s="492" t="s">
        <v>105</v>
      </c>
      <c r="C83" s="493"/>
      <c r="D83" s="494"/>
      <c r="E83" s="56" t="s">
        <v>18</v>
      </c>
    </row>
    <row r="84" spans="1:5" s="6" customFormat="1" ht="26.25" customHeight="1" x14ac:dyDescent="0.25">
      <c r="A84" s="32" t="s">
        <v>2</v>
      </c>
      <c r="B84" s="477" t="s">
        <v>106</v>
      </c>
      <c r="C84" s="477"/>
      <c r="D84" s="192">
        <f>(( 1+1/3)/12)/12</f>
        <v>9.2599999999999991E-3</v>
      </c>
      <c r="E84" s="201">
        <f>TRUNC(+D84*$E$80,2)</f>
        <v>24.89</v>
      </c>
    </row>
    <row r="85" spans="1:5" s="6" customFormat="1" ht="26.25" customHeight="1" x14ac:dyDescent="0.25">
      <c r="A85" s="33" t="s">
        <v>4</v>
      </c>
      <c r="B85" s="477" t="s">
        <v>107</v>
      </c>
      <c r="C85" s="477"/>
      <c r="D85" s="196">
        <f>((2/30)/12)</f>
        <v>5.5599999999999998E-3</v>
      </c>
      <c r="E85" s="201">
        <f>TRUNC(+D85*$E$80,2)</f>
        <v>14.94</v>
      </c>
    </row>
    <row r="86" spans="1:5" s="6" customFormat="1" ht="26.25" customHeight="1" x14ac:dyDescent="0.25">
      <c r="A86" s="33" t="s">
        <v>6</v>
      </c>
      <c r="B86" s="477" t="s">
        <v>108</v>
      </c>
      <c r="C86" s="477"/>
      <c r="D86" s="192">
        <f>((5/30)/12)*0.02</f>
        <v>2.7999999999999998E-4</v>
      </c>
      <c r="E86" s="201">
        <f>TRUNC(+D86*$E$80,2)</f>
        <v>0.75</v>
      </c>
    </row>
    <row r="87" spans="1:5" s="6" customFormat="1" ht="26.25" customHeight="1" x14ac:dyDescent="0.25">
      <c r="A87" s="33" t="s">
        <v>8</v>
      </c>
      <c r="B87" s="477" t="s">
        <v>109</v>
      </c>
      <c r="C87" s="477"/>
      <c r="D87" s="192">
        <f>((15/30)/12)*0.08</f>
        <v>3.3300000000000001E-3</v>
      </c>
      <c r="E87" s="201">
        <f>TRUNC(+D87*$E$80,2)</f>
        <v>8.9499999999999993</v>
      </c>
    </row>
    <row r="88" spans="1:5" s="6" customFormat="1" ht="26.25" customHeight="1" x14ac:dyDescent="0.25">
      <c r="A88" s="33" t="s">
        <v>31</v>
      </c>
      <c r="B88" s="477" t="s">
        <v>110</v>
      </c>
      <c r="C88" s="477"/>
      <c r="D88" s="204">
        <f>(4/12)/12*0.02*100/100</f>
        <v>5.5999999999999995E-4</v>
      </c>
      <c r="E88" s="201">
        <f t="shared" ref="E88:E89" si="1">TRUNC(+D88*$E$80,2)</f>
        <v>1.5</v>
      </c>
    </row>
    <row r="89" spans="1:5" s="6" customFormat="1" ht="26.25" customHeight="1" x14ac:dyDescent="0.25">
      <c r="A89" s="33" t="s">
        <v>33</v>
      </c>
      <c r="B89" s="477" t="s">
        <v>111</v>
      </c>
      <c r="C89" s="477"/>
      <c r="D89" s="192">
        <v>0</v>
      </c>
      <c r="E89" s="201">
        <f t="shared" si="1"/>
        <v>0</v>
      </c>
    </row>
    <row r="90" spans="1:5" s="6" customFormat="1" ht="26.25" customHeight="1" x14ac:dyDescent="0.25">
      <c r="A90" s="401" t="s">
        <v>35</v>
      </c>
      <c r="B90" s="402"/>
      <c r="C90" s="403"/>
      <c r="D90" s="203"/>
      <c r="E90" s="186">
        <f>SUM(E84:E89)</f>
        <v>51.03</v>
      </c>
    </row>
    <row r="91" spans="1:5" s="6" customFormat="1" ht="23.25" customHeight="1" x14ac:dyDescent="0.25">
      <c r="A91" s="495" t="s">
        <v>331</v>
      </c>
      <c r="B91" s="496"/>
      <c r="C91" s="496"/>
      <c r="D91" s="496"/>
      <c r="E91" s="497"/>
    </row>
    <row r="92" spans="1:5" s="6" customFormat="1" ht="23.25" customHeight="1" x14ac:dyDescent="0.25">
      <c r="A92" s="57" t="s">
        <v>68</v>
      </c>
      <c r="B92" s="492" t="s">
        <v>118</v>
      </c>
      <c r="C92" s="493"/>
      <c r="D92" s="494"/>
      <c r="E92" s="56" t="s">
        <v>18</v>
      </c>
    </row>
    <row r="93" spans="1:5" s="6" customFormat="1" ht="59.25" customHeight="1" x14ac:dyDescent="0.25">
      <c r="A93" s="34" t="s">
        <v>2</v>
      </c>
      <c r="B93" s="475" t="s">
        <v>119</v>
      </c>
      <c r="C93" s="476"/>
      <c r="D93" s="24"/>
      <c r="E93" s="205">
        <v>0</v>
      </c>
    </row>
    <row r="94" spans="1:5" s="6" customFormat="1" ht="15.6" customHeight="1" x14ac:dyDescent="0.25">
      <c r="A94" s="401" t="s">
        <v>35</v>
      </c>
      <c r="B94" s="402"/>
      <c r="C94" s="403"/>
      <c r="D94" s="203"/>
      <c r="E94" s="186">
        <f>SUM(E93)</f>
        <v>0</v>
      </c>
    </row>
    <row r="95" spans="1:5" s="6" customFormat="1" ht="20.25" customHeight="1" x14ac:dyDescent="0.25">
      <c r="A95" s="490" t="s">
        <v>69</v>
      </c>
      <c r="B95" s="490"/>
      <c r="C95" s="490"/>
      <c r="D95" s="490"/>
      <c r="E95" s="490"/>
    </row>
    <row r="96" spans="1:5" s="6" customFormat="1" x14ac:dyDescent="0.25">
      <c r="A96" s="26">
        <v>4</v>
      </c>
      <c r="B96" s="433" t="s">
        <v>70</v>
      </c>
      <c r="C96" s="434"/>
      <c r="D96" s="435"/>
      <c r="E96" s="27" t="s">
        <v>18</v>
      </c>
    </row>
    <row r="97" spans="1:9" s="6" customFormat="1" ht="31.15" customHeight="1" x14ac:dyDescent="0.25">
      <c r="A97" s="26" t="s">
        <v>67</v>
      </c>
      <c r="B97" s="61" t="s">
        <v>105</v>
      </c>
      <c r="C97" s="62"/>
      <c r="D97" s="63"/>
      <c r="E97" s="194">
        <f>+E90</f>
        <v>51.03</v>
      </c>
    </row>
    <row r="98" spans="1:9" s="6" customFormat="1" x14ac:dyDescent="0.25">
      <c r="A98" s="26" t="s">
        <v>68</v>
      </c>
      <c r="B98" s="61" t="s">
        <v>118</v>
      </c>
      <c r="C98" s="62"/>
      <c r="D98" s="63"/>
      <c r="E98" s="186">
        <f>+E94</f>
        <v>0</v>
      </c>
    </row>
    <row r="99" spans="1:9" s="6" customFormat="1" ht="15" customHeight="1" x14ac:dyDescent="0.25">
      <c r="A99" s="64"/>
      <c r="B99" s="478" t="s">
        <v>35</v>
      </c>
      <c r="C99" s="478"/>
      <c r="D99" s="479"/>
      <c r="E99" s="195">
        <f>SUM(E97:E98)</f>
        <v>51.03</v>
      </c>
    </row>
    <row r="100" spans="1:9" s="6" customFormat="1" ht="25.5" customHeight="1" x14ac:dyDescent="0.25">
      <c r="A100" s="401" t="s">
        <v>71</v>
      </c>
      <c r="B100" s="402"/>
      <c r="C100" s="402"/>
      <c r="D100" s="403"/>
      <c r="E100" s="186">
        <f>SUM(E99:E99)</f>
        <v>51.03</v>
      </c>
    </row>
    <row r="101" spans="1:9" s="6" customFormat="1" x14ac:dyDescent="0.25">
      <c r="A101" s="428" t="s">
        <v>72</v>
      </c>
      <c r="B101" s="429"/>
      <c r="C101" s="429"/>
      <c r="D101" s="430"/>
      <c r="E101" s="174"/>
    </row>
    <row r="102" spans="1:9" s="6" customFormat="1" x14ac:dyDescent="0.25">
      <c r="A102" s="57">
        <v>5</v>
      </c>
      <c r="B102" s="409" t="s">
        <v>73</v>
      </c>
      <c r="C102" s="410"/>
      <c r="D102" s="411"/>
      <c r="E102" s="56" t="s">
        <v>18</v>
      </c>
    </row>
    <row r="103" spans="1:9" s="6" customFormat="1" ht="25.5" customHeight="1" x14ac:dyDescent="0.25">
      <c r="A103" s="1" t="s">
        <v>2</v>
      </c>
      <c r="B103" s="412" t="s">
        <v>333</v>
      </c>
      <c r="C103" s="413"/>
      <c r="D103" s="414"/>
      <c r="E103" s="201">
        <f>'Uniforme + Transport. + V. Alim'!F23</f>
        <v>0</v>
      </c>
    </row>
    <row r="104" spans="1:9" s="6" customFormat="1" ht="21.75" customHeight="1" x14ac:dyDescent="0.25">
      <c r="A104" s="1" t="s">
        <v>4</v>
      </c>
      <c r="B104" s="412" t="s">
        <v>400</v>
      </c>
      <c r="C104" s="413"/>
      <c r="D104" s="414"/>
      <c r="E104" s="205" cm="1">
        <f t="array" ref="E104:H104">'Material + Equip.'!E83:H83</f>
        <v>0</v>
      </c>
      <c r="F104" s="245">
        <v>0</v>
      </c>
      <c r="G104" s="245">
        <v>0</v>
      </c>
      <c r="H104" s="245">
        <v>0</v>
      </c>
      <c r="I104" s="245"/>
    </row>
    <row r="105" spans="1:9" s="6" customFormat="1" x14ac:dyDescent="0.25">
      <c r="A105" s="1" t="s">
        <v>6</v>
      </c>
      <c r="B105" s="412" t="s">
        <v>399</v>
      </c>
      <c r="C105" s="413"/>
      <c r="D105" s="414"/>
      <c r="E105" s="205" cm="1">
        <f t="array" ref="E105:H105">'Material + Equip.'!E84:H84</f>
        <v>0</v>
      </c>
      <c r="F105" s="246">
        <v>0</v>
      </c>
      <c r="G105" s="245">
        <v>0</v>
      </c>
      <c r="H105" s="245">
        <v>0</v>
      </c>
      <c r="I105" s="245"/>
    </row>
    <row r="106" spans="1:9" s="6" customFormat="1" ht="18.75" customHeight="1" x14ac:dyDescent="0.25">
      <c r="A106" s="1" t="s">
        <v>8</v>
      </c>
      <c r="B106" s="412" t="s">
        <v>336</v>
      </c>
      <c r="C106" s="413"/>
      <c r="D106" s="414"/>
      <c r="E106" s="201">
        <v>7</v>
      </c>
      <c r="F106" s="246"/>
      <c r="G106" s="245"/>
      <c r="H106" s="245"/>
      <c r="I106" s="245"/>
    </row>
    <row r="107" spans="1:9" s="6" customFormat="1" ht="16.149999999999999" customHeight="1" thickBot="1" x14ac:dyDescent="0.3">
      <c r="A107" s="401" t="s">
        <v>74</v>
      </c>
      <c r="B107" s="402"/>
      <c r="C107" s="402"/>
      <c r="D107" s="403"/>
      <c r="E107" s="186">
        <f>SUM(E103:E106)</f>
        <v>7</v>
      </c>
      <c r="F107" s="22"/>
    </row>
    <row r="108" spans="1:9" s="6" customFormat="1" ht="22.5" customHeight="1" thickTop="1" thickBot="1" x14ac:dyDescent="0.3">
      <c r="A108" s="489" t="s">
        <v>75</v>
      </c>
      <c r="B108" s="489"/>
      <c r="C108" s="489"/>
      <c r="D108" s="239" t="s">
        <v>43</v>
      </c>
      <c r="E108" s="180">
        <f>E30</f>
        <v>1440.4</v>
      </c>
    </row>
    <row r="109" spans="1:9" s="6" customFormat="1" ht="22.5" customHeight="1" thickTop="1" thickBot="1" x14ac:dyDescent="0.3">
      <c r="A109" s="489"/>
      <c r="B109" s="489"/>
      <c r="C109" s="489"/>
      <c r="D109" s="239" t="s">
        <v>64</v>
      </c>
      <c r="E109" s="180">
        <f>E67</f>
        <v>1158.4000000000001</v>
      </c>
    </row>
    <row r="110" spans="1:9" s="6" customFormat="1" ht="22.5" customHeight="1" thickTop="1" thickBot="1" x14ac:dyDescent="0.3">
      <c r="A110" s="489"/>
      <c r="B110" s="489"/>
      <c r="C110" s="489"/>
      <c r="D110" s="239" t="s">
        <v>65</v>
      </c>
      <c r="E110" s="180">
        <f>E76</f>
        <v>90.02</v>
      </c>
    </row>
    <row r="111" spans="1:9" s="6" customFormat="1" ht="22.5" customHeight="1" thickTop="1" thickBot="1" x14ac:dyDescent="0.3">
      <c r="A111" s="489"/>
      <c r="B111" s="489"/>
      <c r="C111" s="489"/>
      <c r="D111" s="239" t="s">
        <v>76</v>
      </c>
      <c r="E111" s="180">
        <f>E100</f>
        <v>51.03</v>
      </c>
    </row>
    <row r="112" spans="1:9" s="6" customFormat="1" ht="22.5" customHeight="1" thickTop="1" thickBot="1" x14ac:dyDescent="0.3">
      <c r="A112" s="489"/>
      <c r="B112" s="489"/>
      <c r="C112" s="489"/>
      <c r="D112" s="239" t="s">
        <v>77</v>
      </c>
      <c r="E112" s="180">
        <f>E107</f>
        <v>7</v>
      </c>
    </row>
    <row r="113" spans="1:5" s="6" customFormat="1" ht="22.5" customHeight="1" thickTop="1" thickBot="1" x14ac:dyDescent="0.3">
      <c r="A113" s="489"/>
      <c r="B113" s="489"/>
      <c r="C113" s="489"/>
      <c r="D113" s="31" t="s">
        <v>56</v>
      </c>
      <c r="E113" s="180">
        <f>SUM(E108:E112)</f>
        <v>2746.85</v>
      </c>
    </row>
    <row r="114" spans="1:5" s="6" customFormat="1" ht="13.5" thickTop="1" x14ac:dyDescent="0.25">
      <c r="A114" s="428" t="s">
        <v>78</v>
      </c>
      <c r="B114" s="429"/>
      <c r="C114" s="429" t="s">
        <v>79</v>
      </c>
      <c r="D114" s="430" t="s">
        <v>80</v>
      </c>
      <c r="E114" s="174"/>
    </row>
    <row r="115" spans="1:5" s="6" customFormat="1" x14ac:dyDescent="0.25">
      <c r="A115" s="57">
        <v>6</v>
      </c>
      <c r="B115" s="409" t="s">
        <v>81</v>
      </c>
      <c r="C115" s="410"/>
      <c r="D115" s="411"/>
      <c r="E115" s="56" t="s">
        <v>18</v>
      </c>
    </row>
    <row r="116" spans="1:5" s="6" customFormat="1" ht="31.15" customHeight="1" x14ac:dyDescent="0.25">
      <c r="A116" s="36" t="s">
        <v>2</v>
      </c>
      <c r="B116" s="35" t="s">
        <v>82</v>
      </c>
      <c r="C116" s="381">
        <v>0</v>
      </c>
      <c r="D116" s="382"/>
      <c r="E116" s="201">
        <f>TRUNC(+E113*C116,2)</f>
        <v>0</v>
      </c>
    </row>
    <row r="117" spans="1:5" s="6" customFormat="1" ht="31.9" customHeight="1" thickBot="1" x14ac:dyDescent="0.3">
      <c r="A117" s="36" t="s">
        <v>4</v>
      </c>
      <c r="B117" s="35" t="s">
        <v>83</v>
      </c>
      <c r="C117" s="482">
        <v>0</v>
      </c>
      <c r="D117" s="483"/>
      <c r="E117" s="201">
        <f>TRUNC(C117*(+E113+E116),2)</f>
        <v>0</v>
      </c>
    </row>
    <row r="118" spans="1:5" s="6" customFormat="1" ht="27" customHeight="1" thickBot="1" x14ac:dyDescent="0.3">
      <c r="A118" s="37"/>
      <c r="B118" s="65" t="s">
        <v>84</v>
      </c>
      <c r="C118" s="484" t="s">
        <v>85</v>
      </c>
      <c r="D118" s="485"/>
      <c r="E118" s="218">
        <f>SUM(E116:E117,E113)</f>
        <v>2746.85</v>
      </c>
    </row>
    <row r="119" spans="1:5" s="6" customFormat="1" ht="13.5" thickBot="1" x14ac:dyDescent="0.3">
      <c r="A119" s="38" t="s">
        <v>6</v>
      </c>
      <c r="B119" s="238" t="s">
        <v>86</v>
      </c>
      <c r="C119" s="206">
        <f>(D126*100)</f>
        <v>8.65</v>
      </c>
      <c r="D119" s="207">
        <f>+(100-C119)/100</f>
        <v>0.91349999999999998</v>
      </c>
      <c r="E119" s="219">
        <f>E118/D119</f>
        <v>3006.95</v>
      </c>
    </row>
    <row r="120" spans="1:5" s="6" customFormat="1" ht="15.6" customHeight="1" x14ac:dyDescent="0.25">
      <c r="A120" s="40"/>
      <c r="B120" s="41" t="s">
        <v>87</v>
      </c>
      <c r="C120" s="208"/>
      <c r="D120" s="209"/>
      <c r="E120" s="30"/>
    </row>
    <row r="121" spans="1:5" s="6" customFormat="1" x14ac:dyDescent="0.25">
      <c r="A121" s="40"/>
      <c r="B121" s="42" t="s">
        <v>120</v>
      </c>
      <c r="C121" s="210"/>
      <c r="D121" s="192">
        <v>6.4999999999999997E-3</v>
      </c>
      <c r="E121" s="201">
        <f>+E119*D121</f>
        <v>19.55</v>
      </c>
    </row>
    <row r="122" spans="1:5" s="6" customFormat="1" x14ac:dyDescent="0.25">
      <c r="A122" s="40"/>
      <c r="B122" s="42" t="s">
        <v>121</v>
      </c>
      <c r="C122" s="210"/>
      <c r="D122" s="192">
        <v>0.03</v>
      </c>
      <c r="E122" s="201">
        <f>+E119*D122</f>
        <v>90.21</v>
      </c>
    </row>
    <row r="123" spans="1:5" s="6" customFormat="1" x14ac:dyDescent="0.25">
      <c r="A123" s="40"/>
      <c r="B123" s="43" t="s">
        <v>88</v>
      </c>
      <c r="C123" s="211"/>
      <c r="D123" s="212"/>
      <c r="E123" s="201"/>
    </row>
    <row r="124" spans="1:5" s="6" customFormat="1" x14ac:dyDescent="0.25">
      <c r="A124" s="40"/>
      <c r="B124" s="43" t="s">
        <v>89</v>
      </c>
      <c r="C124" s="211"/>
      <c r="D124" s="213"/>
      <c r="E124" s="201"/>
    </row>
    <row r="125" spans="1:5" s="6" customFormat="1" x14ac:dyDescent="0.25">
      <c r="A125" s="40"/>
      <c r="B125" s="44" t="s">
        <v>122</v>
      </c>
      <c r="C125" s="214"/>
      <c r="D125" s="215">
        <v>0.05</v>
      </c>
      <c r="E125" s="220">
        <f>+E119*D125</f>
        <v>150.35</v>
      </c>
    </row>
    <row r="126" spans="1:5" s="6" customFormat="1" x14ac:dyDescent="0.25">
      <c r="A126" s="45"/>
      <c r="B126" s="46" t="s">
        <v>90</v>
      </c>
      <c r="C126" s="216"/>
      <c r="D126" s="217">
        <f>SUM(D121:D125)</f>
        <v>8.6499999999999994E-2</v>
      </c>
      <c r="E126" s="221">
        <f>SUM(E121:E125)</f>
        <v>260.11</v>
      </c>
    </row>
    <row r="127" spans="1:5" s="6" customFormat="1" ht="15.6" customHeight="1" x14ac:dyDescent="0.25">
      <c r="A127" s="486" t="s">
        <v>91</v>
      </c>
      <c r="B127" s="487"/>
      <c r="C127" s="487"/>
      <c r="D127" s="488"/>
      <c r="E127" s="222">
        <f>E116+E117+E126</f>
        <v>260.11</v>
      </c>
    </row>
    <row r="128" spans="1:5" s="6" customFormat="1" ht="25.5" customHeight="1" x14ac:dyDescent="0.25">
      <c r="A128" s="401" t="s">
        <v>92</v>
      </c>
      <c r="B128" s="402"/>
      <c r="C128" s="402"/>
      <c r="D128" s="403"/>
      <c r="E128" s="186">
        <f>SUM(E127:E127)</f>
        <v>260.11</v>
      </c>
    </row>
    <row r="129" spans="1:7" s="6" customFormat="1" ht="15.6" customHeight="1" x14ac:dyDescent="0.25">
      <c r="A129" s="401" t="s">
        <v>93</v>
      </c>
      <c r="B129" s="402"/>
      <c r="C129" s="402"/>
      <c r="D129" s="402"/>
      <c r="E129" s="403"/>
    </row>
    <row r="130" spans="1:7" s="6" customFormat="1" ht="15.6" customHeight="1" x14ac:dyDescent="0.25">
      <c r="A130" s="401" t="s">
        <v>94</v>
      </c>
      <c r="B130" s="402"/>
      <c r="C130" s="402"/>
      <c r="D130" s="403"/>
      <c r="E130" s="47" t="s">
        <v>18</v>
      </c>
    </row>
    <row r="131" spans="1:7" s="6" customFormat="1" x14ac:dyDescent="0.25">
      <c r="A131" s="36" t="s">
        <v>2</v>
      </c>
      <c r="B131" s="475" t="s">
        <v>95</v>
      </c>
      <c r="C131" s="480"/>
      <c r="D131" s="476"/>
      <c r="E131" s="201">
        <f>E30</f>
        <v>1440.4</v>
      </c>
    </row>
    <row r="132" spans="1:7" s="6" customFormat="1" ht="15.6" customHeight="1" x14ac:dyDescent="0.25">
      <c r="A132" s="36" t="s">
        <v>4</v>
      </c>
      <c r="B132" s="475" t="s">
        <v>96</v>
      </c>
      <c r="C132" s="480"/>
      <c r="D132" s="476"/>
      <c r="E132" s="201">
        <f>+E67</f>
        <v>1158.4000000000001</v>
      </c>
    </row>
    <row r="133" spans="1:7" s="6" customFormat="1" x14ac:dyDescent="0.25">
      <c r="A133" s="36" t="s">
        <v>6</v>
      </c>
      <c r="B133" s="475" t="s">
        <v>97</v>
      </c>
      <c r="C133" s="480"/>
      <c r="D133" s="476"/>
      <c r="E133" s="201">
        <f>+E76</f>
        <v>90.02</v>
      </c>
    </row>
    <row r="134" spans="1:7" s="6" customFormat="1" ht="15.6" customHeight="1" x14ac:dyDescent="0.25">
      <c r="A134" s="36" t="s">
        <v>8</v>
      </c>
      <c r="B134" s="475" t="s">
        <v>98</v>
      </c>
      <c r="C134" s="480"/>
      <c r="D134" s="476"/>
      <c r="E134" s="201">
        <f>+E100</f>
        <v>51.03</v>
      </c>
    </row>
    <row r="135" spans="1:7" s="6" customFormat="1" ht="46.9" customHeight="1" x14ac:dyDescent="0.25">
      <c r="A135" s="36" t="s">
        <v>31</v>
      </c>
      <c r="B135" s="48" t="s">
        <v>99</v>
      </c>
      <c r="C135" s="49"/>
      <c r="D135" s="50"/>
      <c r="E135" s="201">
        <f>+E107</f>
        <v>7</v>
      </c>
      <c r="G135" s="6" t="s">
        <v>338</v>
      </c>
    </row>
    <row r="136" spans="1:7" s="6" customFormat="1" ht="15.6" customHeight="1" x14ac:dyDescent="0.25">
      <c r="A136" s="406" t="s">
        <v>100</v>
      </c>
      <c r="B136" s="407"/>
      <c r="C136" s="408"/>
      <c r="D136" s="51"/>
      <c r="E136" s="186">
        <f>SUM(E131:E135)</f>
        <v>2746.85</v>
      </c>
    </row>
    <row r="137" spans="1:7" s="6" customFormat="1" x14ac:dyDescent="0.25">
      <c r="A137" s="36" t="s">
        <v>33</v>
      </c>
      <c r="B137" s="475" t="s">
        <v>101</v>
      </c>
      <c r="C137" s="480"/>
      <c r="D137" s="476"/>
      <c r="E137" s="201">
        <f>E128</f>
        <v>260.11</v>
      </c>
      <c r="F137" s="17"/>
    </row>
    <row r="138" spans="1:7" s="6" customFormat="1" ht="16.149999999999999" customHeight="1" x14ac:dyDescent="0.25">
      <c r="A138" s="481" t="s">
        <v>102</v>
      </c>
      <c r="B138" s="481"/>
      <c r="C138" s="481"/>
      <c r="D138" s="481"/>
      <c r="E138" s="224">
        <f>+E136+E137</f>
        <v>3006.96</v>
      </c>
      <c r="F138" s="66"/>
    </row>
    <row r="139" spans="1:7" x14ac:dyDescent="0.25">
      <c r="A139" s="510"/>
      <c r="B139" s="510"/>
      <c r="C139" s="510"/>
      <c r="D139" s="510"/>
      <c r="E139" s="223"/>
    </row>
  </sheetData>
  <mergeCells count="117">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5:D105"/>
    <mergeCell ref="B106:D106"/>
    <mergeCell ref="A107:D107"/>
    <mergeCell ref="A108:C113"/>
    <mergeCell ref="A114:D114"/>
    <mergeCell ref="B115:D115"/>
    <mergeCell ref="B99:D99"/>
    <mergeCell ref="A100:D100"/>
    <mergeCell ref="A101:D101"/>
    <mergeCell ref="B102:D102"/>
    <mergeCell ref="B103:D103"/>
    <mergeCell ref="B104:D104"/>
    <mergeCell ref="A91:E91"/>
    <mergeCell ref="B92:D92"/>
    <mergeCell ref="B93:C93"/>
    <mergeCell ref="A94:C94"/>
    <mergeCell ref="A95:E95"/>
    <mergeCell ref="B96:D96"/>
    <mergeCell ref="B85:C85"/>
    <mergeCell ref="B86:C86"/>
    <mergeCell ref="B87:C87"/>
    <mergeCell ref="B88:C88"/>
    <mergeCell ref="B89:C89"/>
    <mergeCell ref="A90:C90"/>
    <mergeCell ref="A76:D76"/>
    <mergeCell ref="A77:C80"/>
    <mergeCell ref="A81:D81"/>
    <mergeCell ref="A82:E82"/>
    <mergeCell ref="B83:D83"/>
    <mergeCell ref="B84:C84"/>
    <mergeCell ref="B70:C70"/>
    <mergeCell ref="B71:C71"/>
    <mergeCell ref="B72:C72"/>
    <mergeCell ref="B73:C73"/>
    <mergeCell ref="B74:C74"/>
    <mergeCell ref="B75:C75"/>
    <mergeCell ref="A61:D61"/>
    <mergeCell ref="A62:E62"/>
    <mergeCell ref="B63:D63"/>
    <mergeCell ref="A67:D67"/>
    <mergeCell ref="A68:E68"/>
    <mergeCell ref="B69:D69"/>
    <mergeCell ref="B55:D55"/>
    <mergeCell ref="B56:D56"/>
    <mergeCell ref="B57:D57"/>
    <mergeCell ref="B58:D58"/>
    <mergeCell ref="B59:D59"/>
    <mergeCell ref="B60:D60"/>
    <mergeCell ref="B49:C49"/>
    <mergeCell ref="B50:C50"/>
    <mergeCell ref="A51:C51"/>
    <mergeCell ref="B52:E52"/>
    <mergeCell ref="B53:D53"/>
    <mergeCell ref="B54:D54"/>
    <mergeCell ref="B43:C43"/>
    <mergeCell ref="B44:C44"/>
    <mergeCell ref="B45:C45"/>
    <mergeCell ref="B46:C46"/>
    <mergeCell ref="B47:C47"/>
    <mergeCell ref="B48:C48"/>
    <mergeCell ref="B35:C35"/>
    <mergeCell ref="A36:C36"/>
    <mergeCell ref="A37:D37"/>
    <mergeCell ref="A38:C40"/>
    <mergeCell ref="A41:E41"/>
    <mergeCell ref="B42:D42"/>
    <mergeCell ref="C28:D28"/>
    <mergeCell ref="A29:D29"/>
    <mergeCell ref="A30:D30"/>
    <mergeCell ref="A31:E31"/>
    <mergeCell ref="B32:E32"/>
    <mergeCell ref="B33:D33"/>
    <mergeCell ref="A22:E22"/>
    <mergeCell ref="B23:D23"/>
    <mergeCell ref="C24:D24"/>
    <mergeCell ref="C25:D25"/>
    <mergeCell ref="C26:D26"/>
    <mergeCell ref="C27:D27"/>
    <mergeCell ref="A16:D16"/>
    <mergeCell ref="C17:E17"/>
    <mergeCell ref="C18:E18"/>
    <mergeCell ref="C19:E19"/>
    <mergeCell ref="C20:E20"/>
    <mergeCell ref="C21:E21"/>
    <mergeCell ref="A12:B12"/>
    <mergeCell ref="D12:E12"/>
    <mergeCell ref="A13:B13"/>
    <mergeCell ref="D13:E13"/>
    <mergeCell ref="A14:E14"/>
    <mergeCell ref="A15:E15"/>
    <mergeCell ref="A6:E6"/>
    <mergeCell ref="C7:E7"/>
    <mergeCell ref="C8:E8"/>
    <mergeCell ref="C9:E9"/>
    <mergeCell ref="C10:E10"/>
    <mergeCell ref="A11:E11"/>
    <mergeCell ref="A1:E2"/>
    <mergeCell ref="A3:C3"/>
    <mergeCell ref="D3:E3"/>
    <mergeCell ref="A4:C4"/>
    <mergeCell ref="D4:E4"/>
    <mergeCell ref="B5:E5"/>
  </mergeCells>
  <hyperlinks>
    <hyperlink ref="B73" location="Plan2!A1" display="Aviso prévio trabalhado" xr:uid="{34A3CDA4-F903-44F5-B2EE-611FCADB105B}"/>
    <hyperlink ref="B48" r:id="rId1" display="08 - Sebrae 0,3% ou 0,6% - IN nº 03, MPS/SRP/2005, Anexo II e III ver código da Tabela" xr:uid="{C92F89EC-4DC1-421A-B02B-A5FBAD1480E6}"/>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6BA15-02AD-4A66-BF2E-FBB44D155963}">
  <sheetPr>
    <pageSetUpPr fitToPage="1"/>
  </sheetPr>
  <dimension ref="A1:I139"/>
  <sheetViews>
    <sheetView zoomScale="115" zoomScaleNormal="115" workbookViewId="0">
      <selection activeCell="B105" sqref="B105:D105"/>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39" t="s">
        <v>0</v>
      </c>
      <c r="B1" s="440"/>
      <c r="C1" s="440"/>
      <c r="D1" s="440"/>
      <c r="E1" s="441"/>
    </row>
    <row r="2" spans="1:7" ht="13.5" customHeight="1" thickBot="1" x14ac:dyDescent="0.3">
      <c r="A2" s="442"/>
      <c r="B2" s="443"/>
      <c r="C2" s="443"/>
      <c r="D2" s="443"/>
      <c r="E2" s="444"/>
    </row>
    <row r="3" spans="1:7" ht="15" customHeight="1" x14ac:dyDescent="0.25">
      <c r="A3" s="445" t="s">
        <v>112</v>
      </c>
      <c r="B3" s="446"/>
      <c r="C3" s="447"/>
      <c r="D3" s="448" t="s">
        <v>310</v>
      </c>
      <c r="E3" s="449"/>
    </row>
    <row r="4" spans="1:7" ht="15" customHeight="1" x14ac:dyDescent="0.25">
      <c r="A4" s="445" t="s">
        <v>113</v>
      </c>
      <c r="B4" s="446"/>
      <c r="C4" s="447"/>
      <c r="D4" s="450" t="s">
        <v>397</v>
      </c>
      <c r="E4" s="451"/>
    </row>
    <row r="5" spans="1:7" x14ac:dyDescent="0.25">
      <c r="A5" s="241"/>
      <c r="B5" s="452" t="s">
        <v>311</v>
      </c>
      <c r="C5" s="452"/>
      <c r="D5" s="452"/>
      <c r="E5" s="453"/>
    </row>
    <row r="6" spans="1:7" x14ac:dyDescent="0.25">
      <c r="A6" s="454" t="s">
        <v>1</v>
      </c>
      <c r="B6" s="455"/>
      <c r="C6" s="455"/>
      <c r="D6" s="455"/>
      <c r="E6" s="456"/>
    </row>
    <row r="7" spans="1:7" ht="31.5" customHeight="1" x14ac:dyDescent="0.25">
      <c r="A7" s="4" t="s">
        <v>2</v>
      </c>
      <c r="B7" s="5" t="s">
        <v>3</v>
      </c>
      <c r="C7" s="463" t="s">
        <v>312</v>
      </c>
      <c r="D7" s="464"/>
      <c r="E7" s="465"/>
    </row>
    <row r="8" spans="1:7" ht="16.149999999999999" customHeight="1" x14ac:dyDescent="0.25">
      <c r="A8" s="4" t="s">
        <v>4</v>
      </c>
      <c r="B8" s="5" t="s">
        <v>5</v>
      </c>
      <c r="C8" s="466" t="s">
        <v>393</v>
      </c>
      <c r="D8" s="467"/>
      <c r="E8" s="468"/>
    </row>
    <row r="9" spans="1:7" ht="22.5" customHeight="1" x14ac:dyDescent="0.25">
      <c r="A9" s="4" t="s">
        <v>6</v>
      </c>
      <c r="B9" s="5" t="s">
        <v>7</v>
      </c>
      <c r="C9" s="466" t="s">
        <v>313</v>
      </c>
      <c r="D9" s="467"/>
      <c r="E9" s="468"/>
    </row>
    <row r="10" spans="1:7" ht="32.25" customHeight="1" x14ac:dyDescent="0.25">
      <c r="A10" s="4" t="s">
        <v>8</v>
      </c>
      <c r="B10" s="5" t="s">
        <v>9</v>
      </c>
      <c r="C10" s="466" t="s">
        <v>10</v>
      </c>
      <c r="D10" s="467"/>
      <c r="E10" s="468"/>
    </row>
    <row r="11" spans="1:7" x14ac:dyDescent="0.25">
      <c r="A11" s="454" t="s">
        <v>11</v>
      </c>
      <c r="B11" s="455"/>
      <c r="C11" s="455"/>
      <c r="D11" s="455"/>
      <c r="E11" s="456"/>
    </row>
    <row r="12" spans="1:7" ht="33.75" customHeight="1" x14ac:dyDescent="0.25">
      <c r="A12" s="469" t="s">
        <v>12</v>
      </c>
      <c r="B12" s="470"/>
      <c r="C12" s="7" t="s">
        <v>13</v>
      </c>
      <c r="D12" s="471" t="s">
        <v>332</v>
      </c>
      <c r="E12" s="472"/>
    </row>
    <row r="13" spans="1:7" ht="24.75" customHeight="1" x14ac:dyDescent="0.25">
      <c r="A13" s="473" t="s">
        <v>181</v>
      </c>
      <c r="B13" s="474"/>
      <c r="C13" s="8" t="s">
        <v>315</v>
      </c>
      <c r="D13" s="417">
        <v>1</v>
      </c>
      <c r="E13" s="419"/>
    </row>
    <row r="14" spans="1:7" ht="23.25" customHeight="1" x14ac:dyDescent="0.25">
      <c r="A14" s="457" t="s">
        <v>15</v>
      </c>
      <c r="B14" s="458"/>
      <c r="C14" s="458"/>
      <c r="D14" s="458"/>
      <c r="E14" s="459"/>
    </row>
    <row r="15" spans="1:7" x14ac:dyDescent="0.25">
      <c r="A15" s="460" t="s">
        <v>16</v>
      </c>
      <c r="B15" s="461"/>
      <c r="C15" s="461"/>
      <c r="D15" s="461"/>
      <c r="E15" s="462"/>
    </row>
    <row r="16" spans="1:7" ht="27.75" customHeight="1" x14ac:dyDescent="0.25">
      <c r="A16" s="409" t="s">
        <v>17</v>
      </c>
      <c r="B16" s="410"/>
      <c r="C16" s="410"/>
      <c r="D16" s="411"/>
      <c r="E16" s="56" t="s">
        <v>18</v>
      </c>
      <c r="G16" s="9"/>
    </row>
    <row r="17" spans="1:8" ht="31.5" customHeight="1" x14ac:dyDescent="0.25">
      <c r="A17" s="4">
        <v>1</v>
      </c>
      <c r="B17" s="10" t="s">
        <v>103</v>
      </c>
      <c r="C17" s="417" t="s">
        <v>341</v>
      </c>
      <c r="D17" s="418"/>
      <c r="E17" s="419"/>
    </row>
    <row r="18" spans="1:8" ht="31.5" customHeight="1" x14ac:dyDescent="0.25">
      <c r="A18" s="4">
        <v>2</v>
      </c>
      <c r="B18" s="10" t="s">
        <v>19</v>
      </c>
      <c r="C18" s="417" t="s">
        <v>342</v>
      </c>
      <c r="D18" s="418"/>
      <c r="E18" s="419"/>
    </row>
    <row r="19" spans="1:8" ht="31.5" customHeight="1" x14ac:dyDescent="0.25">
      <c r="A19" s="4">
        <v>3</v>
      </c>
      <c r="B19" s="10" t="s">
        <v>20</v>
      </c>
      <c r="C19" s="420">
        <v>1108</v>
      </c>
      <c r="D19" s="421"/>
      <c r="E19" s="422"/>
    </row>
    <row r="20" spans="1:8" ht="48" customHeight="1" x14ac:dyDescent="0.25">
      <c r="A20" s="4">
        <v>4</v>
      </c>
      <c r="B20" s="10" t="s">
        <v>22</v>
      </c>
      <c r="C20" s="417" t="s">
        <v>318</v>
      </c>
      <c r="D20" s="418"/>
      <c r="E20" s="419"/>
    </row>
    <row r="21" spans="1:8" ht="28.5" customHeight="1" x14ac:dyDescent="0.25">
      <c r="A21" s="4">
        <v>5</v>
      </c>
      <c r="B21" s="11" t="s">
        <v>23</v>
      </c>
      <c r="C21" s="423" t="s">
        <v>123</v>
      </c>
      <c r="D21" s="424"/>
      <c r="E21" s="425"/>
    </row>
    <row r="22" spans="1:8" s="6" customFormat="1" ht="27" customHeight="1" x14ac:dyDescent="0.25">
      <c r="A22" s="428" t="s">
        <v>24</v>
      </c>
      <c r="B22" s="429"/>
      <c r="C22" s="429"/>
      <c r="D22" s="429"/>
      <c r="E22" s="430"/>
    </row>
    <row r="23" spans="1:8" s="6" customFormat="1" ht="22.5" customHeight="1" x14ac:dyDescent="0.25">
      <c r="A23" s="57">
        <v>1</v>
      </c>
      <c r="B23" s="409" t="s">
        <v>25</v>
      </c>
      <c r="C23" s="410"/>
      <c r="D23" s="411"/>
      <c r="E23" s="56" t="s">
        <v>18</v>
      </c>
    </row>
    <row r="24" spans="1:8" ht="26.25" customHeight="1" x14ac:dyDescent="0.25">
      <c r="A24" s="12" t="s">
        <v>2</v>
      </c>
      <c r="B24" s="58" t="s">
        <v>27</v>
      </c>
      <c r="C24" s="379"/>
      <c r="D24" s="380"/>
      <c r="E24" s="172">
        <v>1108</v>
      </c>
    </row>
    <row r="25" spans="1:8" ht="26.25" customHeight="1" x14ac:dyDescent="0.25">
      <c r="A25" s="13" t="s">
        <v>4</v>
      </c>
      <c r="B25" s="59" t="s">
        <v>28</v>
      </c>
      <c r="C25" s="381" t="s">
        <v>114</v>
      </c>
      <c r="D25" s="382"/>
      <c r="E25" s="173"/>
    </row>
    <row r="26" spans="1:8" x14ac:dyDescent="0.25">
      <c r="A26" s="13" t="s">
        <v>6</v>
      </c>
      <c r="B26" s="59" t="s">
        <v>29</v>
      </c>
      <c r="C26" s="383"/>
      <c r="D26" s="384"/>
      <c r="E26" s="173"/>
    </row>
    <row r="27" spans="1:8" x14ac:dyDescent="0.25">
      <c r="A27" s="13" t="s">
        <v>8</v>
      </c>
      <c r="B27" s="59" t="s">
        <v>30</v>
      </c>
      <c r="C27" s="383"/>
      <c r="D27" s="384"/>
      <c r="E27" s="173"/>
      <c r="H27" s="14"/>
    </row>
    <row r="28" spans="1:8" x14ac:dyDescent="0.2">
      <c r="A28" s="13" t="s">
        <v>31</v>
      </c>
      <c r="B28" s="59" t="s">
        <v>32</v>
      </c>
      <c r="C28" s="385"/>
      <c r="D28" s="384"/>
      <c r="E28" s="173"/>
      <c r="F28" s="60"/>
    </row>
    <row r="29" spans="1:8" x14ac:dyDescent="0.25">
      <c r="A29" s="398" t="s">
        <v>35</v>
      </c>
      <c r="B29" s="399"/>
      <c r="C29" s="399"/>
      <c r="D29" s="400"/>
      <c r="E29" s="171">
        <f>SUM(E24:E28)</f>
        <v>1108</v>
      </c>
    </row>
    <row r="30" spans="1:8" s="6" customFormat="1" ht="25.5" customHeight="1" x14ac:dyDescent="0.25">
      <c r="A30" s="401" t="s">
        <v>36</v>
      </c>
      <c r="B30" s="402"/>
      <c r="C30" s="402"/>
      <c r="D30" s="403"/>
      <c r="E30" s="171">
        <f>SUM(E29:E29)</f>
        <v>1108</v>
      </c>
    </row>
    <row r="31" spans="1:8" s="6" customFormat="1" ht="25.5" customHeight="1" x14ac:dyDescent="0.25">
      <c r="A31" s="428" t="s">
        <v>37</v>
      </c>
      <c r="B31" s="429"/>
      <c r="C31" s="429"/>
      <c r="D31" s="429"/>
      <c r="E31" s="430"/>
    </row>
    <row r="32" spans="1:8" s="6" customFormat="1" ht="25.5" customHeight="1" x14ac:dyDescent="0.25">
      <c r="A32" s="16"/>
      <c r="B32" s="404" t="s">
        <v>38</v>
      </c>
      <c r="C32" s="404"/>
      <c r="D32" s="404"/>
      <c r="E32" s="405"/>
    </row>
    <row r="33" spans="1:7" s="6" customFormat="1" ht="25.5" customHeight="1" x14ac:dyDescent="0.25">
      <c r="A33" s="57" t="s">
        <v>39</v>
      </c>
      <c r="B33" s="409" t="s">
        <v>40</v>
      </c>
      <c r="C33" s="410"/>
      <c r="D33" s="411"/>
      <c r="E33" s="56" t="s">
        <v>18</v>
      </c>
      <c r="G33" s="17"/>
    </row>
    <row r="34" spans="1:7" s="6" customFormat="1" ht="25.5" customHeight="1" x14ac:dyDescent="0.25">
      <c r="A34" s="18" t="s">
        <v>2</v>
      </c>
      <c r="B34" s="19" t="s">
        <v>320</v>
      </c>
      <c r="C34" s="20"/>
      <c r="D34" s="178">
        <f>(1/12)</f>
        <v>8.3333000000000004E-2</v>
      </c>
      <c r="E34" s="171">
        <f>TRUNC($E$30*D34,2)</f>
        <v>92.33</v>
      </c>
    </row>
    <row r="35" spans="1:7" s="6" customFormat="1" ht="25.5" customHeight="1" x14ac:dyDescent="0.25">
      <c r="A35" s="18" t="s">
        <v>4</v>
      </c>
      <c r="B35" s="426" t="s">
        <v>319</v>
      </c>
      <c r="C35" s="427"/>
      <c r="D35" s="176">
        <v>0.121</v>
      </c>
      <c r="E35" s="171">
        <f>TRUNC($E$30*D35,2)</f>
        <v>134.06</v>
      </c>
    </row>
    <row r="36" spans="1:7" s="6" customFormat="1" ht="25.5" customHeight="1" x14ac:dyDescent="0.25">
      <c r="A36" s="386" t="s">
        <v>35</v>
      </c>
      <c r="B36" s="387"/>
      <c r="C36" s="388"/>
      <c r="D36" s="177">
        <f>SUM(D34:D35)</f>
        <v>0.20433000000000001</v>
      </c>
      <c r="E36" s="171">
        <f>SUM(E34:E35)</f>
        <v>226.39</v>
      </c>
    </row>
    <row r="37" spans="1:7" s="6" customFormat="1" ht="25.5" customHeight="1" thickBot="1" x14ac:dyDescent="0.3">
      <c r="A37" s="389" t="s">
        <v>41</v>
      </c>
      <c r="B37" s="390"/>
      <c r="C37" s="390"/>
      <c r="D37" s="391"/>
      <c r="E37" s="179">
        <f>SUM(E36:E36)</f>
        <v>226.39</v>
      </c>
    </row>
    <row r="38" spans="1:7" s="6" customFormat="1" ht="25.5" customHeight="1" thickTop="1" thickBot="1" x14ac:dyDescent="0.3">
      <c r="A38" s="392" t="s">
        <v>42</v>
      </c>
      <c r="B38" s="392"/>
      <c r="C38" s="393"/>
      <c r="D38" s="239" t="s">
        <v>43</v>
      </c>
      <c r="E38" s="182">
        <f>E30</f>
        <v>1108</v>
      </c>
    </row>
    <row r="39" spans="1:7" s="6" customFormat="1" ht="22.5" customHeight="1" thickTop="1" thickBot="1" x14ac:dyDescent="0.3">
      <c r="A39" s="394"/>
      <c r="B39" s="394"/>
      <c r="C39" s="395"/>
      <c r="D39" s="239" t="s">
        <v>44</v>
      </c>
      <c r="E39" s="183">
        <f>E37</f>
        <v>226.39</v>
      </c>
    </row>
    <row r="40" spans="1:7" s="6" customFormat="1" ht="22.5" customHeight="1" thickTop="1" x14ac:dyDescent="0.25">
      <c r="A40" s="394"/>
      <c r="B40" s="394"/>
      <c r="C40" s="395"/>
      <c r="D40" s="181" t="s">
        <v>35</v>
      </c>
      <c r="E40" s="184">
        <f>SUM(E38:E39)</f>
        <v>1334.39</v>
      </c>
    </row>
    <row r="41" spans="1:7" s="6" customFormat="1" ht="42" customHeight="1" x14ac:dyDescent="0.25">
      <c r="A41" s="498" t="s">
        <v>321</v>
      </c>
      <c r="B41" s="499"/>
      <c r="C41" s="499"/>
      <c r="D41" s="499"/>
      <c r="E41" s="499"/>
      <c r="F41" s="22"/>
    </row>
    <row r="42" spans="1:7" s="6" customFormat="1" ht="22.5" customHeight="1" x14ac:dyDescent="0.25">
      <c r="A42" s="57" t="s">
        <v>45</v>
      </c>
      <c r="B42" s="409" t="s">
        <v>46</v>
      </c>
      <c r="C42" s="410"/>
      <c r="D42" s="411"/>
      <c r="E42" s="56" t="s">
        <v>18</v>
      </c>
      <c r="F42" s="22"/>
    </row>
    <row r="43" spans="1:7" s="6" customFormat="1" ht="22.5" customHeight="1" x14ac:dyDescent="0.25">
      <c r="A43" s="1" t="s">
        <v>2</v>
      </c>
      <c r="B43" s="396" t="s">
        <v>14</v>
      </c>
      <c r="C43" s="397"/>
      <c r="D43" s="24">
        <v>0.2</v>
      </c>
      <c r="E43" s="171">
        <f t="shared" ref="E43:E50" si="0">TRUNC($E$40*D43,2)</f>
        <v>266.87</v>
      </c>
      <c r="F43" s="22"/>
    </row>
    <row r="44" spans="1:7" s="6" customFormat="1" ht="22.5" customHeight="1" x14ac:dyDescent="0.25">
      <c r="A44" s="1" t="s">
        <v>4</v>
      </c>
      <c r="B44" s="396" t="s">
        <v>47</v>
      </c>
      <c r="C44" s="397"/>
      <c r="D44" s="197">
        <v>2.5000000000000001E-2</v>
      </c>
      <c r="E44" s="171">
        <f t="shared" si="0"/>
        <v>33.35</v>
      </c>
      <c r="F44" s="23"/>
    </row>
    <row r="45" spans="1:7" s="6" customFormat="1" ht="22.5" customHeight="1" x14ac:dyDescent="0.25">
      <c r="A45" s="1" t="s">
        <v>6</v>
      </c>
      <c r="B45" s="396" t="s">
        <v>115</v>
      </c>
      <c r="C45" s="397"/>
      <c r="D45" s="197">
        <v>0</v>
      </c>
      <c r="E45" s="171">
        <f t="shared" si="0"/>
        <v>0</v>
      </c>
    </row>
    <row r="46" spans="1:7" s="6" customFormat="1" ht="22.5" customHeight="1" x14ac:dyDescent="0.25">
      <c r="A46" s="1" t="s">
        <v>8</v>
      </c>
      <c r="B46" s="396" t="s">
        <v>48</v>
      </c>
      <c r="C46" s="397"/>
      <c r="D46" s="197">
        <v>1.4999999999999999E-2</v>
      </c>
      <c r="E46" s="171">
        <f t="shared" si="0"/>
        <v>20.010000000000002</v>
      </c>
      <c r="F46" s="22"/>
    </row>
    <row r="47" spans="1:7" s="6" customFormat="1" ht="22.5" customHeight="1" x14ac:dyDescent="0.25">
      <c r="A47" s="1" t="s">
        <v>31</v>
      </c>
      <c r="B47" s="396" t="s">
        <v>49</v>
      </c>
      <c r="C47" s="397"/>
      <c r="D47" s="197">
        <v>0.01</v>
      </c>
      <c r="E47" s="171">
        <f t="shared" si="0"/>
        <v>13.34</v>
      </c>
      <c r="F47" s="25"/>
    </row>
    <row r="48" spans="1:7" s="6" customFormat="1" ht="22.5" customHeight="1" x14ac:dyDescent="0.25">
      <c r="A48" s="1" t="s">
        <v>33</v>
      </c>
      <c r="B48" s="396" t="s">
        <v>50</v>
      </c>
      <c r="C48" s="397"/>
      <c r="D48" s="197">
        <v>6.0000000000000001E-3</v>
      </c>
      <c r="E48" s="171">
        <f t="shared" si="0"/>
        <v>8</v>
      </c>
    </row>
    <row r="49" spans="1:5" s="6" customFormat="1" ht="22.5" customHeight="1" x14ac:dyDescent="0.25">
      <c r="A49" s="1" t="s">
        <v>34</v>
      </c>
      <c r="B49" s="396" t="s">
        <v>51</v>
      </c>
      <c r="C49" s="397"/>
      <c r="D49" s="197">
        <v>2E-3</v>
      </c>
      <c r="E49" s="171">
        <f t="shared" si="0"/>
        <v>2.66</v>
      </c>
    </row>
    <row r="50" spans="1:5" s="6" customFormat="1" ht="22.5" customHeight="1" x14ac:dyDescent="0.25">
      <c r="A50" s="1" t="s">
        <v>52</v>
      </c>
      <c r="B50" s="396" t="s">
        <v>53</v>
      </c>
      <c r="C50" s="397"/>
      <c r="D50" s="197">
        <v>0.08</v>
      </c>
      <c r="E50" s="171">
        <f t="shared" si="0"/>
        <v>106.75</v>
      </c>
    </row>
    <row r="51" spans="1:5" s="6" customFormat="1" ht="22.5" customHeight="1" x14ac:dyDescent="0.25">
      <c r="A51" s="406" t="s">
        <v>35</v>
      </c>
      <c r="B51" s="407"/>
      <c r="C51" s="408"/>
      <c r="D51" s="185">
        <f>SUM(D43:D50)</f>
        <v>0.33800000000000002</v>
      </c>
      <c r="E51" s="186">
        <f>SUM(E43:E50)</f>
        <v>450.98</v>
      </c>
    </row>
    <row r="52" spans="1:5" s="6" customFormat="1" ht="25.5" customHeight="1" x14ac:dyDescent="0.25">
      <c r="A52" s="16"/>
      <c r="B52" s="404" t="s">
        <v>124</v>
      </c>
      <c r="C52" s="404"/>
      <c r="D52" s="404"/>
      <c r="E52" s="405"/>
    </row>
    <row r="53" spans="1:5" ht="25.5" customHeight="1" x14ac:dyDescent="0.25">
      <c r="A53" s="57" t="s">
        <v>54</v>
      </c>
      <c r="B53" s="409" t="s">
        <v>55</v>
      </c>
      <c r="C53" s="410"/>
      <c r="D53" s="411"/>
      <c r="E53" s="56" t="s">
        <v>18</v>
      </c>
    </row>
    <row r="54" spans="1:5" ht="25.5" customHeight="1" x14ac:dyDescent="0.25">
      <c r="A54" s="1" t="s">
        <v>2</v>
      </c>
      <c r="B54" s="475" t="s">
        <v>322</v>
      </c>
      <c r="C54" s="480"/>
      <c r="D54" s="476"/>
      <c r="E54" s="171">
        <v>0</v>
      </c>
    </row>
    <row r="55" spans="1:5" ht="25.5" customHeight="1" x14ac:dyDescent="0.25">
      <c r="A55" s="1" t="s">
        <v>4</v>
      </c>
      <c r="B55" s="475" t="s">
        <v>323</v>
      </c>
      <c r="C55" s="480"/>
      <c r="D55" s="476"/>
      <c r="E55" s="171">
        <f>'Uniforme + Transport. + V. Alim'!F34</f>
        <v>220</v>
      </c>
    </row>
    <row r="56" spans="1:5" ht="25.5" customHeight="1" x14ac:dyDescent="0.25">
      <c r="A56" s="1" t="s">
        <v>6</v>
      </c>
      <c r="B56" s="475" t="s">
        <v>324</v>
      </c>
      <c r="C56" s="480"/>
      <c r="D56" s="476"/>
      <c r="E56" s="171">
        <f>TRUNC(((E30*3%)/12*3),2)</f>
        <v>8.31</v>
      </c>
    </row>
    <row r="57" spans="1:5" ht="25.5" customHeight="1" x14ac:dyDescent="0.25">
      <c r="A57" s="1" t="s">
        <v>8</v>
      </c>
      <c r="B57" s="475" t="s">
        <v>325</v>
      </c>
      <c r="C57" s="480"/>
      <c r="D57" s="476"/>
      <c r="E57" s="171">
        <v>5</v>
      </c>
    </row>
    <row r="58" spans="1:5" ht="25.5" customHeight="1" x14ac:dyDescent="0.25">
      <c r="A58" s="1" t="s">
        <v>31</v>
      </c>
      <c r="B58" s="475" t="s">
        <v>326</v>
      </c>
      <c r="C58" s="480"/>
      <c r="D58" s="476"/>
      <c r="E58" s="171">
        <v>18</v>
      </c>
    </row>
    <row r="59" spans="1:5" ht="35.25" customHeight="1" x14ac:dyDescent="0.25">
      <c r="A59" s="1" t="s">
        <v>33</v>
      </c>
      <c r="B59" s="475" t="s">
        <v>327</v>
      </c>
      <c r="C59" s="480"/>
      <c r="D59" s="476"/>
      <c r="E59" s="173">
        <v>24</v>
      </c>
    </row>
    <row r="60" spans="1:5" ht="25.5" customHeight="1" x14ac:dyDescent="0.25">
      <c r="A60" s="1" t="s">
        <v>34</v>
      </c>
      <c r="B60" s="475" t="s">
        <v>328</v>
      </c>
      <c r="C60" s="480"/>
      <c r="D60" s="476"/>
      <c r="E60" s="171">
        <v>0</v>
      </c>
    </row>
    <row r="61" spans="1:5" s="6" customFormat="1" ht="25.5" customHeight="1" x14ac:dyDescent="0.25">
      <c r="A61" s="386" t="s">
        <v>56</v>
      </c>
      <c r="B61" s="387"/>
      <c r="C61" s="387"/>
      <c r="D61" s="388"/>
      <c r="E61" s="186">
        <f>SUM(E54:E60)</f>
        <v>275.31</v>
      </c>
    </row>
    <row r="62" spans="1:5" s="6" customFormat="1" ht="25.5" customHeight="1" x14ac:dyDescent="0.25">
      <c r="A62" s="431" t="s">
        <v>57</v>
      </c>
      <c r="B62" s="431"/>
      <c r="C62" s="431"/>
      <c r="D62" s="431"/>
      <c r="E62" s="432"/>
    </row>
    <row r="63" spans="1:5" s="6" customFormat="1" ht="25.5" customHeight="1" x14ac:dyDescent="0.25">
      <c r="A63" s="26">
        <v>2</v>
      </c>
      <c r="B63" s="433" t="s">
        <v>58</v>
      </c>
      <c r="C63" s="434"/>
      <c r="D63" s="435"/>
      <c r="E63" s="193" t="s">
        <v>18</v>
      </c>
    </row>
    <row r="64" spans="1:5" s="6" customFormat="1" ht="25.5" customHeight="1" x14ac:dyDescent="0.25">
      <c r="A64" s="26" t="s">
        <v>39</v>
      </c>
      <c r="B64" s="61" t="s">
        <v>40</v>
      </c>
      <c r="C64" s="62"/>
      <c r="D64" s="63"/>
      <c r="E64" s="194">
        <f>E37</f>
        <v>226.39</v>
      </c>
    </row>
    <row r="65" spans="1:8" s="6" customFormat="1" ht="25.5" customHeight="1" x14ac:dyDescent="0.25">
      <c r="A65" s="26" t="s">
        <v>45</v>
      </c>
      <c r="B65" s="61" t="s">
        <v>46</v>
      </c>
      <c r="C65" s="62"/>
      <c r="D65" s="63"/>
      <c r="E65" s="194">
        <f>E51</f>
        <v>450.98</v>
      </c>
    </row>
    <row r="66" spans="1:8" s="6" customFormat="1" ht="25.5" customHeight="1" x14ac:dyDescent="0.25">
      <c r="A66" s="26" t="s">
        <v>54</v>
      </c>
      <c r="B66" s="61" t="s">
        <v>55</v>
      </c>
      <c r="C66" s="62"/>
      <c r="D66" s="63"/>
      <c r="E66" s="194">
        <f>E61</f>
        <v>275.31</v>
      </c>
    </row>
    <row r="67" spans="1:8" s="6" customFormat="1" ht="25.5" customHeight="1" x14ac:dyDescent="0.25">
      <c r="A67" s="491" t="s">
        <v>35</v>
      </c>
      <c r="B67" s="478"/>
      <c r="C67" s="478"/>
      <c r="D67" s="479"/>
      <c r="E67" s="195">
        <f>SUM(E64:E66)</f>
        <v>952.68</v>
      </c>
    </row>
    <row r="68" spans="1:8" s="6" customFormat="1" ht="25.5" customHeight="1" x14ac:dyDescent="0.25">
      <c r="A68" s="436" t="s">
        <v>59</v>
      </c>
      <c r="B68" s="436"/>
      <c r="C68" s="436"/>
      <c r="D68" s="436"/>
      <c r="E68" s="436"/>
      <c r="H68" s="28"/>
    </row>
    <row r="69" spans="1:8" s="6" customFormat="1" ht="25.5" customHeight="1" x14ac:dyDescent="0.25">
      <c r="A69" s="200">
        <v>3</v>
      </c>
      <c r="B69" s="409" t="s">
        <v>60</v>
      </c>
      <c r="C69" s="437"/>
      <c r="D69" s="438"/>
      <c r="E69" s="56" t="s">
        <v>18</v>
      </c>
      <c r="H69" s="29"/>
    </row>
    <row r="70" spans="1:8" s="6" customFormat="1" ht="25.5" customHeight="1" x14ac:dyDescent="0.25">
      <c r="A70" s="199" t="s">
        <v>2</v>
      </c>
      <c r="B70" s="415" t="s">
        <v>61</v>
      </c>
      <c r="C70" s="416"/>
      <c r="D70" s="178">
        <f>((1/12)*5%)</f>
        <v>4.1669999999999997E-3</v>
      </c>
      <c r="E70" s="201">
        <f>TRUNC(($E$30)*D70,2)</f>
        <v>4.6100000000000003</v>
      </c>
    </row>
    <row r="71" spans="1:8" s="6" customFormat="1" ht="25.5" customHeight="1" x14ac:dyDescent="0.25">
      <c r="A71" s="199" t="s">
        <v>4</v>
      </c>
      <c r="B71" s="415" t="s">
        <v>116</v>
      </c>
      <c r="C71" s="416"/>
      <c r="D71" s="198">
        <f>+D50</f>
        <v>0.08</v>
      </c>
      <c r="E71" s="201">
        <f>TRUNC(+E70*D71,2)</f>
        <v>0.36</v>
      </c>
    </row>
    <row r="72" spans="1:8" s="6" customFormat="1" ht="25.5" customHeight="1" x14ac:dyDescent="0.25">
      <c r="A72" s="199" t="s">
        <v>6</v>
      </c>
      <c r="B72" s="415" t="s">
        <v>329</v>
      </c>
      <c r="C72" s="416"/>
      <c r="D72" s="178">
        <f>(0.4*0.08)*0.05</f>
        <v>1.6000000000000001E-3</v>
      </c>
      <c r="E72" s="201">
        <f>TRUNC(($E$30)*D72,2)</f>
        <v>1.77</v>
      </c>
    </row>
    <row r="73" spans="1:8" s="6" customFormat="1" ht="25.5" customHeight="1" x14ac:dyDescent="0.25">
      <c r="A73" s="199" t="s">
        <v>8</v>
      </c>
      <c r="B73" s="503" t="s">
        <v>62</v>
      </c>
      <c r="C73" s="504"/>
      <c r="D73" s="198">
        <f>((7/30)/12)*100%</f>
        <v>1.9439999999999999E-2</v>
      </c>
      <c r="E73" s="201">
        <f>TRUNC(($E$30)*D73,2)</f>
        <v>21.53</v>
      </c>
    </row>
    <row r="74" spans="1:8" s="6" customFormat="1" ht="38.25" customHeight="1" x14ac:dyDescent="0.25">
      <c r="A74" s="199" t="s">
        <v>31</v>
      </c>
      <c r="B74" s="415" t="s">
        <v>104</v>
      </c>
      <c r="C74" s="416"/>
      <c r="D74" s="198">
        <f>+D51</f>
        <v>0.33800000000000002</v>
      </c>
      <c r="E74" s="201">
        <f>TRUNC(+E73*D74,2)</f>
        <v>7.27</v>
      </c>
    </row>
    <row r="75" spans="1:8" s="6" customFormat="1" ht="25.5" customHeight="1" x14ac:dyDescent="0.25">
      <c r="A75" s="199" t="s">
        <v>33</v>
      </c>
      <c r="B75" s="505" t="s">
        <v>330</v>
      </c>
      <c r="C75" s="506"/>
      <c r="D75" s="196">
        <f>(40%*8%)*95%</f>
        <v>3.04E-2</v>
      </c>
      <c r="E75" s="201">
        <f>TRUNC(($E$30)*D75,2)</f>
        <v>33.68</v>
      </c>
    </row>
    <row r="76" spans="1:8" s="6" customFormat="1" ht="16.149999999999999" customHeight="1" thickBot="1" x14ac:dyDescent="0.3">
      <c r="A76" s="507" t="s">
        <v>35</v>
      </c>
      <c r="B76" s="508"/>
      <c r="C76" s="508"/>
      <c r="D76" s="509"/>
      <c r="E76" s="202">
        <f>SUM(E70:E75)</f>
        <v>69.22</v>
      </c>
    </row>
    <row r="77" spans="1:8" s="6" customFormat="1" ht="22.5" customHeight="1" thickTop="1" thickBot="1" x14ac:dyDescent="0.3">
      <c r="A77" s="489" t="s">
        <v>63</v>
      </c>
      <c r="B77" s="489"/>
      <c r="C77" s="489"/>
      <c r="D77" s="239" t="s">
        <v>43</v>
      </c>
      <c r="E77" s="180">
        <f>E30</f>
        <v>1108</v>
      </c>
    </row>
    <row r="78" spans="1:8" s="6" customFormat="1" ht="22.5" customHeight="1" thickTop="1" thickBot="1" x14ac:dyDescent="0.3">
      <c r="A78" s="489"/>
      <c r="B78" s="489"/>
      <c r="C78" s="489"/>
      <c r="D78" s="239" t="s">
        <v>64</v>
      </c>
      <c r="E78" s="180">
        <f>E67</f>
        <v>952.68</v>
      </c>
    </row>
    <row r="79" spans="1:8" s="6" customFormat="1" ht="22.5" customHeight="1" thickTop="1" thickBot="1" x14ac:dyDescent="0.3">
      <c r="A79" s="489"/>
      <c r="B79" s="489"/>
      <c r="C79" s="489"/>
      <c r="D79" s="239" t="s">
        <v>65</v>
      </c>
      <c r="E79" s="180">
        <f>E76</f>
        <v>69.22</v>
      </c>
    </row>
    <row r="80" spans="1:8" s="6" customFormat="1" ht="23.25" customHeight="1" thickTop="1" thickBot="1" x14ac:dyDescent="0.3">
      <c r="A80" s="489"/>
      <c r="B80" s="489"/>
      <c r="C80" s="489"/>
      <c r="D80" s="31" t="s">
        <v>56</v>
      </c>
      <c r="E80" s="180">
        <f>SUM(E77:E79)</f>
        <v>2129.9</v>
      </c>
    </row>
    <row r="81" spans="1:5" s="6" customFormat="1" ht="23.25" customHeight="1" thickTop="1" x14ac:dyDescent="0.25">
      <c r="A81" s="428" t="s">
        <v>66</v>
      </c>
      <c r="B81" s="429"/>
      <c r="C81" s="429"/>
      <c r="D81" s="430"/>
      <c r="E81" s="240" t="s">
        <v>26</v>
      </c>
    </row>
    <row r="82" spans="1:5" s="6" customFormat="1" ht="26.25" customHeight="1" x14ac:dyDescent="0.25">
      <c r="A82" s="500" t="s">
        <v>117</v>
      </c>
      <c r="B82" s="501"/>
      <c r="C82" s="501"/>
      <c r="D82" s="501"/>
      <c r="E82" s="502"/>
    </row>
    <row r="83" spans="1:5" s="6" customFormat="1" ht="26.25" customHeight="1" x14ac:dyDescent="0.25">
      <c r="A83" s="57" t="s">
        <v>67</v>
      </c>
      <c r="B83" s="492" t="s">
        <v>105</v>
      </c>
      <c r="C83" s="493"/>
      <c r="D83" s="494"/>
      <c r="E83" s="56" t="s">
        <v>18</v>
      </c>
    </row>
    <row r="84" spans="1:5" s="6" customFormat="1" ht="26.25" customHeight="1" x14ac:dyDescent="0.25">
      <c r="A84" s="32" t="s">
        <v>2</v>
      </c>
      <c r="B84" s="477" t="s">
        <v>106</v>
      </c>
      <c r="C84" s="477"/>
      <c r="D84" s="192">
        <f>(( 1+1/3)/12)/12</f>
        <v>9.2599999999999991E-3</v>
      </c>
      <c r="E84" s="201">
        <f>TRUNC(+D84*$E$80,2)</f>
        <v>19.72</v>
      </c>
    </row>
    <row r="85" spans="1:5" s="6" customFormat="1" ht="26.25" customHeight="1" x14ac:dyDescent="0.25">
      <c r="A85" s="33" t="s">
        <v>4</v>
      </c>
      <c r="B85" s="477" t="s">
        <v>107</v>
      </c>
      <c r="C85" s="477"/>
      <c r="D85" s="196">
        <f>((2/30)/12)</f>
        <v>5.5599999999999998E-3</v>
      </c>
      <c r="E85" s="201">
        <f>TRUNC(+D85*$E$80,2)</f>
        <v>11.84</v>
      </c>
    </row>
    <row r="86" spans="1:5" s="6" customFormat="1" ht="26.25" customHeight="1" x14ac:dyDescent="0.25">
      <c r="A86" s="33" t="s">
        <v>6</v>
      </c>
      <c r="B86" s="477" t="s">
        <v>108</v>
      </c>
      <c r="C86" s="477"/>
      <c r="D86" s="192">
        <f>((5/30)/12)*0.02</f>
        <v>2.7999999999999998E-4</v>
      </c>
      <c r="E86" s="201">
        <f>TRUNC(+D86*$E$80,2)</f>
        <v>0.59</v>
      </c>
    </row>
    <row r="87" spans="1:5" s="6" customFormat="1" ht="26.25" customHeight="1" x14ac:dyDescent="0.25">
      <c r="A87" s="33" t="s">
        <v>8</v>
      </c>
      <c r="B87" s="477" t="s">
        <v>109</v>
      </c>
      <c r="C87" s="477"/>
      <c r="D87" s="192">
        <f>((15/30)/12)*0.08</f>
        <v>3.3300000000000001E-3</v>
      </c>
      <c r="E87" s="201">
        <f>TRUNC(+D87*$E$80,2)</f>
        <v>7.09</v>
      </c>
    </row>
    <row r="88" spans="1:5" s="6" customFormat="1" ht="26.25" customHeight="1" x14ac:dyDescent="0.25">
      <c r="A88" s="33" t="s">
        <v>31</v>
      </c>
      <c r="B88" s="477" t="s">
        <v>110</v>
      </c>
      <c r="C88" s="477"/>
      <c r="D88" s="204">
        <f>(4/12)/12*0.02*100/100</f>
        <v>5.5999999999999995E-4</v>
      </c>
      <c r="E88" s="201">
        <f t="shared" ref="E88:E89" si="1">TRUNC(+D88*$E$80,2)</f>
        <v>1.19</v>
      </c>
    </row>
    <row r="89" spans="1:5" s="6" customFormat="1" ht="26.25" customHeight="1" x14ac:dyDescent="0.25">
      <c r="A89" s="33" t="s">
        <v>33</v>
      </c>
      <c r="B89" s="477" t="s">
        <v>111</v>
      </c>
      <c r="C89" s="477"/>
      <c r="D89" s="192">
        <v>0</v>
      </c>
      <c r="E89" s="201">
        <f t="shared" si="1"/>
        <v>0</v>
      </c>
    </row>
    <row r="90" spans="1:5" s="6" customFormat="1" ht="26.25" customHeight="1" x14ac:dyDescent="0.25">
      <c r="A90" s="401" t="s">
        <v>35</v>
      </c>
      <c r="B90" s="402"/>
      <c r="C90" s="403"/>
      <c r="D90" s="203"/>
      <c r="E90" s="186">
        <f>SUM(E84:E89)</f>
        <v>40.43</v>
      </c>
    </row>
    <row r="91" spans="1:5" s="6" customFormat="1" ht="23.25" customHeight="1" x14ac:dyDescent="0.25">
      <c r="A91" s="495" t="s">
        <v>331</v>
      </c>
      <c r="B91" s="496"/>
      <c r="C91" s="496"/>
      <c r="D91" s="496"/>
      <c r="E91" s="497"/>
    </row>
    <row r="92" spans="1:5" s="6" customFormat="1" ht="23.25" customHeight="1" x14ac:dyDescent="0.25">
      <c r="A92" s="57" t="s">
        <v>68</v>
      </c>
      <c r="B92" s="492" t="s">
        <v>118</v>
      </c>
      <c r="C92" s="493"/>
      <c r="D92" s="494"/>
      <c r="E92" s="56" t="s">
        <v>18</v>
      </c>
    </row>
    <row r="93" spans="1:5" s="6" customFormat="1" ht="59.25" customHeight="1" x14ac:dyDescent="0.25">
      <c r="A93" s="34" t="s">
        <v>2</v>
      </c>
      <c r="B93" s="475" t="s">
        <v>119</v>
      </c>
      <c r="C93" s="476"/>
      <c r="D93" s="24"/>
      <c r="E93" s="205">
        <v>0</v>
      </c>
    </row>
    <row r="94" spans="1:5" s="6" customFormat="1" ht="15.6" customHeight="1" x14ac:dyDescent="0.25">
      <c r="A94" s="401" t="s">
        <v>35</v>
      </c>
      <c r="B94" s="402"/>
      <c r="C94" s="403"/>
      <c r="D94" s="203"/>
      <c r="E94" s="186">
        <f>SUM(E93)</f>
        <v>0</v>
      </c>
    </row>
    <row r="95" spans="1:5" s="6" customFormat="1" ht="20.25" customHeight="1" x14ac:dyDescent="0.25">
      <c r="A95" s="490" t="s">
        <v>69</v>
      </c>
      <c r="B95" s="490"/>
      <c r="C95" s="490"/>
      <c r="D95" s="490"/>
      <c r="E95" s="490"/>
    </row>
    <row r="96" spans="1:5" s="6" customFormat="1" x14ac:dyDescent="0.25">
      <c r="A96" s="26">
        <v>4</v>
      </c>
      <c r="B96" s="433" t="s">
        <v>70</v>
      </c>
      <c r="C96" s="434"/>
      <c r="D96" s="435"/>
      <c r="E96" s="27" t="s">
        <v>18</v>
      </c>
    </row>
    <row r="97" spans="1:9" s="6" customFormat="1" ht="31.15" customHeight="1" x14ac:dyDescent="0.25">
      <c r="A97" s="26" t="s">
        <v>67</v>
      </c>
      <c r="B97" s="61" t="s">
        <v>105</v>
      </c>
      <c r="C97" s="62"/>
      <c r="D97" s="63"/>
      <c r="E97" s="194">
        <f>+E90</f>
        <v>40.43</v>
      </c>
    </row>
    <row r="98" spans="1:9" s="6" customFormat="1" x14ac:dyDescent="0.25">
      <c r="A98" s="26" t="s">
        <v>68</v>
      </c>
      <c r="B98" s="61" t="s">
        <v>118</v>
      </c>
      <c r="C98" s="62"/>
      <c r="D98" s="63"/>
      <c r="E98" s="186">
        <f>+E94</f>
        <v>0</v>
      </c>
    </row>
    <row r="99" spans="1:9" s="6" customFormat="1" ht="15" customHeight="1" x14ac:dyDescent="0.25">
      <c r="A99" s="64"/>
      <c r="B99" s="478" t="s">
        <v>35</v>
      </c>
      <c r="C99" s="478"/>
      <c r="D99" s="479"/>
      <c r="E99" s="195">
        <f>SUM(E97:E98)</f>
        <v>40.43</v>
      </c>
    </row>
    <row r="100" spans="1:9" s="6" customFormat="1" ht="25.5" customHeight="1" x14ac:dyDescent="0.25">
      <c r="A100" s="401" t="s">
        <v>71</v>
      </c>
      <c r="B100" s="402"/>
      <c r="C100" s="402"/>
      <c r="D100" s="403"/>
      <c r="E100" s="186">
        <f>SUM(E99:E99)</f>
        <v>40.43</v>
      </c>
    </row>
    <row r="101" spans="1:9" s="6" customFormat="1" x14ac:dyDescent="0.25">
      <c r="A101" s="428" t="s">
        <v>72</v>
      </c>
      <c r="B101" s="429"/>
      <c r="C101" s="429"/>
      <c r="D101" s="430"/>
      <c r="E101" s="174"/>
    </row>
    <row r="102" spans="1:9" s="6" customFormat="1" x14ac:dyDescent="0.25">
      <c r="A102" s="57">
        <v>5</v>
      </c>
      <c r="B102" s="409" t="s">
        <v>73</v>
      </c>
      <c r="C102" s="410"/>
      <c r="D102" s="411"/>
      <c r="E102" s="56" t="s">
        <v>18</v>
      </c>
    </row>
    <row r="103" spans="1:9" s="6" customFormat="1" ht="25.5" customHeight="1" x14ac:dyDescent="0.25">
      <c r="A103" s="1" t="s">
        <v>2</v>
      </c>
      <c r="B103" s="412" t="s">
        <v>333</v>
      </c>
      <c r="C103" s="413"/>
      <c r="D103" s="414"/>
      <c r="E103" s="201">
        <f>'Uniforme + Transport. + V. Alim'!F23</f>
        <v>0</v>
      </c>
    </row>
    <row r="104" spans="1:9" s="6" customFormat="1" ht="21.75" customHeight="1" x14ac:dyDescent="0.25">
      <c r="A104" s="1" t="s">
        <v>4</v>
      </c>
      <c r="B104" s="412" t="s">
        <v>400</v>
      </c>
      <c r="C104" s="413"/>
      <c r="D104" s="414"/>
      <c r="E104" s="205" cm="1">
        <f t="array" ref="E104:H104">'Material + Equip.'!E83:H83</f>
        <v>0</v>
      </c>
      <c r="F104" s="245">
        <v>0</v>
      </c>
      <c r="G104" s="245">
        <v>0</v>
      </c>
      <c r="H104" s="245">
        <v>0</v>
      </c>
      <c r="I104" s="245"/>
    </row>
    <row r="105" spans="1:9" s="6" customFormat="1" x14ac:dyDescent="0.25">
      <c r="A105" s="1" t="s">
        <v>6</v>
      </c>
      <c r="B105" s="412" t="s">
        <v>399</v>
      </c>
      <c r="C105" s="413"/>
      <c r="D105" s="414"/>
      <c r="E105" s="205" cm="1">
        <f t="array" ref="E105:H105">'Material + Equip.'!E84:H84</f>
        <v>0</v>
      </c>
      <c r="F105" s="246">
        <v>0</v>
      </c>
      <c r="G105" s="245">
        <v>0</v>
      </c>
      <c r="H105" s="245">
        <v>0</v>
      </c>
      <c r="I105" s="245"/>
    </row>
    <row r="106" spans="1:9" s="6" customFormat="1" ht="18.75" customHeight="1" x14ac:dyDescent="0.25">
      <c r="A106" s="1" t="s">
        <v>8</v>
      </c>
      <c r="B106" s="412" t="s">
        <v>336</v>
      </c>
      <c r="C106" s="413"/>
      <c r="D106" s="414"/>
      <c r="E106" s="201">
        <v>7</v>
      </c>
      <c r="F106" s="246"/>
      <c r="G106" s="245"/>
      <c r="H106" s="245"/>
      <c r="I106" s="245"/>
    </row>
    <row r="107" spans="1:9" s="6" customFormat="1" ht="16.149999999999999" customHeight="1" thickBot="1" x14ac:dyDescent="0.3">
      <c r="A107" s="401" t="s">
        <v>74</v>
      </c>
      <c r="B107" s="402"/>
      <c r="C107" s="402"/>
      <c r="D107" s="403"/>
      <c r="E107" s="186">
        <f>SUM(E103:E106)</f>
        <v>7</v>
      </c>
      <c r="F107" s="22"/>
    </row>
    <row r="108" spans="1:9" s="6" customFormat="1" ht="22.5" customHeight="1" thickTop="1" thickBot="1" x14ac:dyDescent="0.3">
      <c r="A108" s="489" t="s">
        <v>75</v>
      </c>
      <c r="B108" s="489"/>
      <c r="C108" s="489"/>
      <c r="D108" s="239" t="s">
        <v>43</v>
      </c>
      <c r="E108" s="180">
        <f>E30</f>
        <v>1108</v>
      </c>
    </row>
    <row r="109" spans="1:9" s="6" customFormat="1" ht="22.5" customHeight="1" thickTop="1" thickBot="1" x14ac:dyDescent="0.3">
      <c r="A109" s="489"/>
      <c r="B109" s="489"/>
      <c r="C109" s="489"/>
      <c r="D109" s="239" t="s">
        <v>64</v>
      </c>
      <c r="E109" s="180">
        <f>E67</f>
        <v>952.68</v>
      </c>
    </row>
    <row r="110" spans="1:9" s="6" customFormat="1" ht="22.5" customHeight="1" thickTop="1" thickBot="1" x14ac:dyDescent="0.3">
      <c r="A110" s="489"/>
      <c r="B110" s="489"/>
      <c r="C110" s="489"/>
      <c r="D110" s="239" t="s">
        <v>65</v>
      </c>
      <c r="E110" s="180">
        <f>E76</f>
        <v>69.22</v>
      </c>
    </row>
    <row r="111" spans="1:9" s="6" customFormat="1" ht="22.5" customHeight="1" thickTop="1" thickBot="1" x14ac:dyDescent="0.3">
      <c r="A111" s="489"/>
      <c r="B111" s="489"/>
      <c r="C111" s="489"/>
      <c r="D111" s="239" t="s">
        <v>76</v>
      </c>
      <c r="E111" s="180">
        <f>E100</f>
        <v>40.43</v>
      </c>
    </row>
    <row r="112" spans="1:9" s="6" customFormat="1" ht="22.5" customHeight="1" thickTop="1" thickBot="1" x14ac:dyDescent="0.3">
      <c r="A112" s="489"/>
      <c r="B112" s="489"/>
      <c r="C112" s="489"/>
      <c r="D112" s="239" t="s">
        <v>77</v>
      </c>
      <c r="E112" s="180">
        <f>E107</f>
        <v>7</v>
      </c>
    </row>
    <row r="113" spans="1:5" s="6" customFormat="1" ht="22.5" customHeight="1" thickTop="1" thickBot="1" x14ac:dyDescent="0.3">
      <c r="A113" s="489"/>
      <c r="B113" s="489"/>
      <c r="C113" s="489"/>
      <c r="D113" s="31" t="s">
        <v>56</v>
      </c>
      <c r="E113" s="180">
        <f>SUM(E108:E112)</f>
        <v>2177.33</v>
      </c>
    </row>
    <row r="114" spans="1:5" s="6" customFormat="1" ht="13.5" thickTop="1" x14ac:dyDescent="0.25">
      <c r="A114" s="428" t="s">
        <v>78</v>
      </c>
      <c r="B114" s="429"/>
      <c r="C114" s="429" t="s">
        <v>79</v>
      </c>
      <c r="D114" s="430" t="s">
        <v>80</v>
      </c>
      <c r="E114" s="174"/>
    </row>
    <row r="115" spans="1:5" s="6" customFormat="1" x14ac:dyDescent="0.25">
      <c r="A115" s="57">
        <v>6</v>
      </c>
      <c r="B115" s="409" t="s">
        <v>81</v>
      </c>
      <c r="C115" s="410"/>
      <c r="D115" s="411"/>
      <c r="E115" s="56" t="s">
        <v>18</v>
      </c>
    </row>
    <row r="116" spans="1:5" s="6" customFormat="1" ht="31.15" customHeight="1" x14ac:dyDescent="0.25">
      <c r="A116" s="36" t="s">
        <v>2</v>
      </c>
      <c r="B116" s="35" t="s">
        <v>82</v>
      </c>
      <c r="C116" s="381">
        <v>0</v>
      </c>
      <c r="D116" s="382"/>
      <c r="E116" s="201">
        <f>TRUNC(+E113*C116,2)</f>
        <v>0</v>
      </c>
    </row>
    <row r="117" spans="1:5" s="6" customFormat="1" ht="31.9" customHeight="1" thickBot="1" x14ac:dyDescent="0.3">
      <c r="A117" s="36" t="s">
        <v>4</v>
      </c>
      <c r="B117" s="35" t="s">
        <v>83</v>
      </c>
      <c r="C117" s="482">
        <v>0</v>
      </c>
      <c r="D117" s="483"/>
      <c r="E117" s="201">
        <f>TRUNC(C117*(+E113+E116),2)</f>
        <v>0</v>
      </c>
    </row>
    <row r="118" spans="1:5" s="6" customFormat="1" ht="27" customHeight="1" thickBot="1" x14ac:dyDescent="0.3">
      <c r="A118" s="37"/>
      <c r="B118" s="65" t="s">
        <v>84</v>
      </c>
      <c r="C118" s="484" t="s">
        <v>85</v>
      </c>
      <c r="D118" s="485"/>
      <c r="E118" s="218">
        <f>SUM(E116:E117,E113)</f>
        <v>2177.33</v>
      </c>
    </row>
    <row r="119" spans="1:5" s="6" customFormat="1" ht="13.5" thickBot="1" x14ac:dyDescent="0.3">
      <c r="A119" s="38" t="s">
        <v>6</v>
      </c>
      <c r="B119" s="238" t="s">
        <v>86</v>
      </c>
      <c r="C119" s="206">
        <f>(D126*100)</f>
        <v>8.65</v>
      </c>
      <c r="D119" s="207">
        <f>+(100-C119)/100</f>
        <v>0.91349999999999998</v>
      </c>
      <c r="E119" s="219">
        <f>E118/D119</f>
        <v>2383.5</v>
      </c>
    </row>
    <row r="120" spans="1:5" s="6" customFormat="1" ht="15.6" customHeight="1" x14ac:dyDescent="0.25">
      <c r="A120" s="40"/>
      <c r="B120" s="41" t="s">
        <v>87</v>
      </c>
      <c r="C120" s="208"/>
      <c r="D120" s="209"/>
      <c r="E120" s="30"/>
    </row>
    <row r="121" spans="1:5" s="6" customFormat="1" x14ac:dyDescent="0.25">
      <c r="A121" s="40"/>
      <c r="B121" s="42" t="s">
        <v>120</v>
      </c>
      <c r="C121" s="210"/>
      <c r="D121" s="192">
        <v>6.4999999999999997E-3</v>
      </c>
      <c r="E121" s="201">
        <f>+E119*D121</f>
        <v>15.49</v>
      </c>
    </row>
    <row r="122" spans="1:5" s="6" customFormat="1" x14ac:dyDescent="0.25">
      <c r="A122" s="40"/>
      <c r="B122" s="42" t="s">
        <v>121</v>
      </c>
      <c r="C122" s="210"/>
      <c r="D122" s="192">
        <v>0.03</v>
      </c>
      <c r="E122" s="201">
        <f>+E119*D122</f>
        <v>71.510000000000005</v>
      </c>
    </row>
    <row r="123" spans="1:5" s="6" customFormat="1" x14ac:dyDescent="0.25">
      <c r="A123" s="40"/>
      <c r="B123" s="43" t="s">
        <v>88</v>
      </c>
      <c r="C123" s="211"/>
      <c r="D123" s="212"/>
      <c r="E123" s="201"/>
    </row>
    <row r="124" spans="1:5" s="6" customFormat="1" x14ac:dyDescent="0.25">
      <c r="A124" s="40"/>
      <c r="B124" s="43" t="s">
        <v>89</v>
      </c>
      <c r="C124" s="211"/>
      <c r="D124" s="213"/>
      <c r="E124" s="201"/>
    </row>
    <row r="125" spans="1:5" s="6" customFormat="1" x14ac:dyDescent="0.25">
      <c r="A125" s="40"/>
      <c r="B125" s="44" t="s">
        <v>122</v>
      </c>
      <c r="C125" s="214"/>
      <c r="D125" s="215">
        <v>0.05</v>
      </c>
      <c r="E125" s="220">
        <f>+E119*D125</f>
        <v>119.18</v>
      </c>
    </row>
    <row r="126" spans="1:5" s="6" customFormat="1" x14ac:dyDescent="0.25">
      <c r="A126" s="45"/>
      <c r="B126" s="46" t="s">
        <v>90</v>
      </c>
      <c r="C126" s="216"/>
      <c r="D126" s="217">
        <f>SUM(D121:D125)</f>
        <v>8.6499999999999994E-2</v>
      </c>
      <c r="E126" s="221">
        <f>SUM(E121:E125)</f>
        <v>206.18</v>
      </c>
    </row>
    <row r="127" spans="1:5" s="6" customFormat="1" ht="15.6" customHeight="1" x14ac:dyDescent="0.25">
      <c r="A127" s="486" t="s">
        <v>91</v>
      </c>
      <c r="B127" s="487"/>
      <c r="C127" s="487"/>
      <c r="D127" s="488"/>
      <c r="E127" s="222">
        <f>E116+E117+E126</f>
        <v>206.18</v>
      </c>
    </row>
    <row r="128" spans="1:5" s="6" customFormat="1" ht="25.5" customHeight="1" x14ac:dyDescent="0.25">
      <c r="A128" s="401" t="s">
        <v>92</v>
      </c>
      <c r="B128" s="402"/>
      <c r="C128" s="402"/>
      <c r="D128" s="403"/>
      <c r="E128" s="186">
        <f>SUM(E127:E127)</f>
        <v>206.18</v>
      </c>
    </row>
    <row r="129" spans="1:7" s="6" customFormat="1" ht="15.6" customHeight="1" x14ac:dyDescent="0.25">
      <c r="A129" s="401" t="s">
        <v>93</v>
      </c>
      <c r="B129" s="402"/>
      <c r="C129" s="402"/>
      <c r="D129" s="402"/>
      <c r="E129" s="403"/>
    </row>
    <row r="130" spans="1:7" s="6" customFormat="1" ht="15.6" customHeight="1" x14ac:dyDescent="0.25">
      <c r="A130" s="401" t="s">
        <v>94</v>
      </c>
      <c r="B130" s="402"/>
      <c r="C130" s="402"/>
      <c r="D130" s="403"/>
      <c r="E130" s="47" t="s">
        <v>18</v>
      </c>
    </row>
    <row r="131" spans="1:7" s="6" customFormat="1" x14ac:dyDescent="0.25">
      <c r="A131" s="36" t="s">
        <v>2</v>
      </c>
      <c r="B131" s="475" t="s">
        <v>95</v>
      </c>
      <c r="C131" s="480"/>
      <c r="D131" s="476"/>
      <c r="E131" s="201">
        <f>E30</f>
        <v>1108</v>
      </c>
    </row>
    <row r="132" spans="1:7" s="6" customFormat="1" ht="15.6" customHeight="1" x14ac:dyDescent="0.25">
      <c r="A132" s="36" t="s">
        <v>4</v>
      </c>
      <c r="B132" s="475" t="s">
        <v>96</v>
      </c>
      <c r="C132" s="480"/>
      <c r="D132" s="476"/>
      <c r="E132" s="201">
        <f>+E67</f>
        <v>952.68</v>
      </c>
    </row>
    <row r="133" spans="1:7" s="6" customFormat="1" x14ac:dyDescent="0.25">
      <c r="A133" s="36" t="s">
        <v>6</v>
      </c>
      <c r="B133" s="475" t="s">
        <v>97</v>
      </c>
      <c r="C133" s="480"/>
      <c r="D133" s="476"/>
      <c r="E133" s="201">
        <f>+E76</f>
        <v>69.22</v>
      </c>
    </row>
    <row r="134" spans="1:7" s="6" customFormat="1" ht="15.6" customHeight="1" x14ac:dyDescent="0.25">
      <c r="A134" s="36" t="s">
        <v>8</v>
      </c>
      <c r="B134" s="475" t="s">
        <v>98</v>
      </c>
      <c r="C134" s="480"/>
      <c r="D134" s="476"/>
      <c r="E134" s="201">
        <f>+E100</f>
        <v>40.43</v>
      </c>
    </row>
    <row r="135" spans="1:7" s="6" customFormat="1" ht="46.9" customHeight="1" x14ac:dyDescent="0.25">
      <c r="A135" s="36" t="s">
        <v>31</v>
      </c>
      <c r="B135" s="48" t="s">
        <v>99</v>
      </c>
      <c r="C135" s="49"/>
      <c r="D135" s="50"/>
      <c r="E135" s="201">
        <f>+E107</f>
        <v>7</v>
      </c>
      <c r="F135" s="245"/>
      <c r="G135" s="6" t="s">
        <v>338</v>
      </c>
    </row>
    <row r="136" spans="1:7" s="6" customFormat="1" ht="15.6" customHeight="1" x14ac:dyDescent="0.25">
      <c r="A136" s="406" t="s">
        <v>100</v>
      </c>
      <c r="B136" s="407"/>
      <c r="C136" s="408"/>
      <c r="D136" s="51"/>
      <c r="E136" s="186">
        <f>SUM(E131:E135)</f>
        <v>2177.33</v>
      </c>
    </row>
    <row r="137" spans="1:7" s="6" customFormat="1" x14ac:dyDescent="0.25">
      <c r="A137" s="36" t="s">
        <v>33</v>
      </c>
      <c r="B137" s="475" t="s">
        <v>101</v>
      </c>
      <c r="C137" s="480"/>
      <c r="D137" s="476"/>
      <c r="E137" s="201">
        <f>E128</f>
        <v>206.18</v>
      </c>
      <c r="F137" s="17"/>
    </row>
    <row r="138" spans="1:7" s="6" customFormat="1" ht="16.149999999999999" customHeight="1" x14ac:dyDescent="0.25">
      <c r="A138" s="481" t="s">
        <v>102</v>
      </c>
      <c r="B138" s="481"/>
      <c r="C138" s="481"/>
      <c r="D138" s="481"/>
      <c r="E138" s="224">
        <f>+E136+E137</f>
        <v>2383.5100000000002</v>
      </c>
      <c r="F138" s="66"/>
    </row>
    <row r="139" spans="1:7" x14ac:dyDescent="0.25">
      <c r="A139" s="510"/>
      <c r="B139" s="510"/>
      <c r="C139" s="510"/>
      <c r="D139" s="510"/>
      <c r="E139" s="223"/>
    </row>
  </sheetData>
  <mergeCells count="117">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5:D105"/>
    <mergeCell ref="B106:D106"/>
    <mergeCell ref="A107:D107"/>
    <mergeCell ref="A108:C113"/>
    <mergeCell ref="A114:D114"/>
    <mergeCell ref="B115:D115"/>
    <mergeCell ref="B99:D99"/>
    <mergeCell ref="A100:D100"/>
    <mergeCell ref="A101:D101"/>
    <mergeCell ref="B102:D102"/>
    <mergeCell ref="B103:D103"/>
    <mergeCell ref="B104:D104"/>
    <mergeCell ref="A91:E91"/>
    <mergeCell ref="B92:D92"/>
    <mergeCell ref="B93:C93"/>
    <mergeCell ref="A94:C94"/>
    <mergeCell ref="A95:E95"/>
    <mergeCell ref="B96:D96"/>
    <mergeCell ref="B85:C85"/>
    <mergeCell ref="B86:C86"/>
    <mergeCell ref="B87:C87"/>
    <mergeCell ref="B88:C88"/>
    <mergeCell ref="B89:C89"/>
    <mergeCell ref="A90:C90"/>
    <mergeCell ref="A76:D76"/>
    <mergeCell ref="A77:C80"/>
    <mergeCell ref="A81:D81"/>
    <mergeCell ref="A82:E82"/>
    <mergeCell ref="B83:D83"/>
    <mergeCell ref="B84:C84"/>
    <mergeCell ref="B70:C70"/>
    <mergeCell ref="B71:C71"/>
    <mergeCell ref="B72:C72"/>
    <mergeCell ref="B73:C73"/>
    <mergeCell ref="B74:C74"/>
    <mergeCell ref="B75:C75"/>
    <mergeCell ref="A61:D61"/>
    <mergeCell ref="A62:E62"/>
    <mergeCell ref="B63:D63"/>
    <mergeCell ref="A67:D67"/>
    <mergeCell ref="A68:E68"/>
    <mergeCell ref="B69:D69"/>
    <mergeCell ref="B55:D55"/>
    <mergeCell ref="B56:D56"/>
    <mergeCell ref="B57:D57"/>
    <mergeCell ref="B58:D58"/>
    <mergeCell ref="B59:D59"/>
    <mergeCell ref="B60:D60"/>
    <mergeCell ref="B49:C49"/>
    <mergeCell ref="B50:C50"/>
    <mergeCell ref="A51:C51"/>
    <mergeCell ref="B52:E52"/>
    <mergeCell ref="B53:D53"/>
    <mergeCell ref="B54:D54"/>
    <mergeCell ref="B43:C43"/>
    <mergeCell ref="B44:C44"/>
    <mergeCell ref="B45:C45"/>
    <mergeCell ref="B46:C46"/>
    <mergeCell ref="B47:C47"/>
    <mergeCell ref="B48:C48"/>
    <mergeCell ref="B35:C35"/>
    <mergeCell ref="A36:C36"/>
    <mergeCell ref="A37:D37"/>
    <mergeCell ref="A38:C40"/>
    <mergeCell ref="A41:E41"/>
    <mergeCell ref="B42:D42"/>
    <mergeCell ref="C28:D28"/>
    <mergeCell ref="A29:D29"/>
    <mergeCell ref="A30:D30"/>
    <mergeCell ref="A31:E31"/>
    <mergeCell ref="B32:E32"/>
    <mergeCell ref="B33:D33"/>
    <mergeCell ref="A22:E22"/>
    <mergeCell ref="B23:D23"/>
    <mergeCell ref="C24:D24"/>
    <mergeCell ref="C25:D25"/>
    <mergeCell ref="C26:D26"/>
    <mergeCell ref="C27:D27"/>
    <mergeCell ref="A16:D16"/>
    <mergeCell ref="C17:E17"/>
    <mergeCell ref="C18:E18"/>
    <mergeCell ref="C19:E19"/>
    <mergeCell ref="C20:E20"/>
    <mergeCell ref="C21:E21"/>
    <mergeCell ref="A12:B12"/>
    <mergeCell ref="D12:E12"/>
    <mergeCell ref="A13:B13"/>
    <mergeCell ref="D13:E13"/>
    <mergeCell ref="A14:E14"/>
    <mergeCell ref="A15:E15"/>
    <mergeCell ref="A6:E6"/>
    <mergeCell ref="C7:E7"/>
    <mergeCell ref="C8:E8"/>
    <mergeCell ref="C9:E9"/>
    <mergeCell ref="C10:E10"/>
    <mergeCell ref="A11:E11"/>
    <mergeCell ref="A1:E2"/>
    <mergeCell ref="A3:C3"/>
    <mergeCell ref="D3:E3"/>
    <mergeCell ref="A4:C4"/>
    <mergeCell ref="D4:E4"/>
    <mergeCell ref="B5:E5"/>
  </mergeCells>
  <hyperlinks>
    <hyperlink ref="B73" location="Plan2!A1" display="Aviso prévio trabalhado" xr:uid="{973FE015-7F0E-4115-84F5-3BB989606AE8}"/>
    <hyperlink ref="B48" r:id="rId1" display="08 - Sebrae 0,3% ou 0,6% - IN nº 03, MPS/SRP/2005, Anexo II e III ver código da Tabela" xr:uid="{0B6DE1C7-F785-4A6F-A3DC-F8DCCCAE9E73}"/>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7363F-E929-48E3-873D-4A7CC5BC7636}">
  <sheetPr>
    <tabColor rgb="FFC00000"/>
    <pageSetUpPr fitToPage="1"/>
  </sheetPr>
  <dimension ref="A1:F51"/>
  <sheetViews>
    <sheetView topLeftCell="A22" workbookViewId="0">
      <selection activeCell="D29" sqref="D29"/>
    </sheetView>
  </sheetViews>
  <sheetFormatPr defaultColWidth="9.140625" defaultRowHeight="12.75" x14ac:dyDescent="0.2"/>
  <cols>
    <col min="1" max="1" width="29.28515625" style="15" customWidth="1"/>
    <col min="2" max="2" width="20.7109375" style="15" customWidth="1"/>
    <col min="3" max="4" width="15.7109375" style="15" customWidth="1"/>
    <col min="5" max="5" width="18.28515625" style="15" customWidth="1"/>
    <col min="6" max="6" width="19" style="15" customWidth="1"/>
    <col min="7" max="16384" width="9.140625" style="15"/>
  </cols>
  <sheetData>
    <row r="1" spans="1:6" x14ac:dyDescent="0.2">
      <c r="B1" s="243"/>
      <c r="C1" s="529" t="s">
        <v>348</v>
      </c>
      <c r="D1" s="529"/>
      <c r="E1" s="243"/>
      <c r="F1" s="243"/>
    </row>
    <row r="2" spans="1:6" ht="20.100000000000001" customHeight="1" x14ac:dyDescent="0.2"/>
    <row r="3" spans="1:6" ht="20.100000000000001" customHeight="1" x14ac:dyDescent="0.2">
      <c r="A3" s="247" t="s">
        <v>349</v>
      </c>
      <c r="B3" s="523"/>
      <c r="C3" s="523"/>
      <c r="D3" s="523"/>
      <c r="E3" s="243"/>
      <c r="F3" s="243"/>
    </row>
    <row r="4" spans="1:6" ht="20.100000000000001" customHeight="1" x14ac:dyDescent="0.2">
      <c r="A4" s="247" t="s">
        <v>350</v>
      </c>
      <c r="B4" s="247"/>
      <c r="C4" s="247"/>
      <c r="D4" s="247"/>
      <c r="E4" s="243"/>
      <c r="F4" s="243"/>
    </row>
    <row r="5" spans="1:6" ht="20.100000000000001" customHeight="1" x14ac:dyDescent="0.2">
      <c r="A5" s="247" t="s">
        <v>351</v>
      </c>
      <c r="B5" s="247"/>
      <c r="C5" s="247"/>
      <c r="D5" s="247"/>
      <c r="E5" s="243"/>
      <c r="F5" s="243"/>
    </row>
    <row r="6" spans="1:6" ht="20.100000000000001" customHeight="1" x14ac:dyDescent="0.2">
      <c r="A6" s="247" t="s">
        <v>352</v>
      </c>
      <c r="B6" s="247"/>
      <c r="C6" s="247"/>
      <c r="D6" s="247"/>
      <c r="E6" s="243"/>
      <c r="F6" s="243"/>
    </row>
    <row r="7" spans="1:6" ht="20.100000000000001" customHeight="1" x14ac:dyDescent="0.2">
      <c r="A7" s="247" t="s">
        <v>353</v>
      </c>
      <c r="B7" s="247"/>
      <c r="C7" s="247" t="s">
        <v>354</v>
      </c>
      <c r="D7" s="247"/>
      <c r="E7" s="247" t="s">
        <v>355</v>
      </c>
      <c r="F7" s="243"/>
    </row>
    <row r="8" spans="1:6" ht="20.100000000000001" customHeight="1" x14ac:dyDescent="0.2">
      <c r="A8" s="247" t="s">
        <v>356</v>
      </c>
      <c r="B8" s="523"/>
      <c r="C8" s="523"/>
      <c r="D8" s="523"/>
      <c r="E8" s="247" t="s">
        <v>357</v>
      </c>
      <c r="F8" s="243"/>
    </row>
    <row r="9" spans="1:6" ht="20.100000000000001" customHeight="1" x14ac:dyDescent="0.2">
      <c r="A9" s="247" t="s">
        <v>358</v>
      </c>
      <c r="B9" s="523"/>
      <c r="C9" s="523"/>
      <c r="D9" s="523"/>
      <c r="E9" s="243"/>
      <c r="F9" s="243"/>
    </row>
    <row r="10" spans="1:6" x14ac:dyDescent="0.2">
      <c r="A10" s="523" t="s">
        <v>395</v>
      </c>
      <c r="B10" s="523"/>
      <c r="C10" s="523"/>
      <c r="D10" s="523"/>
      <c r="E10" s="523"/>
      <c r="F10" s="523"/>
    </row>
    <row r="11" spans="1:6" ht="15.75" customHeight="1" thickBot="1" x14ac:dyDescent="0.25">
      <c r="A11" s="523"/>
      <c r="B11" s="523"/>
      <c r="C11" s="523"/>
      <c r="D11" s="523"/>
      <c r="E11" s="523"/>
      <c r="F11" s="523"/>
    </row>
    <row r="12" spans="1:6" ht="30" customHeight="1" thickBot="1" x14ac:dyDescent="0.25">
      <c r="A12" s="266" t="s">
        <v>359</v>
      </c>
      <c r="B12" s="528" t="s">
        <v>360</v>
      </c>
      <c r="C12" s="528"/>
      <c r="D12" s="267" t="s">
        <v>361</v>
      </c>
      <c r="E12" s="267" t="s">
        <v>362</v>
      </c>
      <c r="F12" s="268" t="s">
        <v>363</v>
      </c>
    </row>
    <row r="13" spans="1:6" ht="30" customHeight="1" x14ac:dyDescent="0.2">
      <c r="A13" s="525" t="s">
        <v>134</v>
      </c>
      <c r="B13" s="248" t="s">
        <v>364</v>
      </c>
      <c r="C13" s="249">
        <v>5676.89</v>
      </c>
      <c r="D13" s="250">
        <f>'Preço por m2 SRAC'!D13</f>
        <v>4.01</v>
      </c>
      <c r="E13" s="251">
        <f>TRUNC((D13*C13),2)</f>
        <v>22764.32</v>
      </c>
      <c r="F13" s="252">
        <f>TRUNC((E13*12),2)</f>
        <v>273171.84000000003</v>
      </c>
    </row>
    <row r="14" spans="1:6" ht="30" customHeight="1" x14ac:dyDescent="0.2">
      <c r="A14" s="526"/>
      <c r="B14" s="242" t="s">
        <v>365</v>
      </c>
      <c r="C14" s="237">
        <v>3567.24</v>
      </c>
      <c r="D14" s="253">
        <f>'Preço por m2 SRAC'!D23</f>
        <v>1.64</v>
      </c>
      <c r="E14" s="251">
        <f t="shared" ref="E14:E16" si="0">TRUNC((D14*C14),2)</f>
        <v>5850.27</v>
      </c>
      <c r="F14" s="252">
        <f t="shared" ref="F14:F16" si="1">TRUNC((E14*12),2)</f>
        <v>70203.240000000005</v>
      </c>
    </row>
    <row r="15" spans="1:6" ht="30" customHeight="1" x14ac:dyDescent="0.2">
      <c r="A15" s="526"/>
      <c r="B15" s="242" t="s">
        <v>366</v>
      </c>
      <c r="C15" s="237">
        <v>4536.16</v>
      </c>
      <c r="D15" s="253">
        <f>'Preço por m2 SRAC'!G33</f>
        <v>0.89</v>
      </c>
      <c r="E15" s="251">
        <f t="shared" si="0"/>
        <v>4037.18</v>
      </c>
      <c r="F15" s="252">
        <f t="shared" si="1"/>
        <v>48446.16</v>
      </c>
    </row>
    <row r="16" spans="1:6" ht="30" customHeight="1" thickBot="1" x14ac:dyDescent="0.25">
      <c r="A16" s="527"/>
      <c r="B16" s="83" t="s">
        <v>367</v>
      </c>
      <c r="C16" s="254">
        <v>6471.6</v>
      </c>
      <c r="D16" s="255">
        <f>'Preço por m2 SRAC'!G43</f>
        <v>0.16</v>
      </c>
      <c r="E16" s="251">
        <f t="shared" si="0"/>
        <v>1035.45</v>
      </c>
      <c r="F16" s="252">
        <f t="shared" si="1"/>
        <v>12425.4</v>
      </c>
    </row>
    <row r="17" spans="1:6" ht="30" customHeight="1" thickBot="1" x14ac:dyDescent="0.25">
      <c r="A17" s="512" t="s">
        <v>368</v>
      </c>
      <c r="B17" s="513"/>
      <c r="C17" s="514">
        <f>SUM(C13:C16)</f>
        <v>20251.89</v>
      </c>
      <c r="D17" s="515"/>
      <c r="E17" s="256" t="s">
        <v>369</v>
      </c>
      <c r="F17" s="257">
        <f>SUM(F13:F16)</f>
        <v>404246.64</v>
      </c>
    </row>
    <row r="18" spans="1:6" ht="30" customHeight="1" thickBot="1" x14ac:dyDescent="0.25">
      <c r="A18" s="266" t="s">
        <v>370</v>
      </c>
      <c r="B18" s="528" t="s">
        <v>360</v>
      </c>
      <c r="C18" s="528"/>
      <c r="D18" s="267" t="s">
        <v>361</v>
      </c>
      <c r="E18" s="267" t="s">
        <v>362</v>
      </c>
      <c r="F18" s="268" t="s">
        <v>363</v>
      </c>
    </row>
    <row r="19" spans="1:6" ht="30" customHeight="1" x14ac:dyDescent="0.2">
      <c r="A19" s="525" t="s">
        <v>371</v>
      </c>
      <c r="B19" s="248" t="s">
        <v>364</v>
      </c>
      <c r="C19" s="249">
        <v>797.1</v>
      </c>
      <c r="D19" s="258">
        <f>'Preço por m2 Epitaciolândia'!D11</f>
        <v>3.67</v>
      </c>
      <c r="E19" s="259">
        <f>TRUNC((D19*C19),2)</f>
        <v>2925.35</v>
      </c>
      <c r="F19" s="260">
        <f>TRUNC((E19*12),2)</f>
        <v>35104.199999999997</v>
      </c>
    </row>
    <row r="20" spans="1:6" ht="30" customHeight="1" x14ac:dyDescent="0.2">
      <c r="A20" s="526"/>
      <c r="B20" s="242" t="s">
        <v>365</v>
      </c>
      <c r="C20" s="237">
        <v>5453</v>
      </c>
      <c r="D20" s="244">
        <f>'Preço por m2 Epitaciolândia'!D19</f>
        <v>1.5</v>
      </c>
      <c r="E20" s="259">
        <f t="shared" ref="E20:E21" si="2">TRUNC((D20*C20),2)</f>
        <v>8179.5</v>
      </c>
      <c r="F20" s="260">
        <f t="shared" ref="F20:F21" si="3">TRUNC((E20*12),2)</f>
        <v>98154</v>
      </c>
    </row>
    <row r="21" spans="1:6" ht="30" customHeight="1" thickBot="1" x14ac:dyDescent="0.25">
      <c r="A21" s="526"/>
      <c r="B21" s="242" t="s">
        <v>366</v>
      </c>
      <c r="C21" s="237">
        <v>200.56</v>
      </c>
      <c r="D21" s="244">
        <f>'Preço por m2 Epitaciolândia'!G27</f>
        <v>0.82</v>
      </c>
      <c r="E21" s="259">
        <f t="shared" si="2"/>
        <v>164.45</v>
      </c>
      <c r="F21" s="260">
        <f t="shared" si="3"/>
        <v>1973.4</v>
      </c>
    </row>
    <row r="22" spans="1:6" ht="30" customHeight="1" thickBot="1" x14ac:dyDescent="0.25">
      <c r="A22" s="512" t="s">
        <v>372</v>
      </c>
      <c r="B22" s="513"/>
      <c r="C22" s="514">
        <f>SUM(C19:C21)</f>
        <v>6450.66</v>
      </c>
      <c r="D22" s="515"/>
      <c r="E22" s="256" t="s">
        <v>373</v>
      </c>
      <c r="F22" s="257">
        <f>SUM(F19:F21)</f>
        <v>135231.6</v>
      </c>
    </row>
    <row r="23" spans="1:6" ht="30" customHeight="1" thickBot="1" x14ac:dyDescent="0.25">
      <c r="A23" s="266" t="s">
        <v>374</v>
      </c>
      <c r="B23" s="528" t="s">
        <v>360</v>
      </c>
      <c r="C23" s="528"/>
      <c r="D23" s="267" t="s">
        <v>361</v>
      </c>
      <c r="E23" s="267" t="s">
        <v>362</v>
      </c>
      <c r="F23" s="268" t="s">
        <v>363</v>
      </c>
    </row>
    <row r="24" spans="1:6" ht="30" customHeight="1" x14ac:dyDescent="0.2">
      <c r="A24" s="526" t="s">
        <v>375</v>
      </c>
      <c r="B24" s="242" t="s">
        <v>364</v>
      </c>
      <c r="C24" s="237">
        <v>550</v>
      </c>
      <c r="D24" s="244">
        <f>'Preço por m2 Cruzeiro do Sul'!D11</f>
        <v>3.67</v>
      </c>
      <c r="E24" s="261">
        <f>TRUNC((D24*C24),2)</f>
        <v>2018.5</v>
      </c>
      <c r="F24" s="262">
        <f>TRUNC((E24*12),2)</f>
        <v>24222</v>
      </c>
    </row>
    <row r="25" spans="1:6" ht="30" customHeight="1" x14ac:dyDescent="0.2">
      <c r="A25" s="526"/>
      <c r="B25" s="242" t="s">
        <v>365</v>
      </c>
      <c r="C25" s="237">
        <v>1250</v>
      </c>
      <c r="D25" s="244">
        <f>'Preço por m2 Cruzeiro do Sul'!D19</f>
        <v>1.5</v>
      </c>
      <c r="E25" s="261">
        <f t="shared" ref="E25:E26" si="4">TRUNC((D25*C25),2)</f>
        <v>1875</v>
      </c>
      <c r="F25" s="262">
        <f t="shared" ref="F25:F26" si="5">TRUNC((E25*12),2)</f>
        <v>22500</v>
      </c>
    </row>
    <row r="26" spans="1:6" ht="30" customHeight="1" thickBot="1" x14ac:dyDescent="0.25">
      <c r="A26" s="526"/>
      <c r="B26" s="242" t="s">
        <v>366</v>
      </c>
      <c r="C26" s="237">
        <v>156.78</v>
      </c>
      <c r="D26" s="244">
        <f>'Preço por m2 Cruzeiro do Sul'!G27</f>
        <v>0.82</v>
      </c>
      <c r="E26" s="261">
        <f t="shared" si="4"/>
        <v>128.55000000000001</v>
      </c>
      <c r="F26" s="262">
        <f t="shared" si="5"/>
        <v>1542.6</v>
      </c>
    </row>
    <row r="27" spans="1:6" ht="30" customHeight="1" thickBot="1" x14ac:dyDescent="0.25">
      <c r="A27" s="512" t="s">
        <v>376</v>
      </c>
      <c r="B27" s="513"/>
      <c r="C27" s="514">
        <f>SUM(C24:C26)</f>
        <v>1956.78</v>
      </c>
      <c r="D27" s="515"/>
      <c r="E27" s="256" t="s">
        <v>377</v>
      </c>
      <c r="F27" s="257">
        <f>SUM(F24:F26)</f>
        <v>48264.6</v>
      </c>
    </row>
    <row r="28" spans="1:6" ht="30" customHeight="1" thickBot="1" x14ac:dyDescent="0.25">
      <c r="A28" s="266" t="s">
        <v>378</v>
      </c>
      <c r="B28" s="528" t="s">
        <v>360</v>
      </c>
      <c r="C28" s="528"/>
      <c r="D28" s="267" t="s">
        <v>361</v>
      </c>
      <c r="E28" s="267" t="s">
        <v>362</v>
      </c>
      <c r="F28" s="268" t="s">
        <v>363</v>
      </c>
    </row>
    <row r="29" spans="1:6" ht="30" customHeight="1" x14ac:dyDescent="0.2">
      <c r="A29" s="524" t="s">
        <v>379</v>
      </c>
      <c r="B29" s="242" t="s">
        <v>364</v>
      </c>
      <c r="C29" s="237">
        <v>340.7</v>
      </c>
      <c r="D29" s="244">
        <f>'Preço por m2 Posto Assis Brasil'!D11</f>
        <v>2.91</v>
      </c>
      <c r="E29" s="261">
        <f>TRUNC((D29*C29),2)</f>
        <v>991.43</v>
      </c>
      <c r="F29" s="262">
        <f>TRUNC((E29*12),2)</f>
        <v>11897.16</v>
      </c>
    </row>
    <row r="30" spans="1:6" ht="30" customHeight="1" x14ac:dyDescent="0.2">
      <c r="A30" s="524"/>
      <c r="B30" s="242" t="s">
        <v>365</v>
      </c>
      <c r="C30" s="237">
        <v>354.12</v>
      </c>
      <c r="D30" s="244">
        <f>'Preço por m2 Posto Assis Brasil'!D19</f>
        <v>1.18</v>
      </c>
      <c r="E30" s="261">
        <f t="shared" ref="E30:E31" si="6">TRUNC((D30*C30),2)</f>
        <v>417.86</v>
      </c>
      <c r="F30" s="262">
        <f t="shared" ref="F30:F31" si="7">TRUNC((E30*12),2)</f>
        <v>5014.32</v>
      </c>
    </row>
    <row r="31" spans="1:6" ht="30" customHeight="1" thickBot="1" x14ac:dyDescent="0.25">
      <c r="A31" s="524"/>
      <c r="B31" s="242" t="s">
        <v>366</v>
      </c>
      <c r="C31" s="237">
        <v>79.5</v>
      </c>
      <c r="D31" s="244">
        <f>'Preço por m2 Posto Assis Brasil'!G27</f>
        <v>0.65</v>
      </c>
      <c r="E31" s="261">
        <f t="shared" si="6"/>
        <v>51.67</v>
      </c>
      <c r="F31" s="262">
        <f t="shared" si="7"/>
        <v>620.04</v>
      </c>
    </row>
    <row r="32" spans="1:6" ht="30" customHeight="1" thickBot="1" x14ac:dyDescent="0.25">
      <c r="A32" s="512" t="s">
        <v>380</v>
      </c>
      <c r="B32" s="513"/>
      <c r="C32" s="514">
        <f>SUM(C29:C31)</f>
        <v>774.32</v>
      </c>
      <c r="D32" s="515"/>
      <c r="E32" s="256" t="s">
        <v>381</v>
      </c>
      <c r="F32" s="257">
        <f>SUM(F29:F31)</f>
        <v>17531.52</v>
      </c>
    </row>
    <row r="33" spans="1:6" ht="20.100000000000001" customHeight="1" thickBot="1" x14ac:dyDescent="0.25">
      <c r="A33" s="516" t="s">
        <v>382</v>
      </c>
      <c r="B33" s="517"/>
      <c r="C33" s="517"/>
      <c r="D33" s="518"/>
      <c r="E33" s="519">
        <f>SUM(F17,F22,F27,F32)</f>
        <v>605274.36</v>
      </c>
      <c r="F33" s="520"/>
    </row>
    <row r="34" spans="1:6" ht="20.100000000000001" customHeight="1" x14ac:dyDescent="0.2"/>
    <row r="35" spans="1:6" x14ac:dyDescent="0.2">
      <c r="A35" s="263" t="s">
        <v>383</v>
      </c>
    </row>
    <row r="36" spans="1:6" ht="60" customHeight="1" x14ac:dyDescent="0.2">
      <c r="A36" s="521" t="s">
        <v>384</v>
      </c>
      <c r="B36" s="521"/>
      <c r="C36" s="521"/>
      <c r="D36" s="521"/>
      <c r="E36" s="521"/>
      <c r="F36" s="521"/>
    </row>
    <row r="38" spans="1:6" ht="30" customHeight="1" x14ac:dyDescent="0.2">
      <c r="A38" s="521" t="s">
        <v>385</v>
      </c>
      <c r="B38" s="521"/>
      <c r="C38" s="521"/>
      <c r="D38" s="521"/>
      <c r="E38" s="521"/>
      <c r="F38" s="521"/>
    </row>
    <row r="40" spans="1:6" x14ac:dyDescent="0.2">
      <c r="A40" s="522" t="s">
        <v>386</v>
      </c>
      <c r="B40" s="522"/>
      <c r="C40" s="522"/>
      <c r="D40" s="522"/>
      <c r="E40" s="522"/>
    </row>
    <row r="41" spans="1:6" ht="20.100000000000001" customHeight="1" x14ac:dyDescent="0.2">
      <c r="A41" s="247" t="s">
        <v>387</v>
      </c>
      <c r="B41" s="523"/>
      <c r="C41" s="523"/>
      <c r="D41" s="523"/>
      <c r="E41" s="243"/>
    </row>
    <row r="42" spans="1:6" ht="20.100000000000001" customHeight="1" x14ac:dyDescent="0.2">
      <c r="A42" s="247" t="s">
        <v>388</v>
      </c>
      <c r="B42" s="264"/>
      <c r="C42" s="247"/>
      <c r="D42" s="247"/>
      <c r="E42" s="243"/>
    </row>
    <row r="43" spans="1:6" ht="20.100000000000001" customHeight="1" x14ac:dyDescent="0.2">
      <c r="A43" s="247" t="s">
        <v>351</v>
      </c>
      <c r="B43" s="511"/>
      <c r="C43" s="511"/>
      <c r="D43" s="511"/>
      <c r="E43" s="243"/>
    </row>
    <row r="44" spans="1:6" ht="20.100000000000001" customHeight="1" x14ac:dyDescent="0.2">
      <c r="A44" s="247" t="s">
        <v>352</v>
      </c>
      <c r="B44" s="247"/>
      <c r="C44" s="247"/>
      <c r="D44" s="247"/>
      <c r="E44" s="243"/>
    </row>
    <row r="45" spans="1:6" ht="20.100000000000001" customHeight="1" x14ac:dyDescent="0.2">
      <c r="A45" s="247" t="s">
        <v>389</v>
      </c>
      <c r="B45" s="511"/>
      <c r="C45" s="511"/>
    </row>
    <row r="46" spans="1:6" ht="20.100000000000001" customHeight="1" x14ac:dyDescent="0.2">
      <c r="A46" s="247" t="s">
        <v>390</v>
      </c>
      <c r="B46" s="264"/>
      <c r="D46" s="15" t="s">
        <v>391</v>
      </c>
      <c r="E46" s="264"/>
    </row>
    <row r="47" spans="1:6" ht="20.100000000000001" customHeight="1" x14ac:dyDescent="0.2">
      <c r="A47" s="247" t="s">
        <v>392</v>
      </c>
      <c r="B47" s="264"/>
      <c r="D47" s="15" t="s">
        <v>357</v>
      </c>
      <c r="E47" s="511"/>
      <c r="F47" s="511"/>
    </row>
    <row r="48" spans="1:6" ht="20.100000000000001" customHeight="1" x14ac:dyDescent="0.2"/>
    <row r="49" spans="3:5" ht="20.100000000000001" customHeight="1" x14ac:dyDescent="0.2"/>
    <row r="51" spans="3:5" x14ac:dyDescent="0.2">
      <c r="C51" s="511" t="s">
        <v>396</v>
      </c>
      <c r="D51" s="511"/>
      <c r="E51" s="511"/>
    </row>
  </sheetData>
  <mergeCells count="31">
    <mergeCell ref="B12:C12"/>
    <mergeCell ref="C1:D1"/>
    <mergeCell ref="B3:D3"/>
    <mergeCell ref="B8:D8"/>
    <mergeCell ref="B9:D9"/>
    <mergeCell ref="A10:F11"/>
    <mergeCell ref="A29:A31"/>
    <mergeCell ref="A13:A16"/>
    <mergeCell ref="A17:B17"/>
    <mergeCell ref="C17:D17"/>
    <mergeCell ref="B18:C18"/>
    <mergeCell ref="A19:A21"/>
    <mergeCell ref="A22:B22"/>
    <mergeCell ref="C22:D22"/>
    <mergeCell ref="B23:C23"/>
    <mergeCell ref="A24:A26"/>
    <mergeCell ref="A27:B27"/>
    <mergeCell ref="C27:D27"/>
    <mergeCell ref="B28:C28"/>
    <mergeCell ref="C51:E51"/>
    <mergeCell ref="A32:B32"/>
    <mergeCell ref="C32:D32"/>
    <mergeCell ref="A33:D33"/>
    <mergeCell ref="E33:F33"/>
    <mergeCell ref="A36:F36"/>
    <mergeCell ref="A38:F38"/>
    <mergeCell ref="A40:E40"/>
    <mergeCell ref="B41:D41"/>
    <mergeCell ref="B43:D43"/>
    <mergeCell ref="B45:C45"/>
    <mergeCell ref="E47:F47"/>
  </mergeCells>
  <pageMargins left="0.511811024" right="0.511811024" top="0.78740157499999996" bottom="0.78740157499999996" header="0.31496062000000002" footer="0.31496062000000002"/>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EB867-54BD-4B8E-9582-055434B353E0}">
  <sheetPr>
    <tabColor rgb="FFC00000"/>
    <pageSetUpPr fitToPage="1"/>
  </sheetPr>
  <dimension ref="A1:G43"/>
  <sheetViews>
    <sheetView topLeftCell="A13" workbookViewId="0">
      <selection activeCell="G20" sqref="G20"/>
    </sheetView>
  </sheetViews>
  <sheetFormatPr defaultColWidth="9.140625" defaultRowHeight="12.75" x14ac:dyDescent="0.25"/>
  <cols>
    <col min="1" max="1" width="26.7109375" style="68" customWidth="1"/>
    <col min="2" max="7" width="18.7109375" style="68" customWidth="1"/>
    <col min="8" max="16384" width="9.140625" style="68"/>
  </cols>
  <sheetData>
    <row r="1" spans="1:7" ht="15.75" customHeight="1" thickBot="1" x14ac:dyDescent="0.3">
      <c r="A1" s="283" t="s">
        <v>189</v>
      </c>
      <c r="B1" s="284"/>
      <c r="C1" s="284"/>
      <c r="D1" s="284"/>
      <c r="E1" s="284"/>
      <c r="F1" s="284"/>
      <c r="G1" s="285"/>
    </row>
    <row r="2" spans="1:7" x14ac:dyDescent="0.25">
      <c r="A2" s="119"/>
      <c r="B2" s="119"/>
      <c r="C2" s="119"/>
      <c r="D2" s="119"/>
      <c r="E2" s="119"/>
      <c r="F2" s="119"/>
      <c r="G2" s="119"/>
    </row>
    <row r="3" spans="1:7" x14ac:dyDescent="0.25">
      <c r="A3" s="286" t="s">
        <v>188</v>
      </c>
      <c r="B3" s="286"/>
      <c r="C3" s="286"/>
      <c r="D3" s="286"/>
      <c r="E3" s="286"/>
      <c r="F3" s="286"/>
      <c r="G3" s="286"/>
    </row>
    <row r="4" spans="1:7" x14ac:dyDescent="0.25">
      <c r="A4" s="119"/>
      <c r="B4" s="119"/>
      <c r="C4" s="119"/>
      <c r="D4" s="119"/>
      <c r="E4" s="119"/>
      <c r="F4" s="119"/>
      <c r="G4" s="119"/>
    </row>
    <row r="5" spans="1:7" ht="13.5" thickBot="1" x14ac:dyDescent="0.3">
      <c r="A5" s="120" t="s">
        <v>187</v>
      </c>
      <c r="B5" s="119"/>
      <c r="C5" s="119"/>
      <c r="D5" s="119"/>
      <c r="E5" s="119"/>
      <c r="F5" s="119"/>
      <c r="G5" s="119"/>
    </row>
    <row r="6" spans="1:7" x14ac:dyDescent="0.25">
      <c r="A6" s="287" t="s">
        <v>15</v>
      </c>
      <c r="B6" s="117">
        <v>1</v>
      </c>
      <c r="C6" s="117">
        <v>2</v>
      </c>
      <c r="D6" s="117" t="s">
        <v>184</v>
      </c>
      <c r="E6" s="119"/>
      <c r="F6" s="119"/>
      <c r="G6" s="119"/>
    </row>
    <row r="7" spans="1:7" ht="25.5" x14ac:dyDescent="0.25">
      <c r="A7" s="288"/>
      <c r="B7" s="113" t="s">
        <v>183</v>
      </c>
      <c r="C7" s="114" t="s">
        <v>173</v>
      </c>
      <c r="D7" s="113" t="s">
        <v>182</v>
      </c>
      <c r="E7" s="119"/>
      <c r="F7" s="128"/>
      <c r="G7" s="119"/>
    </row>
    <row r="8" spans="1:7" ht="13.5" thickBot="1" x14ac:dyDescent="0.3">
      <c r="A8" s="289"/>
      <c r="B8" s="111" t="s">
        <v>171</v>
      </c>
      <c r="C8" s="111" t="s">
        <v>168</v>
      </c>
      <c r="D8" s="111" t="s">
        <v>167</v>
      </c>
      <c r="E8" s="119"/>
      <c r="F8" s="119"/>
      <c r="G8" s="119"/>
    </row>
    <row r="9" spans="1:7" ht="13.5" thickBot="1" x14ac:dyDescent="0.3">
      <c r="A9" s="290" t="s">
        <v>166</v>
      </c>
      <c r="B9" s="109" t="s">
        <v>164</v>
      </c>
      <c r="C9" s="292">
        <f>'RIO BRANCO - ENCARREGADO'!E138</f>
        <v>4834.13</v>
      </c>
      <c r="D9" s="294">
        <f>TRUNC((1/B10)*C9,2)</f>
        <v>0.19</v>
      </c>
      <c r="E9" s="119"/>
      <c r="F9" s="119"/>
      <c r="G9" s="119"/>
    </row>
    <row r="10" spans="1:7" ht="13.5" thickBot="1" x14ac:dyDescent="0.3">
      <c r="A10" s="291"/>
      <c r="B10" s="110">
        <f>(30*818.3)</f>
        <v>24549</v>
      </c>
      <c r="C10" s="293"/>
      <c r="D10" s="295"/>
      <c r="E10" s="119"/>
      <c r="F10" s="119"/>
      <c r="G10" s="119"/>
    </row>
    <row r="11" spans="1:7" ht="13.5" thickBot="1" x14ac:dyDescent="0.3">
      <c r="A11" s="290" t="s">
        <v>181</v>
      </c>
      <c r="B11" s="109" t="s">
        <v>164</v>
      </c>
      <c r="C11" s="296">
        <f>'RIO BRANCO - SERVENTE'!E138</f>
        <v>3129.12</v>
      </c>
      <c r="D11" s="294">
        <f>TRUNC((1/B12)*C11,2)</f>
        <v>3.82</v>
      </c>
      <c r="E11" s="119"/>
      <c r="F11" s="119"/>
      <c r="G11" s="119"/>
    </row>
    <row r="12" spans="1:7" ht="13.5" thickBot="1" x14ac:dyDescent="0.3">
      <c r="A12" s="291"/>
      <c r="B12" s="127">
        <v>818.3</v>
      </c>
      <c r="C12" s="297"/>
      <c r="D12" s="295"/>
      <c r="E12" s="119"/>
      <c r="F12" s="119"/>
      <c r="G12" s="119"/>
    </row>
    <row r="13" spans="1:7" ht="20.100000000000001" customHeight="1" thickBot="1" x14ac:dyDescent="0.3">
      <c r="A13" s="106"/>
      <c r="B13" s="105"/>
      <c r="C13" s="104" t="s">
        <v>186</v>
      </c>
      <c r="D13" s="103">
        <f>D9+D11</f>
        <v>4.01</v>
      </c>
      <c r="E13" s="119"/>
      <c r="F13" s="119"/>
      <c r="G13" s="119"/>
    </row>
    <row r="14" spans="1:7" x14ac:dyDescent="0.25">
      <c r="A14" s="119"/>
      <c r="B14" s="119"/>
      <c r="C14" s="119"/>
      <c r="D14" s="119"/>
      <c r="E14" s="119"/>
      <c r="F14" s="119"/>
      <c r="G14" s="119"/>
    </row>
    <row r="15" spans="1:7" ht="13.5" thickBot="1" x14ac:dyDescent="0.3">
      <c r="A15" s="120" t="s">
        <v>185</v>
      </c>
      <c r="B15" s="119"/>
      <c r="C15" s="119"/>
      <c r="D15" s="119"/>
      <c r="E15" s="119"/>
      <c r="F15" s="119"/>
      <c r="G15" s="119"/>
    </row>
    <row r="16" spans="1:7" x14ac:dyDescent="0.25">
      <c r="A16" s="287" t="s">
        <v>15</v>
      </c>
      <c r="B16" s="117">
        <v>1</v>
      </c>
      <c r="C16" s="117">
        <v>2</v>
      </c>
      <c r="D16" s="117" t="s">
        <v>184</v>
      </c>
      <c r="E16" s="119"/>
      <c r="F16" s="119"/>
      <c r="G16" s="119"/>
    </row>
    <row r="17" spans="1:7" ht="25.5" x14ac:dyDescent="0.25">
      <c r="A17" s="288"/>
      <c r="B17" s="113" t="s">
        <v>183</v>
      </c>
      <c r="C17" s="114" t="s">
        <v>173</v>
      </c>
      <c r="D17" s="113" t="s">
        <v>182</v>
      </c>
      <c r="E17" s="119"/>
      <c r="F17" s="119"/>
      <c r="G17" s="119"/>
    </row>
    <row r="18" spans="1:7" ht="13.5" thickBot="1" x14ac:dyDescent="0.3">
      <c r="A18" s="289"/>
      <c r="B18" s="111" t="s">
        <v>171</v>
      </c>
      <c r="C18" s="111" t="s">
        <v>168</v>
      </c>
      <c r="D18" s="111" t="s">
        <v>167</v>
      </c>
      <c r="E18" s="119"/>
      <c r="F18" s="119"/>
      <c r="G18" s="119"/>
    </row>
    <row r="19" spans="1:7" ht="13.5" thickBot="1" x14ac:dyDescent="0.3">
      <c r="A19" s="290" t="s">
        <v>166</v>
      </c>
      <c r="B19" s="109" t="s">
        <v>164</v>
      </c>
      <c r="C19" s="292">
        <f>'RIO BRANCO - ENCARREGADO'!E138</f>
        <v>4834.13</v>
      </c>
      <c r="D19" s="292">
        <f>TRUNC((1/B20*C19),2)</f>
        <v>0.08</v>
      </c>
      <c r="E19" s="119"/>
      <c r="F19" s="119"/>
      <c r="G19" s="119"/>
    </row>
    <row r="20" spans="1:7" ht="13.5" thickBot="1" x14ac:dyDescent="0.3">
      <c r="A20" s="291"/>
      <c r="B20" s="110">
        <f>(30*2004.6)</f>
        <v>60138</v>
      </c>
      <c r="C20" s="293"/>
      <c r="D20" s="293"/>
      <c r="E20" s="119"/>
      <c r="F20" s="119"/>
      <c r="G20" s="119"/>
    </row>
    <row r="21" spans="1:7" x14ac:dyDescent="0.25">
      <c r="A21" s="290" t="s">
        <v>181</v>
      </c>
      <c r="B21" s="109" t="s">
        <v>164</v>
      </c>
      <c r="C21" s="296">
        <f>'RIO BRANCO - SERVENTE'!E138</f>
        <v>3129.12</v>
      </c>
      <c r="D21" s="292">
        <f>TRUNC((1/B22*C21),2)</f>
        <v>1.56</v>
      </c>
      <c r="E21" s="119"/>
      <c r="F21" s="119"/>
      <c r="G21" s="119"/>
    </row>
    <row r="22" spans="1:7" ht="13.5" thickBot="1" x14ac:dyDescent="0.3">
      <c r="A22" s="291"/>
      <c r="B22" s="126">
        <v>2004.6</v>
      </c>
      <c r="C22" s="297"/>
      <c r="D22" s="293"/>
      <c r="E22" s="125"/>
      <c r="F22" s="119"/>
      <c r="G22" s="119"/>
    </row>
    <row r="23" spans="1:7" ht="20.100000000000001" customHeight="1" thickBot="1" x14ac:dyDescent="0.3">
      <c r="A23" s="106"/>
      <c r="B23" s="105"/>
      <c r="C23" s="104" t="s">
        <v>162</v>
      </c>
      <c r="D23" s="124">
        <f>D19+D21</f>
        <v>1.64</v>
      </c>
      <c r="E23" s="123"/>
      <c r="F23" s="123"/>
      <c r="G23" s="122"/>
    </row>
    <row r="24" spans="1:7" x14ac:dyDescent="0.25">
      <c r="A24" s="123"/>
      <c r="B24" s="123"/>
      <c r="C24" s="123"/>
      <c r="D24" s="123"/>
      <c r="E24" s="123"/>
      <c r="F24" s="123"/>
      <c r="G24" s="122"/>
    </row>
    <row r="25" spans="1:7" ht="13.5" thickBot="1" x14ac:dyDescent="0.3">
      <c r="A25" s="120" t="s">
        <v>180</v>
      </c>
      <c r="B25" s="119"/>
      <c r="C25" s="119"/>
      <c r="D25" s="119"/>
      <c r="E25" s="119"/>
      <c r="F25" s="119"/>
      <c r="G25" s="119"/>
    </row>
    <row r="26" spans="1:7" x14ac:dyDescent="0.25">
      <c r="A26" s="287" t="s">
        <v>15</v>
      </c>
      <c r="B26" s="118">
        <v>1</v>
      </c>
      <c r="C26" s="117">
        <v>2</v>
      </c>
      <c r="D26" s="117">
        <v>3</v>
      </c>
      <c r="E26" s="117">
        <v>4</v>
      </c>
      <c r="F26" s="118">
        <v>5</v>
      </c>
      <c r="G26" s="117" t="s">
        <v>178</v>
      </c>
    </row>
    <row r="27" spans="1:7" ht="38.25" x14ac:dyDescent="0.25">
      <c r="A27" s="288"/>
      <c r="B27" s="113" t="s">
        <v>177</v>
      </c>
      <c r="C27" s="113" t="s">
        <v>176</v>
      </c>
      <c r="D27" s="116" t="s">
        <v>175</v>
      </c>
      <c r="E27" s="116" t="s">
        <v>174</v>
      </c>
      <c r="F27" s="115" t="s">
        <v>173</v>
      </c>
      <c r="G27" s="114" t="s">
        <v>172</v>
      </c>
    </row>
    <row r="28" spans="1:7" ht="13.5" thickBot="1" x14ac:dyDescent="0.3">
      <c r="A28" s="289"/>
      <c r="B28" s="111" t="s">
        <v>171</v>
      </c>
      <c r="C28" s="113" t="s">
        <v>170</v>
      </c>
      <c r="D28" s="112"/>
      <c r="E28" s="112" t="s">
        <v>169</v>
      </c>
      <c r="F28" s="112" t="s">
        <v>168</v>
      </c>
      <c r="G28" s="111" t="s">
        <v>167</v>
      </c>
    </row>
    <row r="29" spans="1:7" ht="13.5" thickBot="1" x14ac:dyDescent="0.3">
      <c r="A29" s="290" t="s">
        <v>166</v>
      </c>
      <c r="B29" s="109" t="s">
        <v>164</v>
      </c>
      <c r="C29" s="302">
        <v>16</v>
      </c>
      <c r="D29" s="109" t="s">
        <v>163</v>
      </c>
      <c r="E29" s="300">
        <f>(1/B30)*C29*(1/D30)</f>
        <v>9.0999999999999993E-6</v>
      </c>
      <c r="F29" s="292">
        <f>'RIO BRANCO - ENCARREGADO'!E138</f>
        <v>4834.13</v>
      </c>
      <c r="G29" s="292">
        <f>TRUNC((E29*F29),2)</f>
        <v>0.04</v>
      </c>
    </row>
    <row r="30" spans="1:7" ht="13.5" thickBot="1" x14ac:dyDescent="0.3">
      <c r="A30" s="291"/>
      <c r="B30" s="110">
        <f>(30*308.88)</f>
        <v>9266.4</v>
      </c>
      <c r="C30" s="303"/>
      <c r="D30" s="121">
        <v>188.76</v>
      </c>
      <c r="E30" s="301"/>
      <c r="F30" s="293"/>
      <c r="G30" s="293"/>
    </row>
    <row r="31" spans="1:7" x14ac:dyDescent="0.25">
      <c r="A31" s="290" t="s">
        <v>165</v>
      </c>
      <c r="B31" s="109" t="s">
        <v>164</v>
      </c>
      <c r="C31" s="298">
        <v>16</v>
      </c>
      <c r="D31" s="109" t="s">
        <v>163</v>
      </c>
      <c r="E31" s="300">
        <f>(1/B32)*C31*(1/D32)</f>
        <v>2.744E-4</v>
      </c>
      <c r="F31" s="296">
        <f>'RIO BRANCO - LIMPADOR DE VIDRO'!E138</f>
        <v>3129.12</v>
      </c>
      <c r="G31" s="292">
        <f>TRUNC((E31*F31),2)</f>
        <v>0.85</v>
      </c>
    </row>
    <row r="32" spans="1:7" ht="13.5" thickBot="1" x14ac:dyDescent="0.3">
      <c r="A32" s="291"/>
      <c r="B32" s="108">
        <v>308.88</v>
      </c>
      <c r="C32" s="299"/>
      <c r="D32" s="121">
        <v>188.76</v>
      </c>
      <c r="E32" s="301"/>
      <c r="F32" s="297"/>
      <c r="G32" s="293"/>
    </row>
    <row r="33" spans="1:7" ht="20.100000000000001" customHeight="1" thickBot="1" x14ac:dyDescent="0.3">
      <c r="A33" s="106"/>
      <c r="B33" s="105"/>
      <c r="C33" s="105"/>
      <c r="D33" s="105"/>
      <c r="E33" s="105"/>
      <c r="F33" s="104" t="s">
        <v>162</v>
      </c>
      <c r="G33" s="103">
        <f>G29+G31</f>
        <v>0.89</v>
      </c>
    </row>
    <row r="34" spans="1:7" x14ac:dyDescent="0.25">
      <c r="A34" s="119"/>
      <c r="B34" s="119"/>
      <c r="C34" s="119"/>
      <c r="D34" s="119"/>
      <c r="E34" s="119"/>
      <c r="F34" s="119"/>
      <c r="G34" s="119"/>
    </row>
    <row r="35" spans="1:7" ht="13.5" thickBot="1" x14ac:dyDescent="0.3">
      <c r="A35" s="120" t="s">
        <v>179</v>
      </c>
      <c r="B35" s="119"/>
      <c r="C35" s="119"/>
      <c r="D35" s="119"/>
      <c r="E35" s="119"/>
      <c r="F35" s="119"/>
      <c r="G35" s="119"/>
    </row>
    <row r="36" spans="1:7" x14ac:dyDescent="0.25">
      <c r="A36" s="287" t="s">
        <v>15</v>
      </c>
      <c r="B36" s="118">
        <v>1</v>
      </c>
      <c r="C36" s="117">
        <v>2</v>
      </c>
      <c r="D36" s="117">
        <v>3</v>
      </c>
      <c r="E36" s="117">
        <v>4</v>
      </c>
      <c r="F36" s="118">
        <v>5</v>
      </c>
      <c r="G36" s="117" t="s">
        <v>178</v>
      </c>
    </row>
    <row r="37" spans="1:7" ht="38.25" x14ac:dyDescent="0.25">
      <c r="A37" s="288"/>
      <c r="B37" s="113" t="s">
        <v>177</v>
      </c>
      <c r="C37" s="113" t="s">
        <v>176</v>
      </c>
      <c r="D37" s="116" t="s">
        <v>175</v>
      </c>
      <c r="E37" s="116" t="s">
        <v>174</v>
      </c>
      <c r="F37" s="115" t="s">
        <v>173</v>
      </c>
      <c r="G37" s="114" t="s">
        <v>172</v>
      </c>
    </row>
    <row r="38" spans="1:7" ht="13.5" thickBot="1" x14ac:dyDescent="0.3">
      <c r="A38" s="289"/>
      <c r="B38" s="111" t="s">
        <v>171</v>
      </c>
      <c r="C38" s="113" t="s">
        <v>170</v>
      </c>
      <c r="D38" s="112"/>
      <c r="E38" s="112" t="s">
        <v>169</v>
      </c>
      <c r="F38" s="112" t="s">
        <v>168</v>
      </c>
      <c r="G38" s="111" t="s">
        <v>167</v>
      </c>
    </row>
    <row r="39" spans="1:7" ht="13.5" thickBot="1" x14ac:dyDescent="0.3">
      <c r="A39" s="290" t="s">
        <v>166</v>
      </c>
      <c r="B39" s="109" t="s">
        <v>164</v>
      </c>
      <c r="C39" s="302">
        <v>8</v>
      </c>
      <c r="D39" s="109" t="s">
        <v>163</v>
      </c>
      <c r="E39" s="300">
        <f>(1/B40)*C39*(1/D40)</f>
        <v>1.3499999999999999E-5</v>
      </c>
      <c r="F39" s="292">
        <f>'RIO BRANCO - ENCARREGADO'!E138</f>
        <v>4834.13</v>
      </c>
      <c r="G39" s="292">
        <f>TRUNC((E39*F39),2)</f>
        <v>0.06</v>
      </c>
    </row>
    <row r="40" spans="1:7" ht="13.5" thickBot="1" x14ac:dyDescent="0.3">
      <c r="A40" s="291"/>
      <c r="B40" s="110">
        <f>(4*130.87)</f>
        <v>523.48</v>
      </c>
      <c r="C40" s="303"/>
      <c r="D40" s="107">
        <v>1132.5999999999999</v>
      </c>
      <c r="E40" s="301"/>
      <c r="F40" s="293"/>
      <c r="G40" s="293"/>
    </row>
    <row r="41" spans="1:7" x14ac:dyDescent="0.25">
      <c r="A41" s="290" t="s">
        <v>165</v>
      </c>
      <c r="B41" s="109" t="s">
        <v>164</v>
      </c>
      <c r="C41" s="298">
        <v>8</v>
      </c>
      <c r="D41" s="109" t="s">
        <v>163</v>
      </c>
      <c r="E41" s="300">
        <f>(1/B42)*C41*(1/D42)</f>
        <v>5.3999999999999998E-5</v>
      </c>
      <c r="F41" s="296">
        <f>'RIO BRANCO - LIMPADOR DE VIDRO'!E138</f>
        <v>3129.12</v>
      </c>
      <c r="G41" s="292">
        <f>TRUNC((E41*F41),2)</f>
        <v>0.16</v>
      </c>
    </row>
    <row r="42" spans="1:7" ht="13.5" thickBot="1" x14ac:dyDescent="0.3">
      <c r="A42" s="291"/>
      <c r="B42" s="108">
        <v>130.87</v>
      </c>
      <c r="C42" s="299"/>
      <c r="D42" s="107">
        <v>1132.5999999999999</v>
      </c>
      <c r="E42" s="301"/>
      <c r="F42" s="297"/>
      <c r="G42" s="293"/>
    </row>
    <row r="43" spans="1:7" ht="13.5" thickBot="1" x14ac:dyDescent="0.3">
      <c r="A43" s="106"/>
      <c r="B43" s="105"/>
      <c r="C43" s="105"/>
      <c r="D43" s="105"/>
      <c r="E43" s="105"/>
      <c r="F43" s="104" t="s">
        <v>162</v>
      </c>
      <c r="G43" s="103">
        <f>G41</f>
        <v>0.16</v>
      </c>
    </row>
  </sheetData>
  <mergeCells count="38">
    <mergeCell ref="E39:E40"/>
    <mergeCell ref="A36:A38"/>
    <mergeCell ref="A39:A40"/>
    <mergeCell ref="A21:A22"/>
    <mergeCell ref="C21:C22"/>
    <mergeCell ref="D21:D22"/>
    <mergeCell ref="A26:A28"/>
    <mergeCell ref="A29:A30"/>
    <mergeCell ref="C29:C30"/>
    <mergeCell ref="G39:G40"/>
    <mergeCell ref="G41:G42"/>
    <mergeCell ref="F29:F30"/>
    <mergeCell ref="G29:G30"/>
    <mergeCell ref="A31:A32"/>
    <mergeCell ref="G31:G32"/>
    <mergeCell ref="F39:F40"/>
    <mergeCell ref="C31:C32"/>
    <mergeCell ref="E31:E32"/>
    <mergeCell ref="F41:F42"/>
    <mergeCell ref="F31:F32"/>
    <mergeCell ref="E29:E30"/>
    <mergeCell ref="A41:A42"/>
    <mergeCell ref="C41:C42"/>
    <mergeCell ref="E41:E42"/>
    <mergeCell ref="C39:C40"/>
    <mergeCell ref="C11:C12"/>
    <mergeCell ref="D11:D12"/>
    <mergeCell ref="A16:A18"/>
    <mergeCell ref="A19:A20"/>
    <mergeCell ref="C19:C20"/>
    <mergeCell ref="D19:D20"/>
    <mergeCell ref="A11:A12"/>
    <mergeCell ref="A1:G1"/>
    <mergeCell ref="A3:G3"/>
    <mergeCell ref="A6:A8"/>
    <mergeCell ref="A9:A10"/>
    <mergeCell ref="C9:C10"/>
    <mergeCell ref="D9:D10"/>
  </mergeCells>
  <pageMargins left="0.511811024" right="0.511811024" top="0.78740157499999996" bottom="0.78740157499999996" header="0.31496062000000002" footer="0.31496062000000002"/>
  <pageSetup paperSize="9" scale="6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FE4B7-7D4E-479D-A4E7-0909D04E1AF6}">
  <sheetPr>
    <tabColor rgb="FFC00000"/>
    <pageSetUpPr fitToPage="1"/>
  </sheetPr>
  <dimension ref="A1:G28"/>
  <sheetViews>
    <sheetView workbookViewId="0">
      <selection activeCell="F25" sqref="F25:F26"/>
    </sheetView>
  </sheetViews>
  <sheetFormatPr defaultColWidth="9.140625" defaultRowHeight="12.75" x14ac:dyDescent="0.25"/>
  <cols>
    <col min="1" max="1" width="21.28515625" style="68" customWidth="1"/>
    <col min="2" max="7" width="18.7109375" style="68" customWidth="1"/>
    <col min="8" max="16384" width="9.140625" style="68"/>
  </cols>
  <sheetData>
    <row r="1" spans="1:7" ht="13.5" thickBot="1" x14ac:dyDescent="0.3">
      <c r="A1" s="283" t="s">
        <v>190</v>
      </c>
      <c r="B1" s="284"/>
      <c r="C1" s="284"/>
      <c r="D1" s="284"/>
      <c r="E1" s="284"/>
      <c r="F1" s="284"/>
      <c r="G1" s="285"/>
    </row>
    <row r="2" spans="1:7" x14ac:dyDescent="0.25">
      <c r="A2" s="119"/>
      <c r="B2" s="119"/>
      <c r="C2" s="119"/>
      <c r="D2" s="119"/>
      <c r="E2" s="119"/>
      <c r="F2" s="119"/>
      <c r="G2" s="119"/>
    </row>
    <row r="3" spans="1:7" x14ac:dyDescent="0.25">
      <c r="A3" s="286" t="s">
        <v>188</v>
      </c>
      <c r="B3" s="286"/>
      <c r="C3" s="286"/>
      <c r="D3" s="286"/>
      <c r="E3" s="286"/>
      <c r="F3" s="286"/>
      <c r="G3" s="286"/>
    </row>
    <row r="4" spans="1:7" x14ac:dyDescent="0.25">
      <c r="A4" s="119"/>
      <c r="B4" s="119"/>
      <c r="C4" s="119"/>
      <c r="D4" s="119"/>
      <c r="E4" s="119"/>
      <c r="F4" s="119"/>
      <c r="G4" s="119"/>
    </row>
    <row r="5" spans="1:7" ht="13.5" thickBot="1" x14ac:dyDescent="0.3">
      <c r="A5" s="120" t="s">
        <v>187</v>
      </c>
      <c r="B5" s="119"/>
      <c r="C5" s="119"/>
      <c r="D5" s="119"/>
      <c r="E5" s="119"/>
      <c r="F5" s="119"/>
      <c r="G5" s="119"/>
    </row>
    <row r="6" spans="1:7" x14ac:dyDescent="0.25">
      <c r="A6" s="287" t="s">
        <v>15</v>
      </c>
      <c r="B6" s="117">
        <v>1</v>
      </c>
      <c r="C6" s="117">
        <v>2</v>
      </c>
      <c r="D6" s="117" t="s">
        <v>184</v>
      </c>
      <c r="E6" s="119"/>
      <c r="F6" s="119"/>
      <c r="G6" s="119"/>
    </row>
    <row r="7" spans="1:7" ht="25.5" x14ac:dyDescent="0.25">
      <c r="A7" s="288"/>
      <c r="B7" s="113" t="s">
        <v>183</v>
      </c>
      <c r="C7" s="114" t="s">
        <v>173</v>
      </c>
      <c r="D7" s="113" t="s">
        <v>182</v>
      </c>
      <c r="E7" s="119"/>
      <c r="F7" s="128"/>
      <c r="G7" s="119"/>
    </row>
    <row r="8" spans="1:7" ht="13.5" thickBot="1" x14ac:dyDescent="0.3">
      <c r="A8" s="289"/>
      <c r="B8" s="111" t="s">
        <v>171</v>
      </c>
      <c r="C8" s="111" t="s">
        <v>168</v>
      </c>
      <c r="D8" s="111" t="s">
        <v>167</v>
      </c>
      <c r="E8" s="119"/>
      <c r="F8" s="119"/>
      <c r="G8" s="119"/>
    </row>
    <row r="9" spans="1:7" ht="13.5" thickBot="1" x14ac:dyDescent="0.3">
      <c r="A9" s="290" t="s">
        <v>181</v>
      </c>
      <c r="B9" s="109" t="s">
        <v>164</v>
      </c>
      <c r="C9" s="292">
        <f>'EPA - SERVENTE '!E138</f>
        <v>3006.96</v>
      </c>
      <c r="D9" s="292">
        <f>TRUNC((1/B10*C9),2)</f>
        <v>3.67</v>
      </c>
      <c r="E9" s="119"/>
      <c r="F9" s="119"/>
      <c r="G9" s="119"/>
    </row>
    <row r="10" spans="1:7" ht="13.5" thickBot="1" x14ac:dyDescent="0.3">
      <c r="A10" s="291"/>
      <c r="B10" s="127">
        <v>818.32</v>
      </c>
      <c r="C10" s="293"/>
      <c r="D10" s="293"/>
      <c r="E10" s="119"/>
      <c r="F10" s="119"/>
      <c r="G10" s="119"/>
    </row>
    <row r="11" spans="1:7" ht="20.100000000000001" customHeight="1" thickBot="1" x14ac:dyDescent="0.3">
      <c r="A11" s="106"/>
      <c r="B11" s="105"/>
      <c r="C11" s="104" t="s">
        <v>186</v>
      </c>
      <c r="D11" s="103">
        <f>D9</f>
        <v>3.67</v>
      </c>
      <c r="E11" s="119"/>
      <c r="F11" s="119"/>
      <c r="G11" s="119"/>
    </row>
    <row r="12" spans="1:7" x14ac:dyDescent="0.25">
      <c r="A12" s="119"/>
      <c r="B12" s="119"/>
      <c r="C12" s="119"/>
      <c r="D12" s="119"/>
      <c r="E12" s="119"/>
      <c r="F12" s="119"/>
      <c r="G12" s="119"/>
    </row>
    <row r="13" spans="1:7" ht="13.5" thickBot="1" x14ac:dyDescent="0.3">
      <c r="A13" s="120" t="s">
        <v>185</v>
      </c>
      <c r="B13" s="119"/>
      <c r="C13" s="119"/>
      <c r="D13" s="119"/>
      <c r="E13" s="119"/>
      <c r="F13" s="119"/>
      <c r="G13" s="119"/>
    </row>
    <row r="14" spans="1:7" x14ac:dyDescent="0.25">
      <c r="A14" s="287" t="s">
        <v>15</v>
      </c>
      <c r="B14" s="117">
        <v>1</v>
      </c>
      <c r="C14" s="117">
        <v>2</v>
      </c>
      <c r="D14" s="117" t="s">
        <v>184</v>
      </c>
      <c r="E14" s="119"/>
      <c r="F14" s="119"/>
      <c r="G14" s="119"/>
    </row>
    <row r="15" spans="1:7" ht="25.5" x14ac:dyDescent="0.25">
      <c r="A15" s="288"/>
      <c r="B15" s="113" t="s">
        <v>183</v>
      </c>
      <c r="C15" s="114" t="s">
        <v>173</v>
      </c>
      <c r="D15" s="113" t="s">
        <v>182</v>
      </c>
      <c r="E15" s="119"/>
      <c r="F15" s="119"/>
      <c r="G15" s="119"/>
    </row>
    <row r="16" spans="1:7" ht="13.5" thickBot="1" x14ac:dyDescent="0.3">
      <c r="A16" s="289"/>
      <c r="B16" s="111" t="s">
        <v>171</v>
      </c>
      <c r="C16" s="111" t="s">
        <v>168</v>
      </c>
      <c r="D16" s="111" t="s">
        <v>167</v>
      </c>
      <c r="E16" s="119"/>
      <c r="F16" s="119"/>
      <c r="G16" s="119"/>
    </row>
    <row r="17" spans="1:7" x14ac:dyDescent="0.25">
      <c r="A17" s="290" t="s">
        <v>181</v>
      </c>
      <c r="B17" s="109" t="s">
        <v>164</v>
      </c>
      <c r="C17" s="292">
        <f>'EPA - SERVENTE '!E138</f>
        <v>3006.96</v>
      </c>
      <c r="D17" s="292">
        <f>TRUNC((1/B18*C17),2)</f>
        <v>1.5</v>
      </c>
      <c r="E17" s="119"/>
      <c r="F17" s="119"/>
      <c r="G17" s="119"/>
    </row>
    <row r="18" spans="1:7" ht="13.5" thickBot="1" x14ac:dyDescent="0.3">
      <c r="A18" s="291"/>
      <c r="B18" s="126">
        <v>2004.57</v>
      </c>
      <c r="C18" s="293"/>
      <c r="D18" s="293"/>
      <c r="E18" s="119"/>
      <c r="F18" s="119"/>
      <c r="G18" s="119"/>
    </row>
    <row r="19" spans="1:7" ht="20.100000000000001" customHeight="1" thickBot="1" x14ac:dyDescent="0.3">
      <c r="A19" s="106"/>
      <c r="B19" s="105"/>
      <c r="C19" s="104" t="s">
        <v>162</v>
      </c>
      <c r="D19" s="124">
        <f>D17</f>
        <v>1.5</v>
      </c>
      <c r="E19" s="123"/>
      <c r="F19" s="123"/>
      <c r="G19" s="122"/>
    </row>
    <row r="20" spans="1:7" x14ac:dyDescent="0.25">
      <c r="A20" s="123"/>
      <c r="B20" s="123"/>
      <c r="C20" s="123"/>
      <c r="D20" s="123"/>
      <c r="E20" s="123"/>
      <c r="F20" s="123"/>
      <c r="G20" s="122"/>
    </row>
    <row r="21" spans="1:7" ht="13.5" thickBot="1" x14ac:dyDescent="0.3">
      <c r="A21" s="120" t="s">
        <v>180</v>
      </c>
      <c r="B21" s="119"/>
      <c r="C21" s="119"/>
      <c r="D21" s="119"/>
      <c r="E21" s="119"/>
      <c r="F21" s="119"/>
      <c r="G21" s="119"/>
    </row>
    <row r="22" spans="1:7" x14ac:dyDescent="0.25">
      <c r="A22" s="287" t="s">
        <v>15</v>
      </c>
      <c r="B22" s="118">
        <v>1</v>
      </c>
      <c r="C22" s="117">
        <v>2</v>
      </c>
      <c r="D22" s="117">
        <v>3</v>
      </c>
      <c r="E22" s="117">
        <v>4</v>
      </c>
      <c r="F22" s="118">
        <v>5</v>
      </c>
      <c r="G22" s="117" t="s">
        <v>178</v>
      </c>
    </row>
    <row r="23" spans="1:7" ht="38.25" x14ac:dyDescent="0.25">
      <c r="A23" s="288"/>
      <c r="B23" s="113" t="s">
        <v>177</v>
      </c>
      <c r="C23" s="113" t="s">
        <v>176</v>
      </c>
      <c r="D23" s="116" t="s">
        <v>175</v>
      </c>
      <c r="E23" s="116" t="s">
        <v>174</v>
      </c>
      <c r="F23" s="115" t="s">
        <v>173</v>
      </c>
      <c r="G23" s="114" t="s">
        <v>172</v>
      </c>
    </row>
    <row r="24" spans="1:7" ht="13.5" thickBot="1" x14ac:dyDescent="0.3">
      <c r="A24" s="289"/>
      <c r="B24" s="111" t="s">
        <v>171</v>
      </c>
      <c r="C24" s="113" t="s">
        <v>170</v>
      </c>
      <c r="D24" s="112"/>
      <c r="E24" s="112" t="s">
        <v>169</v>
      </c>
      <c r="F24" s="112" t="s">
        <v>168</v>
      </c>
      <c r="G24" s="111" t="s">
        <v>167</v>
      </c>
    </row>
    <row r="25" spans="1:7" x14ac:dyDescent="0.25">
      <c r="A25" s="290" t="s">
        <v>165</v>
      </c>
      <c r="B25" s="109" t="s">
        <v>164</v>
      </c>
      <c r="C25" s="298">
        <v>16</v>
      </c>
      <c r="D25" s="109" t="s">
        <v>163</v>
      </c>
      <c r="E25" s="300">
        <f>(1/B26)*C25*(1/D26)</f>
        <v>2.744E-4</v>
      </c>
      <c r="F25" s="296">
        <f>'EPA - SERVENTE '!E138</f>
        <v>3006.96</v>
      </c>
      <c r="G25" s="292">
        <f>TRUNC((E25*F25),2)</f>
        <v>0.82</v>
      </c>
    </row>
    <row r="26" spans="1:7" ht="13.5" thickBot="1" x14ac:dyDescent="0.3">
      <c r="A26" s="291"/>
      <c r="B26" s="108">
        <v>308.88</v>
      </c>
      <c r="C26" s="299"/>
      <c r="D26" s="121">
        <v>188.76</v>
      </c>
      <c r="E26" s="301"/>
      <c r="F26" s="297"/>
      <c r="G26" s="293"/>
    </row>
    <row r="27" spans="1:7" ht="20.100000000000001" customHeight="1" thickBot="1" x14ac:dyDescent="0.3">
      <c r="A27" s="106"/>
      <c r="B27" s="105"/>
      <c r="C27" s="105"/>
      <c r="D27" s="105"/>
      <c r="E27" s="105"/>
      <c r="F27" s="104" t="s">
        <v>162</v>
      </c>
      <c r="G27" s="103">
        <f>G25</f>
        <v>0.82</v>
      </c>
    </row>
    <row r="28" spans="1:7" x14ac:dyDescent="0.25">
      <c r="A28" s="119"/>
      <c r="B28" s="119"/>
      <c r="C28" s="119"/>
      <c r="D28" s="119"/>
      <c r="E28" s="119"/>
      <c r="F28" s="119"/>
      <c r="G28" s="119"/>
    </row>
  </sheetData>
  <mergeCells count="16">
    <mergeCell ref="E25:E26"/>
    <mergeCell ref="F25:F26"/>
    <mergeCell ref="G25:G26"/>
    <mergeCell ref="A14:A16"/>
    <mergeCell ref="A17:A18"/>
    <mergeCell ref="C17:C18"/>
    <mergeCell ref="D17:D18"/>
    <mergeCell ref="A22:A24"/>
    <mergeCell ref="A25:A26"/>
    <mergeCell ref="C25:C26"/>
    <mergeCell ref="A1:G1"/>
    <mergeCell ref="A3:G3"/>
    <mergeCell ref="A6:A8"/>
    <mergeCell ref="A9:A10"/>
    <mergeCell ref="C9:C10"/>
    <mergeCell ref="D9:D10"/>
  </mergeCells>
  <pageMargins left="0.511811024" right="0.511811024" top="0.78740157499999996" bottom="0.78740157499999996" header="0.31496062000000002" footer="0.31496062000000002"/>
  <pageSetup paperSize="9" scale="6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8654F-6388-4F78-9367-76993D3D74CF}">
  <sheetPr>
    <tabColor rgb="FFC00000"/>
    <pageSetUpPr fitToPage="1"/>
  </sheetPr>
  <dimension ref="A1:G28"/>
  <sheetViews>
    <sheetView workbookViewId="0">
      <selection activeCell="F25" sqref="F25:F26"/>
    </sheetView>
  </sheetViews>
  <sheetFormatPr defaultColWidth="9.140625" defaultRowHeight="12.75" x14ac:dyDescent="0.25"/>
  <cols>
    <col min="1" max="1" width="22.42578125" style="68" customWidth="1"/>
    <col min="2" max="7" width="18.7109375" style="68" customWidth="1"/>
    <col min="8" max="16384" width="9.140625" style="68"/>
  </cols>
  <sheetData>
    <row r="1" spans="1:7" ht="15.75" customHeight="1" thickBot="1" x14ac:dyDescent="0.3">
      <c r="A1" s="283" t="s">
        <v>191</v>
      </c>
      <c r="B1" s="284"/>
      <c r="C1" s="284"/>
      <c r="D1" s="284"/>
      <c r="E1" s="284"/>
      <c r="F1" s="284"/>
      <c r="G1" s="285"/>
    </row>
    <row r="2" spans="1:7" x14ac:dyDescent="0.25">
      <c r="A2" s="119"/>
      <c r="B2" s="119"/>
      <c r="C2" s="119"/>
      <c r="D2" s="119"/>
      <c r="E2" s="119"/>
      <c r="F2" s="119"/>
      <c r="G2" s="119"/>
    </row>
    <row r="3" spans="1:7" x14ac:dyDescent="0.25">
      <c r="A3" s="286" t="s">
        <v>188</v>
      </c>
      <c r="B3" s="286"/>
      <c r="C3" s="286"/>
      <c r="D3" s="286"/>
      <c r="E3" s="286"/>
      <c r="F3" s="286"/>
      <c r="G3" s="286"/>
    </row>
    <row r="4" spans="1:7" x14ac:dyDescent="0.25">
      <c r="A4" s="119"/>
      <c r="B4" s="119"/>
      <c r="C4" s="119"/>
      <c r="D4" s="119"/>
      <c r="E4" s="119"/>
      <c r="F4" s="119"/>
      <c r="G4" s="119"/>
    </row>
    <row r="5" spans="1:7" ht="13.5" thickBot="1" x14ac:dyDescent="0.3">
      <c r="A5" s="120" t="s">
        <v>187</v>
      </c>
      <c r="B5" s="119"/>
      <c r="C5" s="119"/>
      <c r="D5" s="119"/>
      <c r="E5" s="119"/>
      <c r="F5" s="119"/>
      <c r="G5" s="119"/>
    </row>
    <row r="6" spans="1:7" x14ac:dyDescent="0.25">
      <c r="A6" s="287" t="s">
        <v>15</v>
      </c>
      <c r="B6" s="117">
        <v>1</v>
      </c>
      <c r="C6" s="117">
        <v>2</v>
      </c>
      <c r="D6" s="117" t="s">
        <v>184</v>
      </c>
      <c r="E6" s="119"/>
      <c r="F6" s="119"/>
      <c r="G6" s="119"/>
    </row>
    <row r="7" spans="1:7" ht="25.5" x14ac:dyDescent="0.25">
      <c r="A7" s="288"/>
      <c r="B7" s="113" t="s">
        <v>183</v>
      </c>
      <c r="C7" s="114" t="s">
        <v>173</v>
      </c>
      <c r="D7" s="113" t="s">
        <v>182</v>
      </c>
      <c r="E7" s="119"/>
      <c r="F7" s="128"/>
      <c r="G7" s="119"/>
    </row>
    <row r="8" spans="1:7" ht="13.5" thickBot="1" x14ac:dyDescent="0.3">
      <c r="A8" s="289"/>
      <c r="B8" s="111" t="s">
        <v>171</v>
      </c>
      <c r="C8" s="111" t="s">
        <v>168</v>
      </c>
      <c r="D8" s="111" t="s">
        <v>167</v>
      </c>
      <c r="E8" s="119"/>
      <c r="F8" s="119"/>
      <c r="G8" s="119"/>
    </row>
    <row r="9" spans="1:7" ht="13.5" thickBot="1" x14ac:dyDescent="0.3">
      <c r="A9" s="290" t="s">
        <v>181</v>
      </c>
      <c r="B9" s="109" t="s">
        <v>164</v>
      </c>
      <c r="C9" s="292">
        <f>'CZS - SERVENTE'!E138</f>
        <v>3006.96</v>
      </c>
      <c r="D9" s="292">
        <f>TRUNC((1/B10*C9),2)</f>
        <v>3.67</v>
      </c>
      <c r="E9" s="119"/>
      <c r="F9" s="119"/>
      <c r="G9" s="119"/>
    </row>
    <row r="10" spans="1:7" ht="13.5" thickBot="1" x14ac:dyDescent="0.3">
      <c r="A10" s="291"/>
      <c r="B10" s="127">
        <v>818.32</v>
      </c>
      <c r="C10" s="293"/>
      <c r="D10" s="293"/>
      <c r="E10" s="119"/>
      <c r="F10" s="119"/>
      <c r="G10" s="119"/>
    </row>
    <row r="11" spans="1:7" ht="20.100000000000001" customHeight="1" thickBot="1" x14ac:dyDescent="0.3">
      <c r="A11" s="106"/>
      <c r="B11" s="105"/>
      <c r="C11" s="104" t="s">
        <v>186</v>
      </c>
      <c r="D11" s="103">
        <f>D9</f>
        <v>3.67</v>
      </c>
      <c r="E11" s="119"/>
      <c r="F11" s="119"/>
      <c r="G11" s="119"/>
    </row>
    <row r="12" spans="1:7" x14ac:dyDescent="0.25">
      <c r="A12" s="119"/>
      <c r="B12" s="119"/>
      <c r="C12" s="119"/>
      <c r="D12" s="119"/>
      <c r="E12" s="119"/>
      <c r="F12" s="119"/>
      <c r="G12" s="119"/>
    </row>
    <row r="13" spans="1:7" ht="13.5" thickBot="1" x14ac:dyDescent="0.3">
      <c r="A13" s="120" t="s">
        <v>185</v>
      </c>
      <c r="B13" s="119"/>
      <c r="C13" s="119"/>
      <c r="D13" s="119"/>
      <c r="E13" s="119"/>
      <c r="F13" s="119"/>
      <c r="G13" s="119"/>
    </row>
    <row r="14" spans="1:7" x14ac:dyDescent="0.25">
      <c r="A14" s="287" t="s">
        <v>15</v>
      </c>
      <c r="B14" s="117">
        <v>1</v>
      </c>
      <c r="C14" s="117">
        <v>2</v>
      </c>
      <c r="D14" s="117" t="s">
        <v>184</v>
      </c>
      <c r="E14" s="119"/>
      <c r="F14" s="119"/>
      <c r="G14" s="119"/>
    </row>
    <row r="15" spans="1:7" ht="25.5" x14ac:dyDescent="0.25">
      <c r="A15" s="288"/>
      <c r="B15" s="113" t="s">
        <v>183</v>
      </c>
      <c r="C15" s="114" t="s">
        <v>173</v>
      </c>
      <c r="D15" s="113" t="s">
        <v>182</v>
      </c>
      <c r="E15" s="119"/>
      <c r="F15" s="119"/>
      <c r="G15" s="119"/>
    </row>
    <row r="16" spans="1:7" ht="13.5" thickBot="1" x14ac:dyDescent="0.3">
      <c r="A16" s="289"/>
      <c r="B16" s="111" t="s">
        <v>171</v>
      </c>
      <c r="C16" s="111" t="s">
        <v>168</v>
      </c>
      <c r="D16" s="111" t="s">
        <v>167</v>
      </c>
      <c r="E16" s="119"/>
      <c r="F16" s="119"/>
      <c r="G16" s="119"/>
    </row>
    <row r="17" spans="1:7" x14ac:dyDescent="0.25">
      <c r="A17" s="290" t="s">
        <v>181</v>
      </c>
      <c r="B17" s="109" t="s">
        <v>164</v>
      </c>
      <c r="C17" s="292">
        <f>'CZS - SERVENTE'!E138</f>
        <v>3006.96</v>
      </c>
      <c r="D17" s="292">
        <f>TRUNC((1/B18*C17),2)</f>
        <v>1.5</v>
      </c>
      <c r="E17" s="119"/>
      <c r="F17" s="119"/>
      <c r="G17" s="119"/>
    </row>
    <row r="18" spans="1:7" ht="13.5" thickBot="1" x14ac:dyDescent="0.3">
      <c r="A18" s="291"/>
      <c r="B18" s="126">
        <v>2004.57</v>
      </c>
      <c r="C18" s="293"/>
      <c r="D18" s="293"/>
      <c r="E18" s="119"/>
      <c r="F18" s="119"/>
      <c r="G18" s="119"/>
    </row>
    <row r="19" spans="1:7" ht="20.100000000000001" customHeight="1" thickBot="1" x14ac:dyDescent="0.3">
      <c r="A19" s="106"/>
      <c r="B19" s="105"/>
      <c r="C19" s="104" t="s">
        <v>162</v>
      </c>
      <c r="D19" s="124">
        <f>D17</f>
        <v>1.5</v>
      </c>
      <c r="E19" s="123"/>
      <c r="F19" s="123"/>
      <c r="G19" s="122"/>
    </row>
    <row r="20" spans="1:7" x14ac:dyDescent="0.25">
      <c r="A20" s="123"/>
      <c r="B20" s="123"/>
      <c r="C20" s="123"/>
      <c r="D20" s="123"/>
      <c r="E20" s="123"/>
      <c r="F20" s="123"/>
      <c r="G20" s="122"/>
    </row>
    <row r="21" spans="1:7" ht="13.5" thickBot="1" x14ac:dyDescent="0.3">
      <c r="A21" s="120" t="s">
        <v>180</v>
      </c>
      <c r="B21" s="119"/>
      <c r="C21" s="119"/>
      <c r="D21" s="119"/>
      <c r="E21" s="119"/>
      <c r="F21" s="119"/>
      <c r="G21" s="119"/>
    </row>
    <row r="22" spans="1:7" x14ac:dyDescent="0.25">
      <c r="A22" s="287" t="s">
        <v>15</v>
      </c>
      <c r="B22" s="118">
        <v>1</v>
      </c>
      <c r="C22" s="117">
        <v>2</v>
      </c>
      <c r="D22" s="117">
        <v>3</v>
      </c>
      <c r="E22" s="117">
        <v>4</v>
      </c>
      <c r="F22" s="118">
        <v>5</v>
      </c>
      <c r="G22" s="117" t="s">
        <v>178</v>
      </c>
    </row>
    <row r="23" spans="1:7" ht="38.25" x14ac:dyDescent="0.25">
      <c r="A23" s="288"/>
      <c r="B23" s="113" t="s">
        <v>177</v>
      </c>
      <c r="C23" s="113" t="s">
        <v>176</v>
      </c>
      <c r="D23" s="116" t="s">
        <v>175</v>
      </c>
      <c r="E23" s="116" t="s">
        <v>174</v>
      </c>
      <c r="F23" s="115" t="s">
        <v>173</v>
      </c>
      <c r="G23" s="114" t="s">
        <v>172</v>
      </c>
    </row>
    <row r="24" spans="1:7" ht="13.5" thickBot="1" x14ac:dyDescent="0.3">
      <c r="A24" s="289"/>
      <c r="B24" s="111" t="s">
        <v>171</v>
      </c>
      <c r="C24" s="113" t="s">
        <v>170</v>
      </c>
      <c r="D24" s="112"/>
      <c r="E24" s="112" t="s">
        <v>169</v>
      </c>
      <c r="F24" s="112" t="s">
        <v>168</v>
      </c>
      <c r="G24" s="111" t="s">
        <v>167</v>
      </c>
    </row>
    <row r="25" spans="1:7" x14ac:dyDescent="0.25">
      <c r="A25" s="290" t="s">
        <v>165</v>
      </c>
      <c r="B25" s="109" t="s">
        <v>164</v>
      </c>
      <c r="C25" s="298">
        <v>16</v>
      </c>
      <c r="D25" s="109" t="s">
        <v>163</v>
      </c>
      <c r="E25" s="300">
        <f>(1/B26)*C25*(1/D26)</f>
        <v>2.744E-4</v>
      </c>
      <c r="F25" s="296">
        <f>'CZS - SERVENTE'!E138</f>
        <v>3006.96</v>
      </c>
      <c r="G25" s="292">
        <f>TRUNC((E25*F25),2)</f>
        <v>0.82</v>
      </c>
    </row>
    <row r="26" spans="1:7" ht="13.5" thickBot="1" x14ac:dyDescent="0.3">
      <c r="A26" s="291"/>
      <c r="B26" s="108">
        <v>308.88</v>
      </c>
      <c r="C26" s="299"/>
      <c r="D26" s="121">
        <v>188.76</v>
      </c>
      <c r="E26" s="301"/>
      <c r="F26" s="297"/>
      <c r="G26" s="293"/>
    </row>
    <row r="27" spans="1:7" ht="20.100000000000001" customHeight="1" thickBot="1" x14ac:dyDescent="0.3">
      <c r="A27" s="106"/>
      <c r="B27" s="105"/>
      <c r="C27" s="105"/>
      <c r="D27" s="105"/>
      <c r="E27" s="105"/>
      <c r="F27" s="104" t="s">
        <v>162</v>
      </c>
      <c r="G27" s="103">
        <f>G25</f>
        <v>0.82</v>
      </c>
    </row>
    <row r="28" spans="1:7" x14ac:dyDescent="0.25">
      <c r="A28" s="119"/>
      <c r="B28" s="119"/>
      <c r="C28" s="119"/>
      <c r="D28" s="119"/>
      <c r="E28" s="119"/>
      <c r="F28" s="119"/>
      <c r="G28" s="119"/>
    </row>
  </sheetData>
  <mergeCells count="16">
    <mergeCell ref="E25:E26"/>
    <mergeCell ref="F25:F26"/>
    <mergeCell ref="G25:G26"/>
    <mergeCell ref="A14:A16"/>
    <mergeCell ref="A17:A18"/>
    <mergeCell ref="C17:C18"/>
    <mergeCell ref="D17:D18"/>
    <mergeCell ref="A22:A24"/>
    <mergeCell ref="A25:A26"/>
    <mergeCell ref="C25:C26"/>
    <mergeCell ref="A1:G1"/>
    <mergeCell ref="A3:G3"/>
    <mergeCell ref="A6:A8"/>
    <mergeCell ref="A9:A10"/>
    <mergeCell ref="C9:C10"/>
    <mergeCell ref="D9:D10"/>
  </mergeCells>
  <pageMargins left="0.511811024" right="0.511811024" top="0.78740157499999996" bottom="0.78740157499999996" header="0.31496062000000002" footer="0.31496062000000002"/>
  <pageSetup paperSize="9" scale="68" fitToHeight="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D51A3-F403-4306-B4C2-D2CCBDDFD48F}">
  <sheetPr>
    <tabColor rgb="FFC00000"/>
    <pageSetUpPr fitToPage="1"/>
  </sheetPr>
  <dimension ref="A1:G28"/>
  <sheetViews>
    <sheetView workbookViewId="0">
      <selection activeCell="M25" sqref="M25"/>
    </sheetView>
  </sheetViews>
  <sheetFormatPr defaultColWidth="9.140625" defaultRowHeight="12.75" x14ac:dyDescent="0.25"/>
  <cols>
    <col min="1" max="1" width="22.5703125" style="68" customWidth="1"/>
    <col min="2" max="7" width="18.7109375" style="68" customWidth="1"/>
    <col min="8" max="16384" width="9.140625" style="68"/>
  </cols>
  <sheetData>
    <row r="1" spans="1:7" ht="13.5" thickBot="1" x14ac:dyDescent="0.3">
      <c r="A1" s="283" t="s">
        <v>192</v>
      </c>
      <c r="B1" s="284"/>
      <c r="C1" s="284"/>
      <c r="D1" s="284"/>
      <c r="E1" s="284"/>
      <c r="F1" s="284"/>
      <c r="G1" s="285"/>
    </row>
    <row r="2" spans="1:7" x14ac:dyDescent="0.25">
      <c r="A2" s="119"/>
      <c r="B2" s="119"/>
      <c r="C2" s="119"/>
      <c r="D2" s="119"/>
      <c r="E2" s="119"/>
      <c r="F2" s="119"/>
      <c r="G2" s="119"/>
    </row>
    <row r="3" spans="1:7" x14ac:dyDescent="0.25">
      <c r="A3" s="286" t="s">
        <v>188</v>
      </c>
      <c r="B3" s="286"/>
      <c r="C3" s="286"/>
      <c r="D3" s="286"/>
      <c r="E3" s="286"/>
      <c r="F3" s="286"/>
      <c r="G3" s="286"/>
    </row>
    <row r="4" spans="1:7" x14ac:dyDescent="0.25">
      <c r="A4" s="119"/>
      <c r="B4" s="119"/>
      <c r="C4" s="119"/>
      <c r="D4" s="119"/>
      <c r="E4" s="119"/>
      <c r="F4" s="119"/>
      <c r="G4" s="119"/>
    </row>
    <row r="5" spans="1:7" ht="13.5" thickBot="1" x14ac:dyDescent="0.3">
      <c r="A5" s="120" t="s">
        <v>187</v>
      </c>
      <c r="B5" s="119"/>
      <c r="C5" s="119"/>
      <c r="D5" s="119"/>
      <c r="E5" s="119"/>
      <c r="F5" s="119"/>
      <c r="G5" s="119"/>
    </row>
    <row r="6" spans="1:7" x14ac:dyDescent="0.25">
      <c r="A6" s="287" t="s">
        <v>15</v>
      </c>
      <c r="B6" s="117">
        <v>1</v>
      </c>
      <c r="C6" s="117">
        <v>2</v>
      </c>
      <c r="D6" s="117" t="s">
        <v>184</v>
      </c>
      <c r="E6" s="119"/>
      <c r="F6" s="119"/>
      <c r="G6" s="119"/>
    </row>
    <row r="7" spans="1:7" ht="25.5" x14ac:dyDescent="0.25">
      <c r="A7" s="288"/>
      <c r="B7" s="113" t="s">
        <v>183</v>
      </c>
      <c r="C7" s="114" t="s">
        <v>173</v>
      </c>
      <c r="D7" s="113" t="s">
        <v>182</v>
      </c>
      <c r="E7" s="119"/>
      <c r="F7" s="128"/>
      <c r="G7" s="119"/>
    </row>
    <row r="8" spans="1:7" ht="13.5" thickBot="1" x14ac:dyDescent="0.3">
      <c r="A8" s="289"/>
      <c r="B8" s="111" t="s">
        <v>171</v>
      </c>
      <c r="C8" s="111" t="s">
        <v>168</v>
      </c>
      <c r="D8" s="111" t="s">
        <v>167</v>
      </c>
      <c r="E8" s="119"/>
      <c r="F8" s="119"/>
      <c r="G8" s="119"/>
    </row>
    <row r="9" spans="1:7" ht="13.5" thickBot="1" x14ac:dyDescent="0.3">
      <c r="A9" s="290" t="s">
        <v>181</v>
      </c>
      <c r="B9" s="109" t="s">
        <v>164</v>
      </c>
      <c r="C9" s="292">
        <f>'ASSIS BRASIL- SERVENTE'!E138</f>
        <v>2383.5100000000002</v>
      </c>
      <c r="D9" s="292">
        <f>TRUNC((1/B10*C9),2)</f>
        <v>2.91</v>
      </c>
      <c r="E9" s="119"/>
      <c r="F9" s="119"/>
      <c r="G9" s="119"/>
    </row>
    <row r="10" spans="1:7" ht="13.5" thickBot="1" x14ac:dyDescent="0.3">
      <c r="A10" s="291"/>
      <c r="B10" s="127">
        <v>818.32</v>
      </c>
      <c r="C10" s="293"/>
      <c r="D10" s="293"/>
      <c r="E10" s="119"/>
      <c r="F10" s="119"/>
      <c r="G10" s="119"/>
    </row>
    <row r="11" spans="1:7" ht="20.100000000000001" customHeight="1" thickBot="1" x14ac:dyDescent="0.3">
      <c r="A11" s="106"/>
      <c r="B11" s="105"/>
      <c r="C11" s="104" t="s">
        <v>186</v>
      </c>
      <c r="D11" s="103">
        <f>D9</f>
        <v>2.91</v>
      </c>
      <c r="E11" s="119"/>
      <c r="F11" s="119"/>
      <c r="G11" s="119"/>
    </row>
    <row r="12" spans="1:7" x14ac:dyDescent="0.25">
      <c r="A12" s="119"/>
      <c r="B12" s="119"/>
      <c r="C12" s="119"/>
      <c r="D12" s="119"/>
      <c r="E12" s="119"/>
      <c r="F12" s="119"/>
      <c r="G12" s="119"/>
    </row>
    <row r="13" spans="1:7" ht="13.5" thickBot="1" x14ac:dyDescent="0.3">
      <c r="A13" s="120" t="s">
        <v>185</v>
      </c>
      <c r="B13" s="119"/>
      <c r="C13" s="119"/>
      <c r="D13" s="119"/>
      <c r="E13" s="119"/>
      <c r="F13" s="119"/>
      <c r="G13" s="119"/>
    </row>
    <row r="14" spans="1:7" x14ac:dyDescent="0.25">
      <c r="A14" s="287" t="s">
        <v>15</v>
      </c>
      <c r="B14" s="117">
        <v>1</v>
      </c>
      <c r="C14" s="117">
        <v>2</v>
      </c>
      <c r="D14" s="117" t="s">
        <v>184</v>
      </c>
      <c r="E14" s="119"/>
      <c r="F14" s="119"/>
      <c r="G14" s="119"/>
    </row>
    <row r="15" spans="1:7" ht="25.5" x14ac:dyDescent="0.25">
      <c r="A15" s="288"/>
      <c r="B15" s="113" t="s">
        <v>183</v>
      </c>
      <c r="C15" s="114" t="s">
        <v>173</v>
      </c>
      <c r="D15" s="113" t="s">
        <v>182</v>
      </c>
      <c r="E15" s="119"/>
      <c r="F15" s="119"/>
      <c r="G15" s="119"/>
    </row>
    <row r="16" spans="1:7" ht="13.5" thickBot="1" x14ac:dyDescent="0.3">
      <c r="A16" s="289"/>
      <c r="B16" s="111" t="s">
        <v>171</v>
      </c>
      <c r="C16" s="111" t="s">
        <v>168</v>
      </c>
      <c r="D16" s="111" t="s">
        <v>167</v>
      </c>
      <c r="E16" s="119"/>
      <c r="F16" s="119"/>
      <c r="G16" s="119"/>
    </row>
    <row r="17" spans="1:7" x14ac:dyDescent="0.25">
      <c r="A17" s="290" t="s">
        <v>181</v>
      </c>
      <c r="B17" s="109" t="s">
        <v>164</v>
      </c>
      <c r="C17" s="292">
        <f>'ASSIS BRASIL- SERVENTE'!E138</f>
        <v>2383.5100000000002</v>
      </c>
      <c r="D17" s="292">
        <f>TRUNC((1/B18*C17),2)</f>
        <v>1.18</v>
      </c>
      <c r="E17" s="119"/>
      <c r="F17" s="119"/>
      <c r="G17" s="119"/>
    </row>
    <row r="18" spans="1:7" ht="13.5" thickBot="1" x14ac:dyDescent="0.3">
      <c r="A18" s="291"/>
      <c r="B18" s="126">
        <v>2004.57</v>
      </c>
      <c r="C18" s="293"/>
      <c r="D18" s="293"/>
      <c r="E18" s="119"/>
      <c r="F18" s="119"/>
      <c r="G18" s="119"/>
    </row>
    <row r="19" spans="1:7" ht="20.100000000000001" customHeight="1" thickBot="1" x14ac:dyDescent="0.3">
      <c r="A19" s="106"/>
      <c r="B19" s="105"/>
      <c r="C19" s="104" t="s">
        <v>162</v>
      </c>
      <c r="D19" s="124">
        <f>D17</f>
        <v>1.18</v>
      </c>
      <c r="E19" s="123"/>
      <c r="F19" s="123"/>
      <c r="G19" s="122"/>
    </row>
    <row r="20" spans="1:7" x14ac:dyDescent="0.25">
      <c r="A20" s="123"/>
      <c r="B20" s="123"/>
      <c r="C20" s="123"/>
      <c r="D20" s="123"/>
      <c r="E20" s="123"/>
      <c r="F20" s="123"/>
      <c r="G20" s="122"/>
    </row>
    <row r="21" spans="1:7" ht="13.5" thickBot="1" x14ac:dyDescent="0.3">
      <c r="A21" s="120" t="s">
        <v>180</v>
      </c>
      <c r="B21" s="119"/>
      <c r="C21" s="119"/>
      <c r="D21" s="119"/>
      <c r="E21" s="119"/>
      <c r="F21" s="119"/>
      <c r="G21" s="119"/>
    </row>
    <row r="22" spans="1:7" x14ac:dyDescent="0.25">
      <c r="A22" s="287" t="s">
        <v>15</v>
      </c>
      <c r="B22" s="118">
        <v>1</v>
      </c>
      <c r="C22" s="117">
        <v>2</v>
      </c>
      <c r="D22" s="117">
        <v>3</v>
      </c>
      <c r="E22" s="117">
        <v>4</v>
      </c>
      <c r="F22" s="118">
        <v>5</v>
      </c>
      <c r="G22" s="117" t="s">
        <v>178</v>
      </c>
    </row>
    <row r="23" spans="1:7" ht="38.25" x14ac:dyDescent="0.25">
      <c r="A23" s="288"/>
      <c r="B23" s="113" t="s">
        <v>177</v>
      </c>
      <c r="C23" s="113" t="s">
        <v>176</v>
      </c>
      <c r="D23" s="116" t="s">
        <v>175</v>
      </c>
      <c r="E23" s="116" t="s">
        <v>174</v>
      </c>
      <c r="F23" s="115" t="s">
        <v>173</v>
      </c>
      <c r="G23" s="114" t="s">
        <v>172</v>
      </c>
    </row>
    <row r="24" spans="1:7" ht="13.5" thickBot="1" x14ac:dyDescent="0.3">
      <c r="A24" s="289"/>
      <c r="B24" s="111" t="s">
        <v>171</v>
      </c>
      <c r="C24" s="113" t="s">
        <v>170</v>
      </c>
      <c r="D24" s="112"/>
      <c r="E24" s="112" t="s">
        <v>169</v>
      </c>
      <c r="F24" s="112" t="s">
        <v>168</v>
      </c>
      <c r="G24" s="111" t="s">
        <v>167</v>
      </c>
    </row>
    <row r="25" spans="1:7" x14ac:dyDescent="0.25">
      <c r="A25" s="290" t="s">
        <v>165</v>
      </c>
      <c r="B25" s="109" t="s">
        <v>164</v>
      </c>
      <c r="C25" s="298">
        <v>16</v>
      </c>
      <c r="D25" s="109" t="s">
        <v>163</v>
      </c>
      <c r="E25" s="300">
        <f>(1/B26)*C25*(1/D26)</f>
        <v>2.744E-4</v>
      </c>
      <c r="F25" s="296">
        <f>'ASSIS BRASIL- SERVENTE'!E138</f>
        <v>2383.5100000000002</v>
      </c>
      <c r="G25" s="292">
        <f>TRUNC((E25*F25),2)</f>
        <v>0.65</v>
      </c>
    </row>
    <row r="26" spans="1:7" ht="13.5" thickBot="1" x14ac:dyDescent="0.3">
      <c r="A26" s="291"/>
      <c r="B26" s="108">
        <v>308.88</v>
      </c>
      <c r="C26" s="299"/>
      <c r="D26" s="121">
        <v>188.76</v>
      </c>
      <c r="E26" s="301"/>
      <c r="F26" s="297"/>
      <c r="G26" s="293"/>
    </row>
    <row r="27" spans="1:7" ht="20.100000000000001" customHeight="1" thickBot="1" x14ac:dyDescent="0.3">
      <c r="A27" s="106"/>
      <c r="B27" s="105"/>
      <c r="C27" s="105"/>
      <c r="D27" s="105"/>
      <c r="E27" s="105"/>
      <c r="F27" s="104" t="s">
        <v>162</v>
      </c>
      <c r="G27" s="103">
        <f>G25</f>
        <v>0.65</v>
      </c>
    </row>
    <row r="28" spans="1:7" x14ac:dyDescent="0.25">
      <c r="A28" s="119"/>
      <c r="B28" s="119"/>
      <c r="C28" s="119"/>
      <c r="D28" s="119"/>
      <c r="E28" s="119"/>
      <c r="F28" s="119"/>
      <c r="G28" s="119"/>
    </row>
  </sheetData>
  <mergeCells count="16">
    <mergeCell ref="E25:E26"/>
    <mergeCell ref="F25:F26"/>
    <mergeCell ref="G25:G26"/>
    <mergeCell ref="A14:A16"/>
    <mergeCell ref="A17:A18"/>
    <mergeCell ref="C17:C18"/>
    <mergeCell ref="D17:D18"/>
    <mergeCell ref="A22:A24"/>
    <mergeCell ref="A25:A26"/>
    <mergeCell ref="C25:C26"/>
    <mergeCell ref="A1:G1"/>
    <mergeCell ref="A3:G3"/>
    <mergeCell ref="A6:A8"/>
    <mergeCell ref="A9:A10"/>
    <mergeCell ref="C9:C10"/>
    <mergeCell ref="D9:D10"/>
  </mergeCells>
  <pageMargins left="0.511811024" right="0.511811024" top="0.78740157499999996" bottom="0.78740157499999996" header="0.31496062000000002" footer="0.31496062000000002"/>
  <pageSetup paperSize="9" scale="68" fitToHeight="0" orientation="portrait"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0C27B-18FF-45DD-8759-CD4AC867741F}">
  <sheetPr>
    <tabColor rgb="FFFFC000"/>
  </sheetPr>
  <dimension ref="A1:F77"/>
  <sheetViews>
    <sheetView topLeftCell="A10" workbookViewId="0">
      <selection activeCell="C45" sqref="C45"/>
    </sheetView>
  </sheetViews>
  <sheetFormatPr defaultColWidth="9.140625" defaultRowHeight="12.75" x14ac:dyDescent="0.2"/>
  <cols>
    <col min="1" max="1" width="6" style="15" customWidth="1"/>
    <col min="2" max="2" width="33.140625" style="15" customWidth="1"/>
    <col min="3" max="3" width="14.140625" style="15" customWidth="1"/>
    <col min="4" max="6" width="15.7109375" style="15" customWidth="1"/>
    <col min="7" max="16384" width="9.140625" style="15"/>
  </cols>
  <sheetData>
    <row r="1" spans="1:6" x14ac:dyDescent="0.2">
      <c r="A1" s="306" t="s">
        <v>193</v>
      </c>
      <c r="B1" s="306"/>
      <c r="C1" s="306"/>
      <c r="D1" s="306"/>
      <c r="E1" s="306"/>
      <c r="F1" s="306"/>
    </row>
    <row r="2" spans="1:6" x14ac:dyDescent="0.2">
      <c r="A2" s="60"/>
      <c r="B2" s="129"/>
      <c r="C2" s="60"/>
      <c r="D2" s="60"/>
      <c r="E2" s="60"/>
      <c r="F2" s="60"/>
    </row>
    <row r="3" spans="1:6" x14ac:dyDescent="0.2">
      <c r="A3" s="307" t="s">
        <v>194</v>
      </c>
      <c r="B3" s="307"/>
      <c r="C3" s="307"/>
      <c r="D3" s="307"/>
      <c r="E3" s="307"/>
      <c r="F3" s="307"/>
    </row>
    <row r="4" spans="1:6" x14ac:dyDescent="0.2">
      <c r="A4" s="308" t="s">
        <v>195</v>
      </c>
      <c r="B4" s="309"/>
      <c r="C4" s="60"/>
      <c r="D4" s="60"/>
      <c r="E4" s="60"/>
      <c r="F4" s="60"/>
    </row>
    <row r="5" spans="1:6" x14ac:dyDescent="0.2">
      <c r="A5" s="130" t="s">
        <v>196</v>
      </c>
      <c r="B5" s="130" t="s">
        <v>197</v>
      </c>
      <c r="C5" s="130" t="s">
        <v>198</v>
      </c>
      <c r="D5" s="130" t="s">
        <v>199</v>
      </c>
      <c r="E5" s="130" t="s">
        <v>200</v>
      </c>
      <c r="F5" s="130" t="s">
        <v>201</v>
      </c>
    </row>
    <row r="6" spans="1:6" ht="25.5" x14ac:dyDescent="0.2">
      <c r="A6" s="4">
        <v>1</v>
      </c>
      <c r="B6" s="131" t="s">
        <v>202</v>
      </c>
      <c r="C6" s="4">
        <v>2</v>
      </c>
      <c r="D6" s="132"/>
      <c r="E6" s="133">
        <f>TRUNC((D6*C6),2)</f>
        <v>0</v>
      </c>
      <c r="F6" s="133">
        <f>TRUNC((E6/12),2)</f>
        <v>0</v>
      </c>
    </row>
    <row r="7" spans="1:6" ht="30" customHeight="1" x14ac:dyDescent="0.2">
      <c r="A7" s="4">
        <v>2</v>
      </c>
      <c r="B7" s="131" t="s">
        <v>203</v>
      </c>
      <c r="C7" s="4">
        <v>2</v>
      </c>
      <c r="D7" s="132"/>
      <c r="E7" s="133">
        <f t="shared" ref="E7:E11" si="0">TRUNC((D7*C7),2)</f>
        <v>0</v>
      </c>
      <c r="F7" s="133">
        <f t="shared" ref="F7:F11" si="1">TRUNC((E7/12),2)</f>
        <v>0</v>
      </c>
    </row>
    <row r="8" spans="1:6" ht="30" customHeight="1" x14ac:dyDescent="0.2">
      <c r="A8" s="4">
        <v>3</v>
      </c>
      <c r="B8" s="131" t="s">
        <v>204</v>
      </c>
      <c r="C8" s="4">
        <v>2</v>
      </c>
      <c r="D8" s="132"/>
      <c r="E8" s="133">
        <f t="shared" si="0"/>
        <v>0</v>
      </c>
      <c r="F8" s="133">
        <f t="shared" si="1"/>
        <v>0</v>
      </c>
    </row>
    <row r="9" spans="1:6" ht="30" customHeight="1" x14ac:dyDescent="0.2">
      <c r="A9" s="4">
        <v>4</v>
      </c>
      <c r="B9" s="131" t="s">
        <v>205</v>
      </c>
      <c r="C9" s="4">
        <v>3</v>
      </c>
      <c r="D9" s="132"/>
      <c r="E9" s="133">
        <f t="shared" si="0"/>
        <v>0</v>
      </c>
      <c r="F9" s="133">
        <f t="shared" si="1"/>
        <v>0</v>
      </c>
    </row>
    <row r="10" spans="1:6" ht="25.5" x14ac:dyDescent="0.2">
      <c r="A10" s="4">
        <v>5</v>
      </c>
      <c r="B10" s="134" t="s">
        <v>206</v>
      </c>
      <c r="C10" s="4">
        <v>1</v>
      </c>
      <c r="D10" s="132"/>
      <c r="E10" s="133">
        <f t="shared" si="0"/>
        <v>0</v>
      </c>
      <c r="F10" s="133">
        <f t="shared" si="1"/>
        <v>0</v>
      </c>
    </row>
    <row r="11" spans="1:6" ht="38.25" x14ac:dyDescent="0.2">
      <c r="A11" s="4">
        <v>6</v>
      </c>
      <c r="B11" s="134" t="s">
        <v>207</v>
      </c>
      <c r="C11" s="4">
        <v>1</v>
      </c>
      <c r="D11" s="132"/>
      <c r="E11" s="133">
        <f t="shared" si="0"/>
        <v>0</v>
      </c>
      <c r="F11" s="133">
        <f t="shared" si="1"/>
        <v>0</v>
      </c>
    </row>
    <row r="12" spans="1:6" x14ac:dyDescent="0.2">
      <c r="A12" s="304" t="s">
        <v>208</v>
      </c>
      <c r="B12" s="310"/>
      <c r="C12" s="310"/>
      <c r="D12" s="310"/>
      <c r="E12" s="135">
        <f>SUM(E6:E11)</f>
        <v>0</v>
      </c>
      <c r="F12" s="136"/>
    </row>
    <row r="13" spans="1:6" x14ac:dyDescent="0.2">
      <c r="A13" s="304" t="s">
        <v>209</v>
      </c>
      <c r="B13" s="310"/>
      <c r="C13" s="310"/>
      <c r="D13" s="310"/>
      <c r="E13" s="305"/>
      <c r="F13" s="137">
        <f>SUM(F6:F11)</f>
        <v>0</v>
      </c>
    </row>
    <row r="14" spans="1:6" x14ac:dyDescent="0.2">
      <c r="A14" s="60"/>
      <c r="B14" s="60"/>
      <c r="C14" s="60"/>
      <c r="D14" s="60"/>
      <c r="E14" s="60"/>
      <c r="F14" s="60"/>
    </row>
    <row r="15" spans="1:6" x14ac:dyDescent="0.2">
      <c r="A15" s="311" t="s">
        <v>194</v>
      </c>
      <c r="B15" s="312"/>
      <c r="C15" s="312"/>
      <c r="D15" s="312"/>
      <c r="E15" s="312"/>
      <c r="F15" s="312"/>
    </row>
    <row r="16" spans="1:6" x14ac:dyDescent="0.2">
      <c r="A16" s="308" t="s">
        <v>210</v>
      </c>
      <c r="B16" s="309"/>
      <c r="C16" s="60"/>
      <c r="D16" s="60"/>
      <c r="E16" s="60"/>
      <c r="F16" s="60"/>
    </row>
    <row r="17" spans="1:6" x14ac:dyDescent="0.2">
      <c r="A17" s="130" t="s">
        <v>196</v>
      </c>
      <c r="B17" s="130" t="s">
        <v>197</v>
      </c>
      <c r="C17" s="130" t="s">
        <v>198</v>
      </c>
      <c r="D17" s="130" t="s">
        <v>199</v>
      </c>
      <c r="E17" s="130" t="s">
        <v>200</v>
      </c>
      <c r="F17" s="130" t="s">
        <v>201</v>
      </c>
    </row>
    <row r="18" spans="1:6" x14ac:dyDescent="0.2">
      <c r="A18" s="4">
        <v>1</v>
      </c>
      <c r="B18" s="131" t="s">
        <v>211</v>
      </c>
      <c r="C18" s="4">
        <v>2</v>
      </c>
      <c r="D18" s="132"/>
      <c r="E18" s="133">
        <f>TRUNC((D18*C18),2)</f>
        <v>0</v>
      </c>
      <c r="F18" s="133">
        <f>TRUNC((E18/12),2)</f>
        <v>0</v>
      </c>
    </row>
    <row r="19" spans="1:6" ht="25.5" x14ac:dyDescent="0.2">
      <c r="A19" s="4">
        <v>2</v>
      </c>
      <c r="B19" s="131" t="s">
        <v>212</v>
      </c>
      <c r="C19" s="4">
        <v>2</v>
      </c>
      <c r="D19" s="132"/>
      <c r="E19" s="133">
        <f t="shared" ref="E19:E21" si="2">TRUNC((D19*C19),2)</f>
        <v>0</v>
      </c>
      <c r="F19" s="133">
        <f t="shared" ref="F19:F21" si="3">TRUNC((E19/12),2)</f>
        <v>0</v>
      </c>
    </row>
    <row r="20" spans="1:6" x14ac:dyDescent="0.2">
      <c r="A20" s="4">
        <v>3</v>
      </c>
      <c r="B20" s="131" t="s">
        <v>213</v>
      </c>
      <c r="C20" s="4">
        <v>1</v>
      </c>
      <c r="D20" s="132"/>
      <c r="E20" s="133">
        <f t="shared" si="2"/>
        <v>0</v>
      </c>
      <c r="F20" s="133">
        <f t="shared" si="3"/>
        <v>0</v>
      </c>
    </row>
    <row r="21" spans="1:6" ht="25.5" x14ac:dyDescent="0.2">
      <c r="A21" s="4">
        <v>4</v>
      </c>
      <c r="B21" s="131" t="s">
        <v>214</v>
      </c>
      <c r="C21" s="4">
        <v>3</v>
      </c>
      <c r="D21" s="132"/>
      <c r="E21" s="133">
        <f t="shared" si="2"/>
        <v>0</v>
      </c>
      <c r="F21" s="133">
        <f t="shared" si="3"/>
        <v>0</v>
      </c>
    </row>
    <row r="22" spans="1:6" x14ac:dyDescent="0.2">
      <c r="A22" s="304" t="s">
        <v>208</v>
      </c>
      <c r="B22" s="310"/>
      <c r="C22" s="310"/>
      <c r="D22" s="310"/>
      <c r="E22" s="135">
        <f>SUM(E15:E21)</f>
        <v>0</v>
      </c>
      <c r="F22" s="136"/>
    </row>
    <row r="23" spans="1:6" x14ac:dyDescent="0.2">
      <c r="A23" s="304" t="s">
        <v>209</v>
      </c>
      <c r="B23" s="310"/>
      <c r="C23" s="310"/>
      <c r="D23" s="310"/>
      <c r="E23" s="305"/>
      <c r="F23" s="137">
        <f>SUM(F18:F21)</f>
        <v>0</v>
      </c>
    </row>
    <row r="24" spans="1:6" x14ac:dyDescent="0.2">
      <c r="A24" s="60"/>
      <c r="B24" s="60"/>
      <c r="C24" s="60"/>
      <c r="D24" s="60"/>
      <c r="E24" s="60"/>
      <c r="F24" s="60"/>
    </row>
    <row r="25" spans="1:6" x14ac:dyDescent="0.2">
      <c r="A25" s="138"/>
      <c r="B25" s="313" t="s">
        <v>215</v>
      </c>
      <c r="C25" s="313"/>
      <c r="D25" s="138"/>
      <c r="E25" s="313" t="s">
        <v>216</v>
      </c>
      <c r="F25" s="313"/>
    </row>
    <row r="26" spans="1:6" x14ac:dyDescent="0.2">
      <c r="A26" s="60"/>
      <c r="B26" s="60"/>
      <c r="C26" s="60"/>
      <c r="D26" s="60"/>
      <c r="E26" s="60"/>
      <c r="F26" s="60"/>
    </row>
    <row r="27" spans="1:6" x14ac:dyDescent="0.2">
      <c r="A27" s="60"/>
      <c r="B27" s="304" t="s">
        <v>217</v>
      </c>
      <c r="C27" s="305"/>
      <c r="D27" s="60"/>
      <c r="E27" s="304" t="s">
        <v>218</v>
      </c>
      <c r="F27" s="305"/>
    </row>
    <row r="28" spans="1:6" x14ac:dyDescent="0.2">
      <c r="A28" s="60"/>
      <c r="B28" s="139" t="s">
        <v>219</v>
      </c>
      <c r="C28" s="187">
        <v>4</v>
      </c>
      <c r="D28" s="60"/>
      <c r="E28" s="141" t="s">
        <v>220</v>
      </c>
      <c r="F28" s="142">
        <v>10</v>
      </c>
    </row>
    <row r="29" spans="1:6" x14ac:dyDescent="0.2">
      <c r="A29" s="60"/>
      <c r="B29" s="139" t="s">
        <v>221</v>
      </c>
      <c r="C29" s="187">
        <v>2</v>
      </c>
      <c r="D29" s="60"/>
      <c r="E29" s="141" t="s">
        <v>222</v>
      </c>
      <c r="F29" s="144">
        <v>22</v>
      </c>
    </row>
    <row r="30" spans="1:6" x14ac:dyDescent="0.2">
      <c r="A30" s="60"/>
      <c r="B30" s="139" t="s">
        <v>223</v>
      </c>
      <c r="C30" s="188">
        <v>22</v>
      </c>
      <c r="D30" s="60"/>
      <c r="E30" s="145" t="s">
        <v>224</v>
      </c>
      <c r="F30" s="146">
        <f>F28*F29</f>
        <v>220</v>
      </c>
    </row>
    <row r="31" spans="1:6" x14ac:dyDescent="0.2">
      <c r="A31" s="60"/>
      <c r="B31" s="139" t="s">
        <v>225</v>
      </c>
      <c r="C31" s="189">
        <f>TRUNC((C28*C29*C30),2)</f>
        <v>176</v>
      </c>
      <c r="D31" s="60"/>
      <c r="E31" s="141" t="s">
        <v>226</v>
      </c>
      <c r="F31" s="148"/>
    </row>
    <row r="32" spans="1:6" x14ac:dyDescent="0.2">
      <c r="A32" s="60"/>
      <c r="B32" s="139" t="s">
        <v>227</v>
      </c>
      <c r="C32" s="190">
        <v>1827</v>
      </c>
      <c r="D32" s="60"/>
      <c r="E32" s="145" t="s">
        <v>224</v>
      </c>
      <c r="F32" s="146">
        <f>(F30)-(F30*F31)</f>
        <v>220</v>
      </c>
    </row>
    <row r="33" spans="1:6" x14ac:dyDescent="0.2">
      <c r="A33" s="60"/>
      <c r="B33" s="139" t="s">
        <v>228</v>
      </c>
      <c r="C33" s="189">
        <f>TRUNC((C32*6%),2)</f>
        <v>109.62</v>
      </c>
      <c r="D33" s="60"/>
      <c r="E33" s="141" t="s">
        <v>229</v>
      </c>
      <c r="F33" s="142"/>
    </row>
    <row r="34" spans="1:6" x14ac:dyDescent="0.2">
      <c r="A34" s="60"/>
      <c r="B34" s="150" t="s">
        <v>230</v>
      </c>
      <c r="C34" s="191">
        <f>TRUNC((C31-C33),2)</f>
        <v>66.38</v>
      </c>
      <c r="D34" s="60"/>
      <c r="E34" s="150" t="s">
        <v>231</v>
      </c>
      <c r="F34" s="152">
        <f>TRUNC((F32+F33),2)</f>
        <v>220</v>
      </c>
    </row>
    <row r="35" spans="1:6" x14ac:dyDescent="0.2">
      <c r="A35" s="60"/>
      <c r="B35" s="60"/>
      <c r="C35" s="60"/>
      <c r="D35" s="60"/>
      <c r="E35" s="60"/>
      <c r="F35" s="60"/>
    </row>
    <row r="36" spans="1:6" x14ac:dyDescent="0.2">
      <c r="A36" s="60"/>
      <c r="B36" s="313"/>
      <c r="C36" s="313"/>
      <c r="D36" s="60"/>
      <c r="E36" s="60"/>
      <c r="F36" s="60"/>
    </row>
    <row r="37" spans="1:6" ht="30" customHeight="1" x14ac:dyDescent="0.2">
      <c r="A37" s="60"/>
      <c r="B37" s="323" t="s">
        <v>232</v>
      </c>
      <c r="C37" s="324"/>
      <c r="D37" s="60"/>
      <c r="E37" s="60"/>
      <c r="F37" s="60"/>
    </row>
    <row r="38" spans="1:6" x14ac:dyDescent="0.2">
      <c r="A38" s="60"/>
      <c r="B38" s="139" t="s">
        <v>219</v>
      </c>
      <c r="C38" s="140">
        <v>4</v>
      </c>
      <c r="D38" s="60"/>
      <c r="E38" s="153"/>
      <c r="F38" s="60"/>
    </row>
    <row r="39" spans="1:6" x14ac:dyDescent="0.2">
      <c r="A39" s="60"/>
      <c r="B39" s="139" t="s">
        <v>221</v>
      </c>
      <c r="C39" s="143">
        <v>2</v>
      </c>
      <c r="D39" s="60"/>
      <c r="E39" s="153"/>
      <c r="F39" s="60"/>
    </row>
    <row r="40" spans="1:6" x14ac:dyDescent="0.2">
      <c r="A40" s="60"/>
      <c r="B40" s="139" t="s">
        <v>223</v>
      </c>
      <c r="C40" s="144">
        <v>22</v>
      </c>
      <c r="D40" s="60"/>
      <c r="E40" s="60"/>
      <c r="F40" s="60"/>
    </row>
    <row r="41" spans="1:6" x14ac:dyDescent="0.2">
      <c r="A41" s="60"/>
      <c r="B41" s="139" t="s">
        <v>225</v>
      </c>
      <c r="C41" s="147">
        <f>C38*C39*C40</f>
        <v>176</v>
      </c>
      <c r="D41" s="60"/>
      <c r="E41" s="60"/>
      <c r="F41" s="60"/>
    </row>
    <row r="42" spans="1:6" x14ac:dyDescent="0.2">
      <c r="A42" s="60"/>
      <c r="B42" s="139" t="s">
        <v>227</v>
      </c>
      <c r="C42" s="149">
        <v>1108</v>
      </c>
      <c r="D42" s="60"/>
      <c r="E42" s="60"/>
      <c r="F42" s="60"/>
    </row>
    <row r="43" spans="1:6" x14ac:dyDescent="0.2">
      <c r="A43" s="60"/>
      <c r="B43" s="139" t="s">
        <v>228</v>
      </c>
      <c r="C43" s="147">
        <f>C42*6%</f>
        <v>66.48</v>
      </c>
      <c r="D43" s="60"/>
      <c r="E43" s="60"/>
      <c r="F43" s="60"/>
    </row>
    <row r="44" spans="1:6" x14ac:dyDescent="0.2">
      <c r="A44" s="60"/>
      <c r="B44" s="150" t="s">
        <v>230</v>
      </c>
      <c r="C44" s="151">
        <f>TRUNC((C41-C43),2)</f>
        <v>109.52</v>
      </c>
      <c r="D44" s="60"/>
      <c r="E44" s="60"/>
      <c r="F44" s="60"/>
    </row>
    <row r="45" spans="1:6" x14ac:dyDescent="0.2">
      <c r="A45" s="60"/>
      <c r="B45" s="60"/>
      <c r="C45" s="154"/>
      <c r="D45" s="60"/>
      <c r="E45" s="60"/>
      <c r="F45" s="60"/>
    </row>
    <row r="47" spans="1:6" x14ac:dyDescent="0.2">
      <c r="B47" s="138" t="s">
        <v>233</v>
      </c>
      <c r="C47" s="60"/>
    </row>
    <row r="48" spans="1:6" x14ac:dyDescent="0.2">
      <c r="B48" s="60" t="s">
        <v>234</v>
      </c>
      <c r="C48" s="60"/>
    </row>
    <row r="50" spans="1:6" ht="24.75" customHeight="1" x14ac:dyDescent="0.2">
      <c r="A50" s="60"/>
      <c r="B50" s="315" t="s">
        <v>235</v>
      </c>
      <c r="C50" s="316"/>
      <c r="D50" s="60"/>
      <c r="E50" s="60"/>
      <c r="F50" s="60"/>
    </row>
    <row r="51" spans="1:6" ht="31.5" customHeight="1" x14ac:dyDescent="0.2">
      <c r="A51" s="60"/>
      <c r="B51" s="139" t="s">
        <v>219</v>
      </c>
      <c r="C51" s="140"/>
      <c r="D51" s="314" t="s">
        <v>236</v>
      </c>
      <c r="E51" s="314"/>
      <c r="F51" s="314"/>
    </row>
    <row r="52" spans="1:6" x14ac:dyDescent="0.2">
      <c r="A52" s="60"/>
      <c r="B52" s="139" t="s">
        <v>237</v>
      </c>
      <c r="C52" s="143">
        <v>2</v>
      </c>
      <c r="D52" s="60"/>
      <c r="E52" s="60"/>
      <c r="F52" s="60"/>
    </row>
    <row r="53" spans="1:6" x14ac:dyDescent="0.2">
      <c r="A53" s="60"/>
      <c r="B53" s="139" t="s">
        <v>223</v>
      </c>
      <c r="C53" s="144">
        <v>22</v>
      </c>
      <c r="D53" s="325"/>
      <c r="E53" s="325"/>
      <c r="F53" s="325"/>
    </row>
    <row r="54" spans="1:6" x14ac:dyDescent="0.2">
      <c r="A54" s="60"/>
      <c r="B54" s="139" t="s">
        <v>225</v>
      </c>
      <c r="C54" s="147">
        <f>C51*C52*C53</f>
        <v>0</v>
      </c>
      <c r="D54" s="60"/>
      <c r="E54" s="155"/>
      <c r="F54" s="60"/>
    </row>
    <row r="55" spans="1:6" x14ac:dyDescent="0.2">
      <c r="A55" s="60"/>
      <c r="B55" s="139" t="s">
        <v>227</v>
      </c>
      <c r="C55" s="156"/>
      <c r="D55" s="60"/>
      <c r="E55" s="155"/>
      <c r="F55" s="60"/>
    </row>
    <row r="56" spans="1:6" x14ac:dyDescent="0.2">
      <c r="A56" s="60"/>
      <c r="B56" s="139" t="s">
        <v>228</v>
      </c>
      <c r="C56" s="147">
        <f>C55*6%</f>
        <v>0</v>
      </c>
      <c r="D56" s="60"/>
      <c r="E56" s="60"/>
      <c r="F56" s="60"/>
    </row>
    <row r="57" spans="1:6" x14ac:dyDescent="0.2">
      <c r="A57" s="60"/>
      <c r="B57" s="150" t="s">
        <v>230</v>
      </c>
      <c r="C57" s="151">
        <f>C54-C56</f>
        <v>0</v>
      </c>
      <c r="D57" s="60"/>
      <c r="E57" s="60"/>
      <c r="F57" s="60"/>
    </row>
    <row r="58" spans="1:6" x14ac:dyDescent="0.2">
      <c r="A58" s="60"/>
      <c r="B58" s="60"/>
      <c r="C58" s="60"/>
      <c r="D58" s="60"/>
      <c r="E58" s="60"/>
      <c r="F58" s="60"/>
    </row>
    <row r="59" spans="1:6" x14ac:dyDescent="0.2">
      <c r="A59" s="60"/>
      <c r="B59" s="60"/>
      <c r="C59" s="60"/>
      <c r="D59" s="60"/>
      <c r="E59" s="60"/>
      <c r="F59" s="60"/>
    </row>
    <row r="60" spans="1:6" ht="24" customHeight="1" x14ac:dyDescent="0.2">
      <c r="A60" s="60"/>
      <c r="B60" s="315" t="s">
        <v>238</v>
      </c>
      <c r="C60" s="316"/>
      <c r="D60" s="60"/>
      <c r="E60" s="60"/>
      <c r="F60" s="60"/>
    </row>
    <row r="61" spans="1:6" ht="26.25" customHeight="1" x14ac:dyDescent="0.2">
      <c r="A61" s="60"/>
      <c r="B61" s="139" t="s">
        <v>219</v>
      </c>
      <c r="C61" s="140">
        <v>0</v>
      </c>
      <c r="D61" s="314" t="s">
        <v>236</v>
      </c>
      <c r="E61" s="314"/>
      <c r="F61" s="314"/>
    </row>
    <row r="62" spans="1:6" ht="22.5" customHeight="1" x14ac:dyDescent="0.2">
      <c r="A62" s="60"/>
      <c r="B62" s="139" t="s">
        <v>237</v>
      </c>
      <c r="C62" s="143">
        <v>2</v>
      </c>
      <c r="D62" s="60"/>
      <c r="E62" s="60"/>
      <c r="F62" s="60"/>
    </row>
    <row r="63" spans="1:6" x14ac:dyDescent="0.2">
      <c r="A63" s="60"/>
      <c r="B63" s="139" t="s">
        <v>223</v>
      </c>
      <c r="C63" s="144">
        <v>22</v>
      </c>
      <c r="D63" s="60"/>
      <c r="E63" s="60"/>
      <c r="F63" s="60"/>
    </row>
    <row r="64" spans="1:6" x14ac:dyDescent="0.2">
      <c r="A64" s="60"/>
      <c r="B64" s="139" t="s">
        <v>225</v>
      </c>
      <c r="C64" s="147">
        <f>C61*C62*C63</f>
        <v>0</v>
      </c>
      <c r="D64" s="60"/>
      <c r="E64" s="60"/>
      <c r="F64" s="60"/>
    </row>
    <row r="65" spans="1:6" x14ac:dyDescent="0.2">
      <c r="A65" s="60"/>
      <c r="B65" s="139" t="s">
        <v>227</v>
      </c>
      <c r="C65" s="156">
        <v>0</v>
      </c>
      <c r="D65" s="60"/>
      <c r="E65" s="60"/>
      <c r="F65" s="60"/>
    </row>
    <row r="66" spans="1:6" x14ac:dyDescent="0.2">
      <c r="A66" s="60"/>
      <c r="B66" s="139" t="s">
        <v>228</v>
      </c>
      <c r="C66" s="147">
        <f>C65*6%</f>
        <v>0</v>
      </c>
      <c r="D66" s="60"/>
      <c r="E66" s="60"/>
      <c r="F66" s="60"/>
    </row>
    <row r="67" spans="1:6" x14ac:dyDescent="0.2">
      <c r="A67" s="60"/>
      <c r="B67" s="150" t="s">
        <v>230</v>
      </c>
      <c r="C67" s="151">
        <f>C64-C66</f>
        <v>0</v>
      </c>
      <c r="D67" s="60"/>
      <c r="E67" s="60"/>
      <c r="F67" s="60"/>
    </row>
    <row r="70" spans="1:6" ht="15.75" customHeight="1" x14ac:dyDescent="0.2">
      <c r="B70" s="315" t="s">
        <v>239</v>
      </c>
      <c r="C70" s="316"/>
      <c r="D70" s="317" t="s">
        <v>236</v>
      </c>
      <c r="E70" s="318"/>
      <c r="F70" s="319"/>
    </row>
    <row r="71" spans="1:6" x14ac:dyDescent="0.2">
      <c r="B71" s="139" t="s">
        <v>219</v>
      </c>
      <c r="C71" s="140">
        <v>0</v>
      </c>
      <c r="D71" s="320"/>
      <c r="E71" s="321"/>
      <c r="F71" s="322"/>
    </row>
    <row r="72" spans="1:6" x14ac:dyDescent="0.2">
      <c r="B72" s="139" t="s">
        <v>221</v>
      </c>
      <c r="C72" s="143">
        <v>2</v>
      </c>
    </row>
    <row r="73" spans="1:6" x14ac:dyDescent="0.2">
      <c r="B73" s="139" t="s">
        <v>223</v>
      </c>
      <c r="C73" s="144">
        <v>22</v>
      </c>
    </row>
    <row r="74" spans="1:6" x14ac:dyDescent="0.2">
      <c r="B74" s="139" t="s">
        <v>225</v>
      </c>
      <c r="C74" s="147">
        <f>C71*C72*C73</f>
        <v>0</v>
      </c>
    </row>
    <row r="75" spans="1:6" x14ac:dyDescent="0.2">
      <c r="B75" s="139" t="s">
        <v>227</v>
      </c>
      <c r="C75" s="149">
        <v>0</v>
      </c>
    </row>
    <row r="76" spans="1:6" x14ac:dyDescent="0.2">
      <c r="B76" s="139" t="s">
        <v>228</v>
      </c>
      <c r="C76" s="147">
        <f>C75*6%</f>
        <v>0</v>
      </c>
    </row>
    <row r="77" spans="1:6" x14ac:dyDescent="0.2">
      <c r="B77" s="150" t="s">
        <v>230</v>
      </c>
      <c r="C77" s="151">
        <f>C74-C76</f>
        <v>0</v>
      </c>
    </row>
  </sheetData>
  <mergeCells count="22">
    <mergeCell ref="D61:F61"/>
    <mergeCell ref="B70:C70"/>
    <mergeCell ref="D70:F71"/>
    <mergeCell ref="B36:C36"/>
    <mergeCell ref="B37:C37"/>
    <mergeCell ref="B50:C50"/>
    <mergeCell ref="D51:F51"/>
    <mergeCell ref="D53:F53"/>
    <mergeCell ref="B60:C60"/>
    <mergeCell ref="B27:C27"/>
    <mergeCell ref="E27:F27"/>
    <mergeCell ref="A1:F1"/>
    <mergeCell ref="A3:F3"/>
    <mergeCell ref="A4:B4"/>
    <mergeCell ref="A12:D12"/>
    <mergeCell ref="A13:E13"/>
    <mergeCell ref="A15:F15"/>
    <mergeCell ref="A16:B16"/>
    <mergeCell ref="A22:D22"/>
    <mergeCell ref="A23:E23"/>
    <mergeCell ref="B25:C25"/>
    <mergeCell ref="E25:F25"/>
  </mergeCells>
  <pageMargins left="0.511811024" right="0.511811024" top="0.78740157499999996" bottom="0.78740157499999996" header="0.31496062000000002" footer="0.31496062000000002"/>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90636-5657-4184-A198-1CEE684AF7F6}">
  <sheetPr>
    <tabColor rgb="FF00B0F0"/>
    <pageSetUpPr fitToPage="1"/>
  </sheetPr>
  <dimension ref="A1:S85"/>
  <sheetViews>
    <sheetView tabSelected="1" topLeftCell="A70" workbookViewId="0">
      <selection activeCell="V29" sqref="V29"/>
    </sheetView>
  </sheetViews>
  <sheetFormatPr defaultColWidth="9.140625" defaultRowHeight="12.75" x14ac:dyDescent="0.2"/>
  <cols>
    <col min="1" max="1" width="5" style="15" customWidth="1"/>
    <col min="2" max="5" width="4.7109375" style="15" customWidth="1"/>
    <col min="6" max="6" width="7.85546875" style="15" customWidth="1"/>
    <col min="7" max="7" width="6.7109375" style="15" customWidth="1"/>
    <col min="8" max="8" width="10.7109375" style="15" customWidth="1"/>
    <col min="9" max="9" width="11.140625" style="15" customWidth="1"/>
    <col min="10" max="10" width="11.5703125" style="15" bestFit="1" customWidth="1"/>
    <col min="11" max="11" width="14.42578125" style="15" customWidth="1"/>
    <col min="12" max="12" width="12.85546875" style="15" customWidth="1"/>
    <col min="13" max="13" width="10.5703125" style="15" customWidth="1"/>
    <col min="14" max="15" width="12.7109375" style="15" customWidth="1"/>
    <col min="16" max="16" width="10.5703125" style="15" customWidth="1"/>
    <col min="17" max="17" width="10.85546875" style="15" customWidth="1"/>
    <col min="18" max="18" width="11.85546875" style="15" customWidth="1"/>
    <col min="19" max="19" width="10.5703125" style="15" customWidth="1"/>
    <col min="20" max="16384" width="9.140625" style="15"/>
  </cols>
  <sheetData>
    <row r="1" spans="1:19" x14ac:dyDescent="0.2">
      <c r="A1" s="157"/>
      <c r="B1" s="157"/>
      <c r="C1" s="157"/>
      <c r="D1" s="157"/>
      <c r="E1" s="157"/>
      <c r="F1" s="157"/>
      <c r="G1" s="157"/>
      <c r="H1" s="157"/>
      <c r="I1" s="157"/>
      <c r="J1" s="157"/>
      <c r="K1" s="157"/>
      <c r="L1" s="157"/>
      <c r="M1" s="157"/>
      <c r="N1" s="157"/>
      <c r="O1" s="157"/>
      <c r="P1" s="157"/>
      <c r="Q1" s="157"/>
      <c r="R1" s="157"/>
      <c r="S1" s="157"/>
    </row>
    <row r="2" spans="1:19" ht="30" customHeight="1" x14ac:dyDescent="0.2">
      <c r="A2" s="158">
        <v>1</v>
      </c>
      <c r="B2" s="334" t="s">
        <v>240</v>
      </c>
      <c r="C2" s="335"/>
      <c r="D2" s="335"/>
      <c r="E2" s="335"/>
      <c r="F2" s="335"/>
      <c r="G2" s="335"/>
      <c r="H2" s="335"/>
      <c r="I2" s="335"/>
      <c r="J2" s="335"/>
      <c r="K2" s="335"/>
      <c r="L2" s="335"/>
      <c r="M2" s="335"/>
      <c r="N2" s="335"/>
      <c r="O2" s="335"/>
      <c r="P2" s="335"/>
      <c r="Q2" s="335"/>
      <c r="R2" s="335"/>
      <c r="S2" s="336"/>
    </row>
    <row r="3" spans="1:19" ht="57.75" customHeight="1" x14ac:dyDescent="0.2">
      <c r="A3" s="159" t="s">
        <v>241</v>
      </c>
      <c r="B3" s="337" t="s">
        <v>242</v>
      </c>
      <c r="C3" s="338"/>
      <c r="D3" s="338"/>
      <c r="E3" s="338"/>
      <c r="F3" s="339"/>
      <c r="G3" s="160" t="s">
        <v>243</v>
      </c>
      <c r="H3" s="160" t="s">
        <v>244</v>
      </c>
      <c r="I3" s="160" t="s">
        <v>245</v>
      </c>
      <c r="J3" s="160" t="s">
        <v>246</v>
      </c>
      <c r="K3" s="160" t="s">
        <v>247</v>
      </c>
      <c r="L3" s="160" t="s">
        <v>245</v>
      </c>
      <c r="M3" s="160" t="s">
        <v>246</v>
      </c>
      <c r="N3" s="160" t="s">
        <v>248</v>
      </c>
      <c r="O3" s="160" t="s">
        <v>245</v>
      </c>
      <c r="P3" s="160" t="s">
        <v>246</v>
      </c>
      <c r="Q3" s="160" t="s">
        <v>249</v>
      </c>
      <c r="R3" s="160" t="s">
        <v>245</v>
      </c>
      <c r="S3" s="160" t="s">
        <v>246</v>
      </c>
    </row>
    <row r="4" spans="1:19" ht="117.75" customHeight="1" x14ac:dyDescent="0.2">
      <c r="A4" s="161">
        <v>1</v>
      </c>
      <c r="B4" s="340" t="s">
        <v>339</v>
      </c>
      <c r="C4" s="341"/>
      <c r="D4" s="341"/>
      <c r="E4" s="341"/>
      <c r="F4" s="342"/>
      <c r="G4" s="162" t="s">
        <v>250</v>
      </c>
      <c r="H4" s="163">
        <v>50</v>
      </c>
      <c r="I4" s="233"/>
      <c r="J4" s="231">
        <f>TRUNC((H4*I4),2)</f>
        <v>0</v>
      </c>
      <c r="K4" s="225">
        <v>12</v>
      </c>
      <c r="L4" s="233"/>
      <c r="M4" s="231">
        <f>TRUNC((K4*L4),2)</f>
        <v>0</v>
      </c>
      <c r="N4" s="225">
        <v>6</v>
      </c>
      <c r="O4" s="233"/>
      <c r="P4" s="231">
        <f>TRUNC((N4*O4),2)</f>
        <v>0</v>
      </c>
      <c r="Q4" s="225">
        <v>4</v>
      </c>
      <c r="R4" s="233"/>
      <c r="S4" s="231">
        <f>TRUNC((Q4*R4),2)</f>
        <v>0</v>
      </c>
    </row>
    <row r="5" spans="1:19" ht="43.5" customHeight="1" x14ac:dyDescent="0.2">
      <c r="A5" s="161">
        <v>2</v>
      </c>
      <c r="B5" s="340" t="s">
        <v>340</v>
      </c>
      <c r="C5" s="341"/>
      <c r="D5" s="341"/>
      <c r="E5" s="341"/>
      <c r="F5" s="342"/>
      <c r="G5" s="162" t="s">
        <v>251</v>
      </c>
      <c r="H5" s="163">
        <v>15</v>
      </c>
      <c r="I5" s="233"/>
      <c r="J5" s="231">
        <f t="shared" ref="J5:J31" si="0">TRUNC((H5*I5),2)</f>
        <v>0</v>
      </c>
      <c r="K5" s="225">
        <v>4</v>
      </c>
      <c r="L5" s="233"/>
      <c r="M5" s="231">
        <f t="shared" ref="M5:M31" si="1">TRUNC((K5*L5),2)</f>
        <v>0</v>
      </c>
      <c r="N5" s="225">
        <v>2</v>
      </c>
      <c r="O5" s="233"/>
      <c r="P5" s="231">
        <f t="shared" ref="P5:P31" si="2">TRUNC((N5*O5),2)</f>
        <v>0</v>
      </c>
      <c r="Q5" s="225">
        <v>1</v>
      </c>
      <c r="R5" s="233"/>
      <c r="S5" s="231">
        <f t="shared" ref="S5:S31" si="3">TRUNC((Q5*R5),2)</f>
        <v>0</v>
      </c>
    </row>
    <row r="6" spans="1:19" ht="39" customHeight="1" x14ac:dyDescent="0.2">
      <c r="A6" s="161">
        <v>3</v>
      </c>
      <c r="B6" s="340" t="s">
        <v>401</v>
      </c>
      <c r="C6" s="341"/>
      <c r="D6" s="341"/>
      <c r="E6" s="341"/>
      <c r="F6" s="342"/>
      <c r="G6" s="162" t="s">
        <v>250</v>
      </c>
      <c r="H6" s="163">
        <v>5</v>
      </c>
      <c r="I6" s="233"/>
      <c r="J6" s="231">
        <f t="shared" si="0"/>
        <v>0</v>
      </c>
      <c r="K6" s="225">
        <v>5</v>
      </c>
      <c r="L6" s="233"/>
      <c r="M6" s="231">
        <f t="shared" si="1"/>
        <v>0</v>
      </c>
      <c r="N6" s="225"/>
      <c r="O6" s="233"/>
      <c r="P6" s="231">
        <f t="shared" si="2"/>
        <v>0</v>
      </c>
      <c r="Q6" s="225"/>
      <c r="R6" s="233"/>
      <c r="S6" s="231">
        <f t="shared" si="3"/>
        <v>0</v>
      </c>
    </row>
    <row r="7" spans="1:19" ht="38.25" customHeight="1" x14ac:dyDescent="0.2">
      <c r="A7" s="161">
        <v>4</v>
      </c>
      <c r="B7" s="340" t="s">
        <v>402</v>
      </c>
      <c r="C7" s="341"/>
      <c r="D7" s="341"/>
      <c r="E7" s="341"/>
      <c r="F7" s="342"/>
      <c r="G7" s="162" t="s">
        <v>252</v>
      </c>
      <c r="H7" s="163">
        <v>30</v>
      </c>
      <c r="I7" s="233"/>
      <c r="J7" s="231">
        <f t="shared" si="0"/>
        <v>0</v>
      </c>
      <c r="K7" s="225">
        <v>12</v>
      </c>
      <c r="L7" s="233"/>
      <c r="M7" s="231">
        <f t="shared" si="1"/>
        <v>0</v>
      </c>
      <c r="N7" s="225">
        <v>8</v>
      </c>
      <c r="O7" s="233"/>
      <c r="P7" s="231">
        <f t="shared" si="2"/>
        <v>0</v>
      </c>
      <c r="Q7" s="225">
        <v>4</v>
      </c>
      <c r="R7" s="233"/>
      <c r="S7" s="231">
        <f t="shared" si="3"/>
        <v>0</v>
      </c>
    </row>
    <row r="8" spans="1:19" ht="39" customHeight="1" x14ac:dyDescent="0.2">
      <c r="A8" s="161">
        <v>5</v>
      </c>
      <c r="B8" s="340" t="s">
        <v>403</v>
      </c>
      <c r="C8" s="341"/>
      <c r="D8" s="341"/>
      <c r="E8" s="341"/>
      <c r="F8" s="342"/>
      <c r="G8" s="162" t="s">
        <v>253</v>
      </c>
      <c r="H8" s="163">
        <v>12</v>
      </c>
      <c r="I8" s="233"/>
      <c r="J8" s="231">
        <f t="shared" si="0"/>
        <v>0</v>
      </c>
      <c r="K8" s="225"/>
      <c r="L8" s="233"/>
      <c r="M8" s="231">
        <f t="shared" si="1"/>
        <v>0</v>
      </c>
      <c r="N8" s="225"/>
      <c r="O8" s="233"/>
      <c r="P8" s="231">
        <f t="shared" si="2"/>
        <v>0</v>
      </c>
      <c r="Q8" s="225"/>
      <c r="R8" s="233"/>
      <c r="S8" s="231">
        <f t="shared" si="3"/>
        <v>0</v>
      </c>
    </row>
    <row r="9" spans="1:19" ht="44.25" customHeight="1" x14ac:dyDescent="0.2">
      <c r="A9" s="161">
        <v>6</v>
      </c>
      <c r="B9" s="340" t="s">
        <v>404</v>
      </c>
      <c r="C9" s="341"/>
      <c r="D9" s="341"/>
      <c r="E9" s="341"/>
      <c r="F9" s="342"/>
      <c r="G9" s="162" t="s">
        <v>251</v>
      </c>
      <c r="H9" s="163">
        <v>100</v>
      </c>
      <c r="I9" s="233"/>
      <c r="J9" s="231">
        <f t="shared" si="0"/>
        <v>0</v>
      </c>
      <c r="K9" s="225">
        <v>24</v>
      </c>
      <c r="L9" s="233"/>
      <c r="M9" s="231">
        <f t="shared" si="1"/>
        <v>0</v>
      </c>
      <c r="N9" s="225">
        <v>24</v>
      </c>
      <c r="O9" s="233"/>
      <c r="P9" s="231">
        <f t="shared" si="2"/>
        <v>0</v>
      </c>
      <c r="Q9" s="225">
        <v>12</v>
      </c>
      <c r="R9" s="233"/>
      <c r="S9" s="231">
        <f t="shared" si="3"/>
        <v>0</v>
      </c>
    </row>
    <row r="10" spans="1:19" ht="57.75" customHeight="1" x14ac:dyDescent="0.2">
      <c r="A10" s="161">
        <v>7</v>
      </c>
      <c r="B10" s="340" t="s">
        <v>405</v>
      </c>
      <c r="C10" s="341"/>
      <c r="D10" s="341"/>
      <c r="E10" s="341"/>
      <c r="F10" s="342"/>
      <c r="G10" s="162" t="s">
        <v>251</v>
      </c>
      <c r="H10" s="163">
        <v>15</v>
      </c>
      <c r="I10" s="233"/>
      <c r="J10" s="231">
        <f t="shared" si="0"/>
        <v>0</v>
      </c>
      <c r="K10" s="225">
        <v>8</v>
      </c>
      <c r="L10" s="233"/>
      <c r="M10" s="231">
        <f t="shared" si="1"/>
        <v>0</v>
      </c>
      <c r="N10" s="225">
        <v>6</v>
      </c>
      <c r="O10" s="233"/>
      <c r="P10" s="231">
        <f t="shared" si="2"/>
        <v>0</v>
      </c>
      <c r="Q10" s="225">
        <v>4</v>
      </c>
      <c r="R10" s="233"/>
      <c r="S10" s="231">
        <f t="shared" si="3"/>
        <v>0</v>
      </c>
    </row>
    <row r="11" spans="1:19" ht="65.25" customHeight="1" x14ac:dyDescent="0.2">
      <c r="A11" s="161">
        <v>8</v>
      </c>
      <c r="B11" s="340" t="s">
        <v>406</v>
      </c>
      <c r="C11" s="341"/>
      <c r="D11" s="341"/>
      <c r="E11" s="341"/>
      <c r="F11" s="342"/>
      <c r="G11" s="162" t="s">
        <v>250</v>
      </c>
      <c r="H11" s="163">
        <v>24</v>
      </c>
      <c r="I11" s="233"/>
      <c r="J11" s="231">
        <f t="shared" si="0"/>
        <v>0</v>
      </c>
      <c r="K11" s="225">
        <v>12</v>
      </c>
      <c r="L11" s="233"/>
      <c r="M11" s="231">
        <f t="shared" si="1"/>
        <v>0</v>
      </c>
      <c r="N11" s="225">
        <v>12</v>
      </c>
      <c r="O11" s="233"/>
      <c r="P11" s="231">
        <f t="shared" si="2"/>
        <v>0</v>
      </c>
      <c r="Q11" s="225">
        <v>12</v>
      </c>
      <c r="R11" s="233"/>
      <c r="S11" s="231">
        <f t="shared" si="3"/>
        <v>0</v>
      </c>
    </row>
    <row r="12" spans="1:19" ht="64.5" customHeight="1" x14ac:dyDescent="0.2">
      <c r="A12" s="161">
        <v>9</v>
      </c>
      <c r="B12" s="340" t="s">
        <v>407</v>
      </c>
      <c r="C12" s="341"/>
      <c r="D12" s="341"/>
      <c r="E12" s="341"/>
      <c r="F12" s="342"/>
      <c r="G12" s="162" t="s">
        <v>250</v>
      </c>
      <c r="H12" s="163">
        <v>40</v>
      </c>
      <c r="I12" s="233"/>
      <c r="J12" s="231">
        <f t="shared" si="0"/>
        <v>0</v>
      </c>
      <c r="K12" s="225">
        <v>12</v>
      </c>
      <c r="L12" s="233"/>
      <c r="M12" s="231">
        <f t="shared" si="1"/>
        <v>0</v>
      </c>
      <c r="N12" s="225">
        <v>12</v>
      </c>
      <c r="O12" s="233"/>
      <c r="P12" s="231">
        <f t="shared" si="2"/>
        <v>0</v>
      </c>
      <c r="Q12" s="225">
        <v>12</v>
      </c>
      <c r="R12" s="233"/>
      <c r="S12" s="231">
        <f t="shared" si="3"/>
        <v>0</v>
      </c>
    </row>
    <row r="13" spans="1:19" ht="77.25" customHeight="1" x14ac:dyDescent="0.2">
      <c r="A13" s="161">
        <v>10</v>
      </c>
      <c r="B13" s="340" t="s">
        <v>408</v>
      </c>
      <c r="C13" s="341"/>
      <c r="D13" s="341"/>
      <c r="E13" s="341"/>
      <c r="F13" s="342"/>
      <c r="G13" s="162" t="s">
        <v>250</v>
      </c>
      <c r="H13" s="163">
        <v>30</v>
      </c>
      <c r="I13" s="233"/>
      <c r="J13" s="231">
        <f t="shared" si="0"/>
        <v>0</v>
      </c>
      <c r="K13" s="225">
        <v>12</v>
      </c>
      <c r="L13" s="233"/>
      <c r="M13" s="231">
        <f t="shared" si="1"/>
        <v>0</v>
      </c>
      <c r="N13" s="225">
        <v>12</v>
      </c>
      <c r="O13" s="233"/>
      <c r="P13" s="231">
        <f t="shared" si="2"/>
        <v>0</v>
      </c>
      <c r="Q13" s="225">
        <v>12</v>
      </c>
      <c r="R13" s="233"/>
      <c r="S13" s="231">
        <f t="shared" si="3"/>
        <v>0</v>
      </c>
    </row>
    <row r="14" spans="1:19" ht="72" customHeight="1" x14ac:dyDescent="0.2">
      <c r="A14" s="161">
        <v>11</v>
      </c>
      <c r="B14" s="340" t="s">
        <v>409</v>
      </c>
      <c r="C14" s="341"/>
      <c r="D14" s="341"/>
      <c r="E14" s="341"/>
      <c r="F14" s="342"/>
      <c r="G14" s="162" t="s">
        <v>254</v>
      </c>
      <c r="H14" s="163">
        <v>30</v>
      </c>
      <c r="I14" s="233"/>
      <c r="J14" s="231">
        <f t="shared" si="0"/>
        <v>0</v>
      </c>
      <c r="K14" s="225">
        <v>8</v>
      </c>
      <c r="L14" s="233"/>
      <c r="M14" s="231">
        <f t="shared" si="1"/>
        <v>0</v>
      </c>
      <c r="N14" s="225">
        <v>8</v>
      </c>
      <c r="O14" s="233"/>
      <c r="P14" s="231">
        <f t="shared" si="2"/>
        <v>0</v>
      </c>
      <c r="Q14" s="225">
        <v>8</v>
      </c>
      <c r="R14" s="233"/>
      <c r="S14" s="231">
        <f t="shared" si="3"/>
        <v>0</v>
      </c>
    </row>
    <row r="15" spans="1:19" ht="75" customHeight="1" x14ac:dyDescent="0.2">
      <c r="A15" s="161">
        <v>12</v>
      </c>
      <c r="B15" s="340" t="s">
        <v>255</v>
      </c>
      <c r="C15" s="341"/>
      <c r="D15" s="341"/>
      <c r="E15" s="341"/>
      <c r="F15" s="342"/>
      <c r="G15" s="162" t="s">
        <v>254</v>
      </c>
      <c r="H15" s="163">
        <v>30</v>
      </c>
      <c r="I15" s="233"/>
      <c r="J15" s="231">
        <f t="shared" si="0"/>
        <v>0</v>
      </c>
      <c r="K15" s="225">
        <v>6</v>
      </c>
      <c r="L15" s="233"/>
      <c r="M15" s="231">
        <f t="shared" si="1"/>
        <v>0</v>
      </c>
      <c r="N15" s="225">
        <v>4</v>
      </c>
      <c r="O15" s="233"/>
      <c r="P15" s="231">
        <f t="shared" si="2"/>
        <v>0</v>
      </c>
      <c r="Q15" s="225">
        <v>2</v>
      </c>
      <c r="R15" s="233"/>
      <c r="S15" s="231">
        <f t="shared" si="3"/>
        <v>0</v>
      </c>
    </row>
    <row r="16" spans="1:19" ht="109.5" customHeight="1" x14ac:dyDescent="0.2">
      <c r="A16" s="161">
        <v>13</v>
      </c>
      <c r="B16" s="340" t="s">
        <v>410</v>
      </c>
      <c r="C16" s="341"/>
      <c r="D16" s="341"/>
      <c r="E16" s="341"/>
      <c r="F16" s="342"/>
      <c r="G16" s="162" t="s">
        <v>256</v>
      </c>
      <c r="H16" s="163">
        <v>15</v>
      </c>
      <c r="I16" s="233"/>
      <c r="J16" s="231">
        <f t="shared" si="0"/>
        <v>0</v>
      </c>
      <c r="K16" s="225">
        <v>8</v>
      </c>
      <c r="L16" s="233"/>
      <c r="M16" s="231">
        <f t="shared" si="1"/>
        <v>0</v>
      </c>
      <c r="N16" s="225">
        <v>8</v>
      </c>
      <c r="O16" s="233"/>
      <c r="P16" s="231">
        <f t="shared" si="2"/>
        <v>0</v>
      </c>
      <c r="Q16" s="225">
        <v>5</v>
      </c>
      <c r="R16" s="233"/>
      <c r="S16" s="231">
        <f t="shared" si="3"/>
        <v>0</v>
      </c>
    </row>
    <row r="17" spans="1:19" ht="53.25" customHeight="1" x14ac:dyDescent="0.2">
      <c r="A17" s="161">
        <v>14</v>
      </c>
      <c r="B17" s="340" t="s">
        <v>411</v>
      </c>
      <c r="C17" s="341"/>
      <c r="D17" s="341"/>
      <c r="E17" s="341"/>
      <c r="F17" s="342"/>
      <c r="G17" s="162" t="s">
        <v>251</v>
      </c>
      <c r="H17" s="163">
        <v>30</v>
      </c>
      <c r="I17" s="233"/>
      <c r="J17" s="231">
        <f t="shared" si="0"/>
        <v>0</v>
      </c>
      <c r="K17" s="225">
        <v>12</v>
      </c>
      <c r="L17" s="233"/>
      <c r="M17" s="231">
        <f t="shared" si="1"/>
        <v>0</v>
      </c>
      <c r="N17" s="225">
        <v>12</v>
      </c>
      <c r="O17" s="233"/>
      <c r="P17" s="231">
        <f t="shared" si="2"/>
        <v>0</v>
      </c>
      <c r="Q17" s="225">
        <v>6</v>
      </c>
      <c r="R17" s="233"/>
      <c r="S17" s="231">
        <f t="shared" si="3"/>
        <v>0</v>
      </c>
    </row>
    <row r="18" spans="1:19" ht="129" customHeight="1" x14ac:dyDescent="0.2">
      <c r="A18" s="161">
        <v>15</v>
      </c>
      <c r="B18" s="340" t="s">
        <v>412</v>
      </c>
      <c r="C18" s="341"/>
      <c r="D18" s="341"/>
      <c r="E18" s="341"/>
      <c r="F18" s="342"/>
      <c r="G18" s="162" t="s">
        <v>257</v>
      </c>
      <c r="H18" s="163">
        <v>30</v>
      </c>
      <c r="I18" s="233"/>
      <c r="J18" s="231">
        <f t="shared" si="0"/>
        <v>0</v>
      </c>
      <c r="K18" s="225">
        <v>6</v>
      </c>
      <c r="L18" s="233"/>
      <c r="M18" s="231">
        <f t="shared" si="1"/>
        <v>0</v>
      </c>
      <c r="N18" s="225">
        <v>6</v>
      </c>
      <c r="O18" s="233"/>
      <c r="P18" s="231">
        <f t="shared" si="2"/>
        <v>0</v>
      </c>
      <c r="Q18" s="225">
        <v>1</v>
      </c>
      <c r="R18" s="233"/>
      <c r="S18" s="231">
        <f t="shared" si="3"/>
        <v>0</v>
      </c>
    </row>
    <row r="19" spans="1:19" ht="72" customHeight="1" x14ac:dyDescent="0.2">
      <c r="A19" s="161">
        <v>16</v>
      </c>
      <c r="B19" s="340" t="s">
        <v>413</v>
      </c>
      <c r="C19" s="341"/>
      <c r="D19" s="341"/>
      <c r="E19" s="341"/>
      <c r="F19" s="342"/>
      <c r="G19" s="162" t="s">
        <v>258</v>
      </c>
      <c r="H19" s="163">
        <v>15</v>
      </c>
      <c r="I19" s="233"/>
      <c r="J19" s="231">
        <f t="shared" si="0"/>
        <v>0</v>
      </c>
      <c r="K19" s="225">
        <v>3</v>
      </c>
      <c r="L19" s="233"/>
      <c r="M19" s="231">
        <f t="shared" si="1"/>
        <v>0</v>
      </c>
      <c r="N19" s="225">
        <v>2</v>
      </c>
      <c r="O19" s="233"/>
      <c r="P19" s="231">
        <f t="shared" si="2"/>
        <v>0</v>
      </c>
      <c r="Q19" s="225">
        <v>1</v>
      </c>
      <c r="R19" s="233"/>
      <c r="S19" s="231">
        <f t="shared" si="3"/>
        <v>0</v>
      </c>
    </row>
    <row r="20" spans="1:19" ht="53.25" customHeight="1" x14ac:dyDescent="0.2">
      <c r="A20" s="161">
        <v>17</v>
      </c>
      <c r="B20" s="340" t="s">
        <v>414</v>
      </c>
      <c r="C20" s="341"/>
      <c r="D20" s="341"/>
      <c r="E20" s="341"/>
      <c r="F20" s="342"/>
      <c r="G20" s="162" t="s">
        <v>251</v>
      </c>
      <c r="H20" s="163">
        <v>10</v>
      </c>
      <c r="I20" s="233"/>
      <c r="J20" s="231">
        <f t="shared" si="0"/>
        <v>0</v>
      </c>
      <c r="K20" s="225">
        <v>2</v>
      </c>
      <c r="L20" s="233"/>
      <c r="M20" s="231">
        <f t="shared" si="1"/>
        <v>0</v>
      </c>
      <c r="N20" s="225">
        <v>2</v>
      </c>
      <c r="O20" s="233"/>
      <c r="P20" s="231">
        <f t="shared" si="2"/>
        <v>0</v>
      </c>
      <c r="Q20" s="225">
        <v>2</v>
      </c>
      <c r="R20" s="233"/>
      <c r="S20" s="231">
        <f t="shared" si="3"/>
        <v>0</v>
      </c>
    </row>
    <row r="21" spans="1:19" ht="47.25" customHeight="1" x14ac:dyDescent="0.2">
      <c r="A21" s="161">
        <v>18</v>
      </c>
      <c r="B21" s="340" t="s">
        <v>415</v>
      </c>
      <c r="C21" s="341"/>
      <c r="D21" s="341"/>
      <c r="E21" s="341"/>
      <c r="F21" s="342"/>
      <c r="G21" s="162" t="s">
        <v>251</v>
      </c>
      <c r="H21" s="163">
        <v>24</v>
      </c>
      <c r="I21" s="233"/>
      <c r="J21" s="231">
        <f t="shared" si="0"/>
        <v>0</v>
      </c>
      <c r="K21" s="225">
        <v>5</v>
      </c>
      <c r="L21" s="233"/>
      <c r="M21" s="231">
        <f t="shared" si="1"/>
        <v>0</v>
      </c>
      <c r="N21" s="225">
        <v>5</v>
      </c>
      <c r="O21" s="233"/>
      <c r="P21" s="231">
        <f t="shared" si="2"/>
        <v>0</v>
      </c>
      <c r="Q21" s="225">
        <v>3</v>
      </c>
      <c r="R21" s="233"/>
      <c r="S21" s="231">
        <f t="shared" si="3"/>
        <v>0</v>
      </c>
    </row>
    <row r="22" spans="1:19" ht="78.75" customHeight="1" x14ac:dyDescent="0.2">
      <c r="A22" s="161">
        <v>19</v>
      </c>
      <c r="B22" s="340" t="s">
        <v>416</v>
      </c>
      <c r="C22" s="341"/>
      <c r="D22" s="341"/>
      <c r="E22" s="341"/>
      <c r="F22" s="342"/>
      <c r="G22" s="162" t="s">
        <v>254</v>
      </c>
      <c r="H22" s="163">
        <v>50</v>
      </c>
      <c r="I22" s="233"/>
      <c r="J22" s="231">
        <f t="shared" si="0"/>
        <v>0</v>
      </c>
      <c r="K22" s="225">
        <v>10</v>
      </c>
      <c r="L22" s="233"/>
      <c r="M22" s="231">
        <f t="shared" si="1"/>
        <v>0</v>
      </c>
      <c r="N22" s="225">
        <v>10</v>
      </c>
      <c r="O22" s="233"/>
      <c r="P22" s="231">
        <f t="shared" si="2"/>
        <v>0</v>
      </c>
      <c r="Q22" s="225">
        <v>10</v>
      </c>
      <c r="R22" s="233"/>
      <c r="S22" s="231">
        <f t="shared" si="3"/>
        <v>0</v>
      </c>
    </row>
    <row r="23" spans="1:19" ht="62.25" customHeight="1" x14ac:dyDescent="0.2">
      <c r="A23" s="161">
        <v>20</v>
      </c>
      <c r="B23" s="340" t="s">
        <v>417</v>
      </c>
      <c r="C23" s="341"/>
      <c r="D23" s="341"/>
      <c r="E23" s="341"/>
      <c r="F23" s="342"/>
      <c r="G23" s="162" t="s">
        <v>254</v>
      </c>
      <c r="H23" s="163">
        <v>50</v>
      </c>
      <c r="I23" s="233"/>
      <c r="J23" s="231">
        <f t="shared" si="0"/>
        <v>0</v>
      </c>
      <c r="K23" s="225">
        <v>10</v>
      </c>
      <c r="L23" s="233"/>
      <c r="M23" s="231">
        <f t="shared" si="1"/>
        <v>0</v>
      </c>
      <c r="N23" s="225">
        <v>7</v>
      </c>
      <c r="O23" s="233"/>
      <c r="P23" s="231">
        <f t="shared" si="2"/>
        <v>0</v>
      </c>
      <c r="Q23" s="225">
        <v>7</v>
      </c>
      <c r="R23" s="233"/>
      <c r="S23" s="231">
        <f t="shared" si="3"/>
        <v>0</v>
      </c>
    </row>
    <row r="24" spans="1:19" ht="76.5" customHeight="1" x14ac:dyDescent="0.2">
      <c r="A24" s="161">
        <v>21</v>
      </c>
      <c r="B24" s="340" t="s">
        <v>418</v>
      </c>
      <c r="C24" s="341"/>
      <c r="D24" s="341"/>
      <c r="E24" s="341"/>
      <c r="F24" s="342"/>
      <c r="G24" s="162" t="s">
        <v>254</v>
      </c>
      <c r="H24" s="163">
        <v>50</v>
      </c>
      <c r="I24" s="233"/>
      <c r="J24" s="231">
        <f t="shared" si="0"/>
        <v>0</v>
      </c>
      <c r="K24" s="225">
        <v>30</v>
      </c>
      <c r="L24" s="233"/>
      <c r="M24" s="231">
        <f t="shared" si="1"/>
        <v>0</v>
      </c>
      <c r="N24" s="225">
        <v>10</v>
      </c>
      <c r="O24" s="233"/>
      <c r="P24" s="231">
        <f t="shared" si="2"/>
        <v>0</v>
      </c>
      <c r="Q24" s="225">
        <v>10</v>
      </c>
      <c r="R24" s="233"/>
      <c r="S24" s="231">
        <f t="shared" si="3"/>
        <v>0</v>
      </c>
    </row>
    <row r="25" spans="1:19" ht="34.5" customHeight="1" x14ac:dyDescent="0.2">
      <c r="A25" s="161">
        <v>22</v>
      </c>
      <c r="B25" s="340" t="s">
        <v>259</v>
      </c>
      <c r="C25" s="341"/>
      <c r="D25" s="341"/>
      <c r="E25" s="341"/>
      <c r="F25" s="342"/>
      <c r="G25" s="162" t="s">
        <v>251</v>
      </c>
      <c r="H25" s="163">
        <v>20</v>
      </c>
      <c r="I25" s="233"/>
      <c r="J25" s="231">
        <f t="shared" si="0"/>
        <v>0</v>
      </c>
      <c r="K25" s="225">
        <v>6</v>
      </c>
      <c r="L25" s="233"/>
      <c r="M25" s="231">
        <f t="shared" si="1"/>
        <v>0</v>
      </c>
      <c r="N25" s="225">
        <v>2</v>
      </c>
      <c r="O25" s="233"/>
      <c r="P25" s="231">
        <f t="shared" si="2"/>
        <v>0</v>
      </c>
      <c r="Q25" s="225">
        <v>1</v>
      </c>
      <c r="R25" s="233"/>
      <c r="S25" s="231">
        <f t="shared" si="3"/>
        <v>0</v>
      </c>
    </row>
    <row r="26" spans="1:19" ht="42.75" customHeight="1" x14ac:dyDescent="0.2">
      <c r="A26" s="161">
        <v>23</v>
      </c>
      <c r="B26" s="340" t="s">
        <v>419</v>
      </c>
      <c r="C26" s="341"/>
      <c r="D26" s="341"/>
      <c r="E26" s="341"/>
      <c r="F26" s="342"/>
      <c r="G26" s="71" t="s">
        <v>250</v>
      </c>
      <c r="H26" s="166">
        <v>12</v>
      </c>
      <c r="I26" s="233"/>
      <c r="J26" s="231">
        <f t="shared" si="0"/>
        <v>0</v>
      </c>
      <c r="K26" s="226">
        <v>6</v>
      </c>
      <c r="L26" s="233"/>
      <c r="M26" s="231">
        <f t="shared" si="1"/>
        <v>0</v>
      </c>
      <c r="N26" s="226">
        <v>2</v>
      </c>
      <c r="O26" s="233"/>
      <c r="P26" s="231">
        <f t="shared" si="2"/>
        <v>0</v>
      </c>
      <c r="Q26" s="226">
        <v>2</v>
      </c>
      <c r="R26" s="233"/>
      <c r="S26" s="231">
        <f t="shared" si="3"/>
        <v>0</v>
      </c>
    </row>
    <row r="27" spans="1:19" ht="114" customHeight="1" x14ac:dyDescent="0.2">
      <c r="A27" s="161">
        <v>24</v>
      </c>
      <c r="B27" s="344" t="s">
        <v>420</v>
      </c>
      <c r="C27" s="345"/>
      <c r="D27" s="345"/>
      <c r="E27" s="345"/>
      <c r="F27" s="346"/>
      <c r="G27" s="162" t="s">
        <v>260</v>
      </c>
      <c r="H27" s="163">
        <v>15</v>
      </c>
      <c r="I27" s="233"/>
      <c r="J27" s="231">
        <f t="shared" si="0"/>
        <v>0</v>
      </c>
      <c r="K27" s="225">
        <v>3</v>
      </c>
      <c r="L27" s="233"/>
      <c r="M27" s="231">
        <f t="shared" si="1"/>
        <v>0</v>
      </c>
      <c r="N27" s="225">
        <v>2</v>
      </c>
      <c r="O27" s="233"/>
      <c r="P27" s="231">
        <f t="shared" si="2"/>
        <v>0</v>
      </c>
      <c r="Q27" s="225">
        <v>1</v>
      </c>
      <c r="R27" s="233"/>
      <c r="S27" s="231">
        <f t="shared" si="3"/>
        <v>0</v>
      </c>
    </row>
    <row r="28" spans="1:19" ht="153" customHeight="1" x14ac:dyDescent="0.2">
      <c r="A28" s="161">
        <v>25</v>
      </c>
      <c r="B28" s="344" t="s">
        <v>421</v>
      </c>
      <c r="C28" s="345"/>
      <c r="D28" s="345"/>
      <c r="E28" s="345"/>
      <c r="F28" s="346"/>
      <c r="G28" s="162" t="s">
        <v>260</v>
      </c>
      <c r="H28" s="163">
        <v>15</v>
      </c>
      <c r="I28" s="233"/>
      <c r="J28" s="231">
        <f t="shared" si="0"/>
        <v>0</v>
      </c>
      <c r="K28" s="225">
        <v>5</v>
      </c>
      <c r="L28" s="233"/>
      <c r="M28" s="231">
        <f t="shared" si="1"/>
        <v>0</v>
      </c>
      <c r="N28" s="225">
        <v>2</v>
      </c>
      <c r="O28" s="233"/>
      <c r="P28" s="231">
        <f t="shared" si="2"/>
        <v>0</v>
      </c>
      <c r="Q28" s="225">
        <v>2</v>
      </c>
      <c r="R28" s="233"/>
      <c r="S28" s="231">
        <f t="shared" si="3"/>
        <v>0</v>
      </c>
    </row>
    <row r="29" spans="1:19" ht="57" customHeight="1" x14ac:dyDescent="0.2">
      <c r="A29" s="161">
        <v>26</v>
      </c>
      <c r="B29" s="340" t="s">
        <v>422</v>
      </c>
      <c r="C29" s="341"/>
      <c r="D29" s="341"/>
      <c r="E29" s="341"/>
      <c r="F29" s="342"/>
      <c r="G29" s="161" t="s">
        <v>250</v>
      </c>
      <c r="H29" s="167">
        <v>15</v>
      </c>
      <c r="I29" s="233"/>
      <c r="J29" s="231">
        <f t="shared" si="0"/>
        <v>0</v>
      </c>
      <c r="K29" s="227">
        <v>5</v>
      </c>
      <c r="L29" s="233"/>
      <c r="M29" s="231">
        <f t="shared" si="1"/>
        <v>0</v>
      </c>
      <c r="N29" s="227">
        <v>5</v>
      </c>
      <c r="O29" s="233"/>
      <c r="P29" s="231">
        <f t="shared" si="2"/>
        <v>0</v>
      </c>
      <c r="Q29" s="225">
        <v>3</v>
      </c>
      <c r="R29" s="233"/>
      <c r="S29" s="231">
        <f t="shared" si="3"/>
        <v>0</v>
      </c>
    </row>
    <row r="30" spans="1:19" ht="52.5" customHeight="1" x14ac:dyDescent="0.2">
      <c r="A30" s="161">
        <v>27</v>
      </c>
      <c r="B30" s="340" t="s">
        <v>423</v>
      </c>
      <c r="C30" s="341"/>
      <c r="D30" s="341"/>
      <c r="E30" s="341"/>
      <c r="F30" s="342"/>
      <c r="G30" s="161" t="s">
        <v>261</v>
      </c>
      <c r="H30" s="167">
        <v>30</v>
      </c>
      <c r="I30" s="233"/>
      <c r="J30" s="231">
        <f t="shared" si="0"/>
        <v>0</v>
      </c>
      <c r="K30" s="227">
        <v>6</v>
      </c>
      <c r="L30" s="233"/>
      <c r="M30" s="231">
        <f t="shared" si="1"/>
        <v>0</v>
      </c>
      <c r="N30" s="227">
        <v>3</v>
      </c>
      <c r="O30" s="233"/>
      <c r="P30" s="231">
        <f t="shared" si="2"/>
        <v>0</v>
      </c>
      <c r="Q30" s="225">
        <v>1</v>
      </c>
      <c r="R30" s="233"/>
      <c r="S30" s="231">
        <f t="shared" si="3"/>
        <v>0</v>
      </c>
    </row>
    <row r="31" spans="1:19" ht="40.5" customHeight="1" x14ac:dyDescent="0.2">
      <c r="A31" s="161">
        <v>28</v>
      </c>
      <c r="B31" s="340" t="s">
        <v>424</v>
      </c>
      <c r="C31" s="341"/>
      <c r="D31" s="341"/>
      <c r="E31" s="341"/>
      <c r="F31" s="342"/>
      <c r="G31" s="161" t="s">
        <v>254</v>
      </c>
      <c r="H31" s="167">
        <v>30</v>
      </c>
      <c r="I31" s="233"/>
      <c r="J31" s="231">
        <f t="shared" si="0"/>
        <v>0</v>
      </c>
      <c r="K31" s="227">
        <v>12</v>
      </c>
      <c r="L31" s="233"/>
      <c r="M31" s="231">
        <f t="shared" si="1"/>
        <v>0</v>
      </c>
      <c r="N31" s="227">
        <v>12</v>
      </c>
      <c r="O31" s="233"/>
      <c r="P31" s="231">
        <f t="shared" si="2"/>
        <v>0</v>
      </c>
      <c r="Q31" s="225">
        <v>12</v>
      </c>
      <c r="R31" s="233"/>
      <c r="S31" s="231">
        <f t="shared" si="3"/>
        <v>0</v>
      </c>
    </row>
    <row r="32" spans="1:19" ht="20.100000000000001" customHeight="1" x14ac:dyDescent="0.2">
      <c r="A32" s="347" t="s">
        <v>162</v>
      </c>
      <c r="B32" s="348"/>
      <c r="C32" s="348"/>
      <c r="D32" s="348"/>
      <c r="E32" s="348"/>
      <c r="F32" s="348"/>
      <c r="G32" s="348"/>
      <c r="H32" s="348"/>
      <c r="I32" s="349"/>
      <c r="J32" s="228">
        <f>SUM(J4:J31)</f>
        <v>0</v>
      </c>
      <c r="K32" s="229"/>
      <c r="L32" s="229"/>
      <c r="M32" s="228">
        <f>SUM(M4:M31)</f>
        <v>0</v>
      </c>
      <c r="N32" s="229"/>
      <c r="O32" s="229"/>
      <c r="P32" s="228">
        <f>SUM(P4:P31)</f>
        <v>0</v>
      </c>
      <c r="Q32" s="230"/>
      <c r="R32" s="235"/>
      <c r="S32" s="236">
        <f>SUM(S4:S31)</f>
        <v>0</v>
      </c>
    </row>
    <row r="33" spans="1:19" ht="24.75" customHeight="1" x14ac:dyDescent="0.2">
      <c r="A33" s="350" t="s">
        <v>262</v>
      </c>
      <c r="B33" s="351"/>
      <c r="C33" s="351"/>
      <c r="D33" s="351"/>
      <c r="E33" s="351"/>
      <c r="F33" s="351"/>
      <c r="G33" s="351"/>
      <c r="H33" s="352"/>
      <c r="I33" s="168">
        <v>20</v>
      </c>
      <c r="J33" s="326" t="s">
        <v>337</v>
      </c>
      <c r="K33" s="326"/>
      <c r="L33" s="343">
        <f>SUM(J32,M32,P32,S32)/I33</f>
        <v>0</v>
      </c>
      <c r="M33" s="343"/>
      <c r="N33" s="343"/>
      <c r="O33" s="343"/>
      <c r="P33" s="343"/>
      <c r="Q33" s="343"/>
      <c r="R33" s="343"/>
      <c r="S33" s="331"/>
    </row>
    <row r="34" spans="1:19" ht="24.75" customHeight="1" x14ac:dyDescent="0.2">
      <c r="A34" s="353"/>
      <c r="B34" s="354"/>
      <c r="C34" s="354"/>
      <c r="D34" s="354"/>
      <c r="E34" s="354"/>
      <c r="F34" s="354"/>
      <c r="G34" s="354"/>
      <c r="H34" s="354"/>
      <c r="I34" s="354"/>
      <c r="J34" s="354"/>
      <c r="K34" s="354"/>
      <c r="L34" s="354"/>
      <c r="M34" s="354"/>
      <c r="N34" s="354"/>
      <c r="O34" s="354"/>
      <c r="P34" s="354"/>
      <c r="Q34" s="354"/>
      <c r="R34" s="354"/>
      <c r="S34" s="352"/>
    </row>
    <row r="35" spans="1:19" ht="30" customHeight="1" x14ac:dyDescent="0.2">
      <c r="A35" s="158">
        <v>2</v>
      </c>
      <c r="B35" s="334" t="s">
        <v>263</v>
      </c>
      <c r="C35" s="335"/>
      <c r="D35" s="335"/>
      <c r="E35" s="335"/>
      <c r="F35" s="335"/>
      <c r="G35" s="335"/>
      <c r="H35" s="335"/>
      <c r="I35" s="335"/>
      <c r="J35" s="335"/>
      <c r="K35" s="335"/>
      <c r="L35" s="335"/>
      <c r="M35" s="335"/>
      <c r="N35" s="335"/>
      <c r="O35" s="335"/>
      <c r="P35" s="335"/>
      <c r="Q35" s="335"/>
      <c r="R35" s="335"/>
      <c r="S35" s="336"/>
    </row>
    <row r="36" spans="1:19" ht="20.100000000000001" customHeight="1" x14ac:dyDescent="0.2">
      <c r="A36" s="355" t="s">
        <v>39</v>
      </c>
      <c r="B36" s="356" t="s">
        <v>264</v>
      </c>
      <c r="C36" s="357"/>
      <c r="D36" s="357"/>
      <c r="E36" s="357"/>
      <c r="F36" s="358"/>
      <c r="G36" s="362" t="s">
        <v>265</v>
      </c>
      <c r="H36" s="362" t="s">
        <v>244</v>
      </c>
      <c r="I36" s="362" t="s">
        <v>245</v>
      </c>
      <c r="J36" s="362" t="s">
        <v>246</v>
      </c>
      <c r="K36" s="362" t="s">
        <v>247</v>
      </c>
      <c r="L36" s="362" t="s">
        <v>245</v>
      </c>
      <c r="M36" s="362" t="s">
        <v>246</v>
      </c>
      <c r="N36" s="362" t="s">
        <v>248</v>
      </c>
      <c r="O36" s="362" t="s">
        <v>245</v>
      </c>
      <c r="P36" s="362" t="s">
        <v>246</v>
      </c>
      <c r="Q36" s="362" t="s">
        <v>249</v>
      </c>
      <c r="R36" s="362" t="s">
        <v>245</v>
      </c>
      <c r="S36" s="362" t="s">
        <v>246</v>
      </c>
    </row>
    <row r="37" spans="1:19" ht="57.75" customHeight="1" x14ac:dyDescent="0.2">
      <c r="A37" s="355"/>
      <c r="B37" s="359"/>
      <c r="C37" s="360"/>
      <c r="D37" s="360"/>
      <c r="E37" s="360"/>
      <c r="F37" s="361"/>
      <c r="G37" s="363"/>
      <c r="H37" s="363"/>
      <c r="I37" s="363"/>
      <c r="J37" s="363"/>
      <c r="K37" s="363"/>
      <c r="L37" s="363"/>
      <c r="M37" s="363"/>
      <c r="N37" s="363"/>
      <c r="O37" s="363"/>
      <c r="P37" s="363"/>
      <c r="Q37" s="363"/>
      <c r="R37" s="363"/>
      <c r="S37" s="363"/>
    </row>
    <row r="38" spans="1:19" ht="106.5" customHeight="1" x14ac:dyDescent="0.2">
      <c r="A38" s="162">
        <v>1</v>
      </c>
      <c r="B38" s="340" t="s">
        <v>266</v>
      </c>
      <c r="C38" s="341"/>
      <c r="D38" s="341"/>
      <c r="E38" s="341"/>
      <c r="F38" s="342"/>
      <c r="G38" s="162" t="s">
        <v>251</v>
      </c>
      <c r="H38" s="225">
        <v>15</v>
      </c>
      <c r="I38" s="233"/>
      <c r="J38" s="231">
        <f>TRUNC((H38*I38),2)</f>
        <v>0</v>
      </c>
      <c r="K38" s="225">
        <v>5</v>
      </c>
      <c r="L38" s="233"/>
      <c r="M38" s="231">
        <f>TRUNC((K38*L38),2)</f>
        <v>0</v>
      </c>
      <c r="N38" s="225">
        <v>2</v>
      </c>
      <c r="O38" s="233"/>
      <c r="P38" s="231">
        <f>TRUNC((N38*O38),2)</f>
        <v>0</v>
      </c>
      <c r="Q38" s="225">
        <v>1</v>
      </c>
      <c r="R38" s="233"/>
      <c r="S38" s="231">
        <f>TRUNC((Q38*R38),2)</f>
        <v>0</v>
      </c>
    </row>
    <row r="39" spans="1:19" ht="39.950000000000003" customHeight="1" x14ac:dyDescent="0.2">
      <c r="A39" s="162">
        <v>2</v>
      </c>
      <c r="B39" s="340" t="s">
        <v>267</v>
      </c>
      <c r="C39" s="341"/>
      <c r="D39" s="341"/>
      <c r="E39" s="341"/>
      <c r="F39" s="342"/>
      <c r="G39" s="162" t="s">
        <v>251</v>
      </c>
      <c r="H39" s="225">
        <v>10</v>
      </c>
      <c r="I39" s="233"/>
      <c r="J39" s="231">
        <f t="shared" ref="J39:J56" si="4">TRUNC((H39*I39),2)</f>
        <v>0</v>
      </c>
      <c r="K39" s="225">
        <v>6</v>
      </c>
      <c r="L39" s="233"/>
      <c r="M39" s="231">
        <f t="shared" ref="M39:M56" si="5">TRUNC((K39*L39),2)</f>
        <v>0</v>
      </c>
      <c r="N39" s="225">
        <v>2</v>
      </c>
      <c r="O39" s="233"/>
      <c r="P39" s="231">
        <f t="shared" ref="P39:P56" si="6">TRUNC((N39*O39),2)</f>
        <v>0</v>
      </c>
      <c r="Q39" s="225">
        <v>2</v>
      </c>
      <c r="R39" s="233"/>
      <c r="S39" s="231">
        <f t="shared" ref="S39:S56" si="7">TRUNC((Q39*R39),2)</f>
        <v>0</v>
      </c>
    </row>
    <row r="40" spans="1:19" ht="39.950000000000003" customHeight="1" x14ac:dyDescent="0.2">
      <c r="A40" s="162">
        <v>3</v>
      </c>
      <c r="B40" s="340" t="s">
        <v>268</v>
      </c>
      <c r="C40" s="341"/>
      <c r="D40" s="341"/>
      <c r="E40" s="341"/>
      <c r="F40" s="342"/>
      <c r="G40" s="162" t="s">
        <v>251</v>
      </c>
      <c r="H40" s="225">
        <v>28</v>
      </c>
      <c r="I40" s="233"/>
      <c r="J40" s="231">
        <f t="shared" si="4"/>
        <v>0</v>
      </c>
      <c r="K40" s="225">
        <v>6</v>
      </c>
      <c r="L40" s="233"/>
      <c r="M40" s="231">
        <f t="shared" si="5"/>
        <v>0</v>
      </c>
      <c r="N40" s="225">
        <v>2</v>
      </c>
      <c r="O40" s="233"/>
      <c r="P40" s="231">
        <f t="shared" si="6"/>
        <v>0</v>
      </c>
      <c r="Q40" s="225">
        <v>1</v>
      </c>
      <c r="R40" s="233"/>
      <c r="S40" s="231">
        <f t="shared" si="7"/>
        <v>0</v>
      </c>
    </row>
    <row r="41" spans="1:19" ht="39.950000000000003" customHeight="1" x14ac:dyDescent="0.2">
      <c r="A41" s="162">
        <v>4</v>
      </c>
      <c r="B41" s="340" t="s">
        <v>269</v>
      </c>
      <c r="C41" s="341"/>
      <c r="D41" s="341"/>
      <c r="E41" s="341"/>
      <c r="F41" s="342"/>
      <c r="G41" s="162" t="s">
        <v>251</v>
      </c>
      <c r="H41" s="225">
        <v>10</v>
      </c>
      <c r="I41" s="233"/>
      <c r="J41" s="231">
        <f t="shared" si="4"/>
        <v>0</v>
      </c>
      <c r="K41" s="225"/>
      <c r="L41" s="233"/>
      <c r="M41" s="231">
        <f t="shared" si="5"/>
        <v>0</v>
      </c>
      <c r="N41" s="225"/>
      <c r="O41" s="233"/>
      <c r="P41" s="231">
        <f t="shared" si="6"/>
        <v>0</v>
      </c>
      <c r="Q41" s="225"/>
      <c r="R41" s="233"/>
      <c r="S41" s="231">
        <f t="shared" si="7"/>
        <v>0</v>
      </c>
    </row>
    <row r="42" spans="1:19" ht="39.950000000000003" customHeight="1" x14ac:dyDescent="0.2">
      <c r="A42" s="162">
        <v>5</v>
      </c>
      <c r="B42" s="340" t="s">
        <v>270</v>
      </c>
      <c r="C42" s="341"/>
      <c r="D42" s="341"/>
      <c r="E42" s="341"/>
      <c r="F42" s="342"/>
      <c r="G42" s="162" t="s">
        <v>251</v>
      </c>
      <c r="H42" s="225">
        <v>8</v>
      </c>
      <c r="I42" s="233"/>
      <c r="J42" s="231">
        <f t="shared" si="4"/>
        <v>0</v>
      </c>
      <c r="K42" s="225">
        <v>2</v>
      </c>
      <c r="L42" s="233"/>
      <c r="M42" s="231">
        <f t="shared" si="5"/>
        <v>0</v>
      </c>
      <c r="N42" s="225">
        <v>1</v>
      </c>
      <c r="O42" s="233"/>
      <c r="P42" s="231">
        <f t="shared" si="6"/>
        <v>0</v>
      </c>
      <c r="Q42" s="225">
        <v>4</v>
      </c>
      <c r="R42" s="233"/>
      <c r="S42" s="231">
        <f t="shared" si="7"/>
        <v>0</v>
      </c>
    </row>
    <row r="43" spans="1:19" ht="39.950000000000003" customHeight="1" x14ac:dyDescent="0.2">
      <c r="A43" s="162">
        <v>6</v>
      </c>
      <c r="B43" s="340" t="s">
        <v>271</v>
      </c>
      <c r="C43" s="341"/>
      <c r="D43" s="341"/>
      <c r="E43" s="341"/>
      <c r="F43" s="342"/>
      <c r="G43" s="162" t="s">
        <v>251</v>
      </c>
      <c r="H43" s="225">
        <v>9</v>
      </c>
      <c r="I43" s="233"/>
      <c r="J43" s="231">
        <f t="shared" si="4"/>
        <v>0</v>
      </c>
      <c r="K43" s="225">
        <v>1</v>
      </c>
      <c r="L43" s="233"/>
      <c r="M43" s="231">
        <f t="shared" si="5"/>
        <v>0</v>
      </c>
      <c r="N43" s="225">
        <v>1</v>
      </c>
      <c r="O43" s="233"/>
      <c r="P43" s="231">
        <f t="shared" si="6"/>
        <v>0</v>
      </c>
      <c r="Q43" s="225">
        <v>1</v>
      </c>
      <c r="R43" s="233"/>
      <c r="S43" s="231">
        <f t="shared" si="7"/>
        <v>0</v>
      </c>
    </row>
    <row r="44" spans="1:19" ht="39.950000000000003" customHeight="1" x14ac:dyDescent="0.2">
      <c r="A44" s="162">
        <v>7</v>
      </c>
      <c r="B44" s="340" t="s">
        <v>272</v>
      </c>
      <c r="C44" s="341"/>
      <c r="D44" s="341"/>
      <c r="E44" s="341"/>
      <c r="F44" s="342"/>
      <c r="G44" s="162" t="s">
        <v>251</v>
      </c>
      <c r="H44" s="225">
        <v>4</v>
      </c>
      <c r="I44" s="233"/>
      <c r="J44" s="231">
        <f t="shared" si="4"/>
        <v>0</v>
      </c>
      <c r="K44" s="225">
        <v>1</v>
      </c>
      <c r="L44" s="233"/>
      <c r="M44" s="231">
        <f t="shared" si="5"/>
        <v>0</v>
      </c>
      <c r="N44" s="225">
        <v>1</v>
      </c>
      <c r="O44" s="233"/>
      <c r="P44" s="231">
        <f t="shared" si="6"/>
        <v>0</v>
      </c>
      <c r="Q44" s="225">
        <v>2</v>
      </c>
      <c r="R44" s="233"/>
      <c r="S44" s="231">
        <f t="shared" si="7"/>
        <v>0</v>
      </c>
    </row>
    <row r="45" spans="1:19" ht="39.950000000000003" customHeight="1" x14ac:dyDescent="0.2">
      <c r="A45" s="162">
        <v>8</v>
      </c>
      <c r="B45" s="340" t="s">
        <v>273</v>
      </c>
      <c r="C45" s="341"/>
      <c r="D45" s="341"/>
      <c r="E45" s="341"/>
      <c r="F45" s="342"/>
      <c r="G45" s="162" t="s">
        <v>251</v>
      </c>
      <c r="H45" s="225">
        <v>20</v>
      </c>
      <c r="I45" s="233"/>
      <c r="J45" s="231">
        <f t="shared" si="4"/>
        <v>0</v>
      </c>
      <c r="K45" s="225">
        <v>6</v>
      </c>
      <c r="L45" s="233"/>
      <c r="M45" s="231">
        <f t="shared" si="5"/>
        <v>0</v>
      </c>
      <c r="N45" s="225">
        <v>2</v>
      </c>
      <c r="O45" s="233"/>
      <c r="P45" s="231">
        <f t="shared" si="6"/>
        <v>0</v>
      </c>
      <c r="Q45" s="225">
        <v>1</v>
      </c>
      <c r="R45" s="233"/>
      <c r="S45" s="231">
        <f t="shared" si="7"/>
        <v>0</v>
      </c>
    </row>
    <row r="46" spans="1:19" ht="39.950000000000003" customHeight="1" x14ac:dyDescent="0.2">
      <c r="A46" s="162">
        <v>9</v>
      </c>
      <c r="B46" s="340" t="s">
        <v>274</v>
      </c>
      <c r="C46" s="341"/>
      <c r="D46" s="341"/>
      <c r="E46" s="341"/>
      <c r="F46" s="342"/>
      <c r="G46" s="162" t="s">
        <v>251</v>
      </c>
      <c r="H46" s="225">
        <v>16</v>
      </c>
      <c r="I46" s="233"/>
      <c r="J46" s="231">
        <f t="shared" si="4"/>
        <v>0</v>
      </c>
      <c r="K46" s="225">
        <v>3</v>
      </c>
      <c r="L46" s="233"/>
      <c r="M46" s="231">
        <f t="shared" si="5"/>
        <v>0</v>
      </c>
      <c r="N46" s="225">
        <v>2</v>
      </c>
      <c r="O46" s="233"/>
      <c r="P46" s="231">
        <f t="shared" si="6"/>
        <v>0</v>
      </c>
      <c r="Q46" s="225">
        <v>1</v>
      </c>
      <c r="R46" s="233"/>
      <c r="S46" s="231">
        <f t="shared" si="7"/>
        <v>0</v>
      </c>
    </row>
    <row r="47" spans="1:19" ht="39.950000000000003" customHeight="1" x14ac:dyDescent="0.2">
      <c r="A47" s="162">
        <v>10</v>
      </c>
      <c r="B47" s="340" t="s">
        <v>275</v>
      </c>
      <c r="C47" s="341"/>
      <c r="D47" s="341"/>
      <c r="E47" s="341"/>
      <c r="F47" s="342"/>
      <c r="G47" s="162" t="s">
        <v>251</v>
      </c>
      <c r="H47" s="225">
        <v>8</v>
      </c>
      <c r="I47" s="233"/>
      <c r="J47" s="231">
        <f t="shared" si="4"/>
        <v>0</v>
      </c>
      <c r="K47" s="225">
        <v>2</v>
      </c>
      <c r="L47" s="233"/>
      <c r="M47" s="231">
        <f t="shared" si="5"/>
        <v>0</v>
      </c>
      <c r="N47" s="225">
        <v>2</v>
      </c>
      <c r="O47" s="233"/>
      <c r="P47" s="231">
        <f t="shared" si="6"/>
        <v>0</v>
      </c>
      <c r="Q47" s="225">
        <v>4</v>
      </c>
      <c r="R47" s="233"/>
      <c r="S47" s="231">
        <f t="shared" si="7"/>
        <v>0</v>
      </c>
    </row>
    <row r="48" spans="1:19" ht="39.950000000000003" customHeight="1" x14ac:dyDescent="0.2">
      <c r="A48" s="162">
        <v>11</v>
      </c>
      <c r="B48" s="340" t="s">
        <v>276</v>
      </c>
      <c r="C48" s="341"/>
      <c r="D48" s="341"/>
      <c r="E48" s="341"/>
      <c r="F48" s="342"/>
      <c r="G48" s="162" t="s">
        <v>251</v>
      </c>
      <c r="H48" s="225">
        <v>20</v>
      </c>
      <c r="I48" s="233"/>
      <c r="J48" s="231">
        <f t="shared" si="4"/>
        <v>0</v>
      </c>
      <c r="K48" s="225">
        <v>6</v>
      </c>
      <c r="L48" s="233"/>
      <c r="M48" s="231">
        <f t="shared" si="5"/>
        <v>0</v>
      </c>
      <c r="N48" s="225">
        <v>2</v>
      </c>
      <c r="O48" s="233"/>
      <c r="P48" s="231">
        <f t="shared" si="6"/>
        <v>0</v>
      </c>
      <c r="Q48" s="225">
        <v>2</v>
      </c>
      <c r="R48" s="233"/>
      <c r="S48" s="231">
        <f t="shared" si="7"/>
        <v>0</v>
      </c>
    </row>
    <row r="49" spans="1:19" ht="34.5" customHeight="1" x14ac:dyDescent="0.2">
      <c r="A49" s="162">
        <v>12</v>
      </c>
      <c r="B49" s="340" t="s">
        <v>277</v>
      </c>
      <c r="C49" s="341"/>
      <c r="D49" s="341"/>
      <c r="E49" s="341"/>
      <c r="F49" s="342"/>
      <c r="G49" s="162" t="s">
        <v>251</v>
      </c>
      <c r="H49" s="225">
        <v>6</v>
      </c>
      <c r="I49" s="233"/>
      <c r="J49" s="231">
        <f t="shared" si="4"/>
        <v>0</v>
      </c>
      <c r="K49" s="225">
        <v>2</v>
      </c>
      <c r="L49" s="233"/>
      <c r="M49" s="231">
        <f t="shared" si="5"/>
        <v>0</v>
      </c>
      <c r="N49" s="225">
        <v>2</v>
      </c>
      <c r="O49" s="233"/>
      <c r="P49" s="231">
        <f t="shared" si="6"/>
        <v>0</v>
      </c>
      <c r="Q49" s="225">
        <v>2</v>
      </c>
      <c r="R49" s="233"/>
      <c r="S49" s="231">
        <f t="shared" si="7"/>
        <v>0</v>
      </c>
    </row>
    <row r="50" spans="1:19" ht="73.5" customHeight="1" x14ac:dyDescent="0.2">
      <c r="A50" s="162">
        <v>13</v>
      </c>
      <c r="B50" s="340" t="s">
        <v>278</v>
      </c>
      <c r="C50" s="341"/>
      <c r="D50" s="341"/>
      <c r="E50" s="341"/>
      <c r="F50" s="342"/>
      <c r="G50" s="162" t="s">
        <v>251</v>
      </c>
      <c r="H50" s="225">
        <v>20</v>
      </c>
      <c r="I50" s="233"/>
      <c r="J50" s="231">
        <f t="shared" si="4"/>
        <v>0</v>
      </c>
      <c r="K50" s="225">
        <v>6</v>
      </c>
      <c r="L50" s="233"/>
      <c r="M50" s="231">
        <f t="shared" si="5"/>
        <v>0</v>
      </c>
      <c r="N50" s="225">
        <v>2</v>
      </c>
      <c r="O50" s="233"/>
      <c r="P50" s="231">
        <f t="shared" si="6"/>
        <v>0</v>
      </c>
      <c r="Q50" s="225">
        <v>2</v>
      </c>
      <c r="R50" s="233"/>
      <c r="S50" s="231">
        <f t="shared" si="7"/>
        <v>0</v>
      </c>
    </row>
    <row r="51" spans="1:19" ht="53.25" customHeight="1" x14ac:dyDescent="0.2">
      <c r="A51" s="162">
        <v>14</v>
      </c>
      <c r="B51" s="340" t="s">
        <v>279</v>
      </c>
      <c r="C51" s="341"/>
      <c r="D51" s="341"/>
      <c r="E51" s="341"/>
      <c r="F51" s="342"/>
      <c r="G51" s="162" t="s">
        <v>251</v>
      </c>
      <c r="H51" s="225">
        <v>12</v>
      </c>
      <c r="I51" s="233"/>
      <c r="J51" s="231">
        <f t="shared" si="4"/>
        <v>0</v>
      </c>
      <c r="K51" s="225">
        <v>6</v>
      </c>
      <c r="L51" s="233"/>
      <c r="M51" s="231">
        <f t="shared" si="5"/>
        <v>0</v>
      </c>
      <c r="N51" s="225">
        <v>2</v>
      </c>
      <c r="O51" s="233"/>
      <c r="P51" s="231">
        <f t="shared" si="6"/>
        <v>0</v>
      </c>
      <c r="Q51" s="225">
        <v>1</v>
      </c>
      <c r="R51" s="233"/>
      <c r="S51" s="231">
        <f t="shared" si="7"/>
        <v>0</v>
      </c>
    </row>
    <row r="52" spans="1:19" ht="74.25" customHeight="1" x14ac:dyDescent="0.2">
      <c r="A52" s="162">
        <v>15</v>
      </c>
      <c r="B52" s="340" t="s">
        <v>280</v>
      </c>
      <c r="C52" s="341"/>
      <c r="D52" s="341"/>
      <c r="E52" s="341"/>
      <c r="F52" s="342"/>
      <c r="G52" s="162" t="s">
        <v>251</v>
      </c>
      <c r="H52" s="225">
        <v>20</v>
      </c>
      <c r="I52" s="233"/>
      <c r="J52" s="231">
        <f t="shared" si="4"/>
        <v>0</v>
      </c>
      <c r="K52" s="225">
        <v>6</v>
      </c>
      <c r="L52" s="233"/>
      <c r="M52" s="231">
        <f t="shared" si="5"/>
        <v>0</v>
      </c>
      <c r="N52" s="225">
        <v>2</v>
      </c>
      <c r="O52" s="233"/>
      <c r="P52" s="231">
        <f t="shared" si="6"/>
        <v>0</v>
      </c>
      <c r="Q52" s="227">
        <v>1</v>
      </c>
      <c r="R52" s="233"/>
      <c r="S52" s="231">
        <f t="shared" si="7"/>
        <v>0</v>
      </c>
    </row>
    <row r="53" spans="1:19" ht="39.950000000000003" customHeight="1" x14ac:dyDescent="0.2">
      <c r="A53" s="162">
        <v>16</v>
      </c>
      <c r="B53" s="340" t="s">
        <v>281</v>
      </c>
      <c r="C53" s="341"/>
      <c r="D53" s="341"/>
      <c r="E53" s="341"/>
      <c r="F53" s="342"/>
      <c r="G53" s="162" t="s">
        <v>251</v>
      </c>
      <c r="H53" s="225">
        <v>8</v>
      </c>
      <c r="I53" s="233"/>
      <c r="J53" s="231">
        <f t="shared" si="4"/>
        <v>0</v>
      </c>
      <c r="K53" s="225"/>
      <c r="L53" s="233"/>
      <c r="M53" s="231">
        <f t="shared" si="5"/>
        <v>0</v>
      </c>
      <c r="N53" s="225"/>
      <c r="O53" s="233"/>
      <c r="P53" s="231">
        <f t="shared" si="6"/>
        <v>0</v>
      </c>
      <c r="Q53" s="227"/>
      <c r="R53" s="233"/>
      <c r="S53" s="231">
        <f t="shared" si="7"/>
        <v>0</v>
      </c>
    </row>
    <row r="54" spans="1:19" ht="33.75" customHeight="1" x14ac:dyDescent="0.2">
      <c r="A54" s="162">
        <v>17</v>
      </c>
      <c r="B54" s="340" t="s">
        <v>282</v>
      </c>
      <c r="C54" s="341"/>
      <c r="D54" s="341"/>
      <c r="E54" s="341"/>
      <c r="F54" s="342"/>
      <c r="G54" s="162" t="s">
        <v>251</v>
      </c>
      <c r="H54" s="225">
        <v>15</v>
      </c>
      <c r="I54" s="233"/>
      <c r="J54" s="231">
        <f t="shared" si="4"/>
        <v>0</v>
      </c>
      <c r="K54" s="225">
        <v>6</v>
      </c>
      <c r="L54" s="233"/>
      <c r="M54" s="231">
        <f t="shared" si="5"/>
        <v>0</v>
      </c>
      <c r="N54" s="225">
        <v>2</v>
      </c>
      <c r="O54" s="233"/>
      <c r="P54" s="231">
        <f t="shared" si="6"/>
        <v>0</v>
      </c>
      <c r="Q54" s="227">
        <v>1</v>
      </c>
      <c r="R54" s="233"/>
      <c r="S54" s="231">
        <f t="shared" si="7"/>
        <v>0</v>
      </c>
    </row>
    <row r="55" spans="1:19" ht="33.75" customHeight="1" x14ac:dyDescent="0.2">
      <c r="A55" s="162">
        <v>18</v>
      </c>
      <c r="B55" s="340" t="s">
        <v>283</v>
      </c>
      <c r="C55" s="341"/>
      <c r="D55" s="341"/>
      <c r="E55" s="341"/>
      <c r="F55" s="342"/>
      <c r="G55" s="162" t="s">
        <v>284</v>
      </c>
      <c r="H55" s="225">
        <v>15</v>
      </c>
      <c r="I55" s="233"/>
      <c r="J55" s="231">
        <f t="shared" si="4"/>
        <v>0</v>
      </c>
      <c r="K55" s="225">
        <v>6</v>
      </c>
      <c r="L55" s="233"/>
      <c r="M55" s="231">
        <f t="shared" si="5"/>
        <v>0</v>
      </c>
      <c r="N55" s="225">
        <v>2</v>
      </c>
      <c r="O55" s="233"/>
      <c r="P55" s="231">
        <f t="shared" si="6"/>
        <v>0</v>
      </c>
      <c r="Q55" s="227">
        <v>1</v>
      </c>
      <c r="R55" s="233"/>
      <c r="S55" s="231">
        <f t="shared" si="7"/>
        <v>0</v>
      </c>
    </row>
    <row r="56" spans="1:19" ht="48.75" customHeight="1" x14ac:dyDescent="0.2">
      <c r="A56" s="162">
        <v>19</v>
      </c>
      <c r="B56" s="340" t="s">
        <v>285</v>
      </c>
      <c r="C56" s="341"/>
      <c r="D56" s="341"/>
      <c r="E56" s="341"/>
      <c r="F56" s="342"/>
      <c r="G56" s="162" t="s">
        <v>251</v>
      </c>
      <c r="H56" s="225">
        <v>20</v>
      </c>
      <c r="I56" s="231"/>
      <c r="J56" s="231">
        <f t="shared" si="4"/>
        <v>0</v>
      </c>
      <c r="K56" s="225">
        <v>6</v>
      </c>
      <c r="L56" s="231"/>
      <c r="M56" s="231">
        <f t="shared" si="5"/>
        <v>0</v>
      </c>
      <c r="N56" s="225">
        <v>2</v>
      </c>
      <c r="O56" s="231"/>
      <c r="P56" s="231">
        <f t="shared" si="6"/>
        <v>0</v>
      </c>
      <c r="Q56" s="225">
        <v>1</v>
      </c>
      <c r="R56" s="231"/>
      <c r="S56" s="231">
        <f t="shared" si="7"/>
        <v>0</v>
      </c>
    </row>
    <row r="57" spans="1:19" ht="23.25" customHeight="1" x14ac:dyDescent="0.2">
      <c r="A57" s="353" t="s">
        <v>286</v>
      </c>
      <c r="B57" s="354"/>
      <c r="C57" s="354"/>
      <c r="D57" s="354"/>
      <c r="E57" s="354"/>
      <c r="F57" s="354"/>
      <c r="G57" s="354"/>
      <c r="H57" s="354"/>
      <c r="I57" s="352"/>
      <c r="J57" s="164">
        <f>SUM(J38:J56)/12</f>
        <v>0</v>
      </c>
      <c r="K57" s="161"/>
      <c r="L57" s="161"/>
      <c r="M57" s="164">
        <f>SUM(M38:M56)/12</f>
        <v>0</v>
      </c>
      <c r="N57" s="161"/>
      <c r="O57" s="161"/>
      <c r="P57" s="164">
        <f>SUM(P38:P56)/12</f>
        <v>0</v>
      </c>
      <c r="Q57" s="162"/>
      <c r="R57" s="165"/>
      <c r="S57" s="164">
        <f>SUM(S38:S56)/12</f>
        <v>0</v>
      </c>
    </row>
    <row r="58" spans="1:19" ht="23.25" customHeight="1" x14ac:dyDescent="0.2">
      <c r="A58" s="350" t="s">
        <v>262</v>
      </c>
      <c r="B58" s="351"/>
      <c r="C58" s="351"/>
      <c r="D58" s="351"/>
      <c r="E58" s="351"/>
      <c r="F58" s="351"/>
      <c r="G58" s="351"/>
      <c r="H58" s="352"/>
      <c r="I58" s="168">
        <v>20</v>
      </c>
      <c r="J58" s="326" t="s">
        <v>337</v>
      </c>
      <c r="K58" s="326"/>
      <c r="L58" s="327">
        <f>SUM(J57,M57,P57,S57)/I58</f>
        <v>0</v>
      </c>
      <c r="M58" s="328"/>
      <c r="N58" s="328"/>
      <c r="O58" s="328"/>
      <c r="P58" s="328"/>
      <c r="Q58" s="328"/>
      <c r="R58" s="328"/>
      <c r="S58" s="329"/>
    </row>
    <row r="59" spans="1:19" ht="23.25" customHeight="1" x14ac:dyDescent="0.2">
      <c r="A59" s="353"/>
      <c r="B59" s="354"/>
      <c r="C59" s="354"/>
      <c r="D59" s="354"/>
      <c r="E59" s="354"/>
      <c r="F59" s="354"/>
      <c r="G59" s="354"/>
      <c r="H59" s="354"/>
      <c r="I59" s="354"/>
      <c r="J59" s="354"/>
      <c r="K59" s="354"/>
      <c r="L59" s="354"/>
      <c r="M59" s="354"/>
      <c r="N59" s="354"/>
      <c r="O59" s="354"/>
      <c r="P59" s="354"/>
      <c r="Q59" s="354"/>
      <c r="R59" s="354"/>
      <c r="S59" s="352"/>
    </row>
    <row r="60" spans="1:19" ht="23.25" customHeight="1" x14ac:dyDescent="0.2">
      <c r="A60" s="367" t="s">
        <v>287</v>
      </c>
      <c r="B60" s="335"/>
      <c r="C60" s="335"/>
      <c r="D60" s="335"/>
      <c r="E60" s="335"/>
      <c r="F60" s="335"/>
      <c r="G60" s="335"/>
      <c r="H60" s="335"/>
      <c r="I60" s="335"/>
      <c r="J60" s="335"/>
      <c r="K60" s="335"/>
      <c r="L60" s="335"/>
      <c r="M60" s="335"/>
      <c r="N60" s="335"/>
      <c r="O60" s="335"/>
      <c r="P60" s="335"/>
      <c r="Q60" s="335"/>
      <c r="R60" s="335"/>
      <c r="S60" s="336"/>
    </row>
    <row r="61" spans="1:19" ht="54.75" customHeight="1" x14ac:dyDescent="0.2">
      <c r="A61" s="159" t="s">
        <v>241</v>
      </c>
      <c r="B61" s="337" t="s">
        <v>242</v>
      </c>
      <c r="C61" s="338"/>
      <c r="D61" s="338"/>
      <c r="E61" s="338"/>
      <c r="F61" s="339"/>
      <c r="G61" s="160" t="s">
        <v>243</v>
      </c>
      <c r="H61" s="160" t="s">
        <v>244</v>
      </c>
      <c r="I61" s="160" t="s">
        <v>245</v>
      </c>
      <c r="J61" s="160" t="s">
        <v>394</v>
      </c>
      <c r="K61" s="160" t="s">
        <v>247</v>
      </c>
      <c r="L61" s="160" t="s">
        <v>245</v>
      </c>
      <c r="M61" s="160" t="s">
        <v>394</v>
      </c>
      <c r="N61" s="160" t="s">
        <v>248</v>
      </c>
      <c r="O61" s="160" t="s">
        <v>245</v>
      </c>
      <c r="P61" s="160" t="s">
        <v>394</v>
      </c>
      <c r="Q61" s="160" t="s">
        <v>249</v>
      </c>
      <c r="R61" s="160" t="s">
        <v>245</v>
      </c>
      <c r="S61" s="160" t="s">
        <v>394</v>
      </c>
    </row>
    <row r="62" spans="1:19" ht="41.25" customHeight="1" x14ac:dyDescent="0.2">
      <c r="A62" s="162">
        <v>1</v>
      </c>
      <c r="B62" s="340" t="s">
        <v>288</v>
      </c>
      <c r="C62" s="341"/>
      <c r="D62" s="341"/>
      <c r="E62" s="341"/>
      <c r="F62" s="342"/>
      <c r="G62" s="162" t="s">
        <v>251</v>
      </c>
      <c r="H62" s="163">
        <v>1</v>
      </c>
      <c r="I62" s="231"/>
      <c r="J62" s="164">
        <f>TRUNC((H62*I62/24),2)</f>
        <v>0</v>
      </c>
      <c r="K62" s="225">
        <v>1</v>
      </c>
      <c r="L62" s="164"/>
      <c r="M62" s="164">
        <f>TRUNC((K62*L62/24),2)</f>
        <v>0</v>
      </c>
      <c r="N62" s="225">
        <v>1</v>
      </c>
      <c r="O62" s="164"/>
      <c r="P62" s="164">
        <f>TRUNC((N62*O62/24),2)</f>
        <v>0</v>
      </c>
      <c r="Q62" s="227">
        <v>1</v>
      </c>
      <c r="R62" s="164"/>
      <c r="S62" s="164">
        <f>TRUNC((Q62*R62/24),2)</f>
        <v>0</v>
      </c>
    </row>
    <row r="63" spans="1:19" ht="23.25" customHeight="1" x14ac:dyDescent="0.2">
      <c r="A63" s="350" t="s">
        <v>262</v>
      </c>
      <c r="B63" s="351"/>
      <c r="C63" s="351"/>
      <c r="D63" s="351"/>
      <c r="E63" s="351"/>
      <c r="F63" s="351"/>
      <c r="G63" s="351"/>
      <c r="H63" s="352"/>
      <c r="I63" s="168">
        <v>20</v>
      </c>
      <c r="J63" s="330" t="s">
        <v>337</v>
      </c>
      <c r="K63" s="331"/>
      <c r="L63" s="327">
        <f>SUM(J62,M62,P62,S62)/I63</f>
        <v>0</v>
      </c>
      <c r="M63" s="328"/>
      <c r="N63" s="328"/>
      <c r="O63" s="328"/>
      <c r="P63" s="328"/>
      <c r="Q63" s="328"/>
      <c r="R63" s="328"/>
      <c r="S63" s="329"/>
    </row>
    <row r="64" spans="1:19" ht="18.75" customHeight="1" x14ac:dyDescent="0.2">
      <c r="A64" s="353"/>
      <c r="B64" s="354"/>
      <c r="C64" s="354"/>
      <c r="D64" s="354"/>
      <c r="E64" s="354"/>
      <c r="F64" s="354"/>
      <c r="G64" s="354"/>
      <c r="H64" s="354"/>
      <c r="I64" s="354"/>
      <c r="J64" s="354"/>
      <c r="K64" s="354"/>
      <c r="L64" s="354"/>
      <c r="M64" s="354"/>
      <c r="N64" s="354"/>
      <c r="O64" s="354"/>
      <c r="P64" s="354"/>
      <c r="Q64" s="354"/>
      <c r="R64" s="354"/>
      <c r="S64" s="352"/>
    </row>
    <row r="65" spans="1:19" ht="30" customHeight="1" x14ac:dyDescent="0.2">
      <c r="A65" s="158">
        <v>3</v>
      </c>
      <c r="B65" s="334" t="s">
        <v>289</v>
      </c>
      <c r="C65" s="335"/>
      <c r="D65" s="335"/>
      <c r="E65" s="335"/>
      <c r="F65" s="335"/>
      <c r="G65" s="335"/>
      <c r="H65" s="335"/>
      <c r="I65" s="335"/>
      <c r="J65" s="335"/>
      <c r="K65" s="335"/>
      <c r="L65" s="335"/>
      <c r="M65" s="335"/>
      <c r="N65" s="335"/>
      <c r="O65" s="335"/>
      <c r="P65" s="335"/>
      <c r="Q65" s="335"/>
      <c r="R65" s="335"/>
      <c r="S65" s="336"/>
    </row>
    <row r="66" spans="1:19" ht="81.75" customHeight="1" x14ac:dyDescent="0.2">
      <c r="A66" s="169" t="s">
        <v>290</v>
      </c>
      <c r="B66" s="364" t="s">
        <v>291</v>
      </c>
      <c r="C66" s="365"/>
      <c r="D66" s="365"/>
      <c r="E66" s="365"/>
      <c r="F66" s="366"/>
      <c r="G66" s="160" t="s">
        <v>292</v>
      </c>
      <c r="H66" s="160" t="s">
        <v>244</v>
      </c>
      <c r="I66" s="160" t="s">
        <v>245</v>
      </c>
      <c r="J66" s="160" t="s">
        <v>246</v>
      </c>
      <c r="K66" s="160" t="s">
        <v>247</v>
      </c>
      <c r="L66" s="160" t="s">
        <v>245</v>
      </c>
      <c r="M66" s="160" t="s">
        <v>246</v>
      </c>
      <c r="N66" s="160" t="s">
        <v>248</v>
      </c>
      <c r="O66" s="160" t="s">
        <v>245</v>
      </c>
      <c r="P66" s="160" t="s">
        <v>246</v>
      </c>
      <c r="Q66" s="160" t="s">
        <v>249</v>
      </c>
      <c r="R66" s="160" t="s">
        <v>293</v>
      </c>
      <c r="S66" s="160" t="s">
        <v>294</v>
      </c>
    </row>
    <row r="67" spans="1:19" ht="160.5" customHeight="1" x14ac:dyDescent="0.2">
      <c r="A67" s="170">
        <v>1</v>
      </c>
      <c r="B67" s="340" t="s">
        <v>295</v>
      </c>
      <c r="C67" s="341"/>
      <c r="D67" s="341"/>
      <c r="E67" s="341"/>
      <c r="F67" s="342"/>
      <c r="G67" s="162" t="s">
        <v>251</v>
      </c>
      <c r="H67" s="163">
        <v>2</v>
      </c>
      <c r="I67" s="233"/>
      <c r="J67" s="164">
        <f>TRUNC((H67*I67),2)</f>
        <v>0</v>
      </c>
      <c r="K67" s="163"/>
      <c r="L67" s="233"/>
      <c r="M67" s="231">
        <f>TRUNC((K67*L67),2)</f>
        <v>0</v>
      </c>
      <c r="N67" s="163"/>
      <c r="O67" s="233"/>
      <c r="P67" s="231">
        <f>TRUNC((N67*O67),2)</f>
        <v>0</v>
      </c>
      <c r="Q67" s="163"/>
      <c r="R67" s="233"/>
      <c r="S67" s="231">
        <f>TRUNC((Q67*R67),2)</f>
        <v>0</v>
      </c>
    </row>
    <row r="68" spans="1:19" ht="79.5" customHeight="1" x14ac:dyDescent="0.2">
      <c r="A68" s="170">
        <v>2</v>
      </c>
      <c r="B68" s="340" t="s">
        <v>296</v>
      </c>
      <c r="C68" s="341"/>
      <c r="D68" s="341"/>
      <c r="E68" s="341"/>
      <c r="F68" s="342"/>
      <c r="G68" s="162" t="s">
        <v>251</v>
      </c>
      <c r="H68" s="163">
        <v>2</v>
      </c>
      <c r="I68" s="233"/>
      <c r="J68" s="164">
        <f t="shared" ref="J68:J77" si="8">TRUNC((H68*I68),2)</f>
        <v>0</v>
      </c>
      <c r="K68" s="163">
        <v>1</v>
      </c>
      <c r="L68" s="233"/>
      <c r="M68" s="231">
        <f t="shared" ref="M68:M77" si="9">TRUNC((K68*L68),2)</f>
        <v>0</v>
      </c>
      <c r="N68" s="163">
        <v>1</v>
      </c>
      <c r="O68" s="233"/>
      <c r="P68" s="231">
        <f t="shared" ref="P68:P77" si="10">TRUNC((N68*O68),2)</f>
        <v>0</v>
      </c>
      <c r="Q68" s="163"/>
      <c r="R68" s="233"/>
      <c r="S68" s="231">
        <f t="shared" ref="S68:S77" si="11">TRUNC((Q68*R68),2)</f>
        <v>0</v>
      </c>
    </row>
    <row r="69" spans="1:19" ht="74.25" customHeight="1" x14ac:dyDescent="0.2">
      <c r="A69" s="170">
        <v>3</v>
      </c>
      <c r="B69" s="340" t="s">
        <v>297</v>
      </c>
      <c r="C69" s="341"/>
      <c r="D69" s="341"/>
      <c r="E69" s="341"/>
      <c r="F69" s="342"/>
      <c r="G69" s="162" t="s">
        <v>251</v>
      </c>
      <c r="H69" s="163">
        <v>1</v>
      </c>
      <c r="I69" s="233"/>
      <c r="J69" s="164">
        <f t="shared" si="8"/>
        <v>0</v>
      </c>
      <c r="K69" s="163"/>
      <c r="L69" s="233"/>
      <c r="M69" s="231">
        <f t="shared" si="9"/>
        <v>0</v>
      </c>
      <c r="N69" s="163"/>
      <c r="O69" s="233"/>
      <c r="P69" s="231">
        <f t="shared" si="10"/>
        <v>0</v>
      </c>
      <c r="Q69" s="163"/>
      <c r="R69" s="233"/>
      <c r="S69" s="231">
        <f t="shared" si="11"/>
        <v>0</v>
      </c>
    </row>
    <row r="70" spans="1:19" ht="39" customHeight="1" x14ac:dyDescent="0.2">
      <c r="A70" s="170">
        <v>4</v>
      </c>
      <c r="B70" s="340" t="s">
        <v>298</v>
      </c>
      <c r="C70" s="341"/>
      <c r="D70" s="341"/>
      <c r="E70" s="341"/>
      <c r="F70" s="342"/>
      <c r="G70" s="162" t="s">
        <v>251</v>
      </c>
      <c r="H70" s="163">
        <v>1</v>
      </c>
      <c r="I70" s="233"/>
      <c r="J70" s="164">
        <f t="shared" si="8"/>
        <v>0</v>
      </c>
      <c r="K70" s="163"/>
      <c r="L70" s="233"/>
      <c r="M70" s="231">
        <f t="shared" si="9"/>
        <v>0</v>
      </c>
      <c r="N70" s="163"/>
      <c r="O70" s="233"/>
      <c r="P70" s="231">
        <f t="shared" si="10"/>
        <v>0</v>
      </c>
      <c r="Q70" s="163"/>
      <c r="R70" s="233"/>
      <c r="S70" s="231">
        <f t="shared" si="11"/>
        <v>0</v>
      </c>
    </row>
    <row r="71" spans="1:19" ht="34.5" customHeight="1" x14ac:dyDescent="0.2">
      <c r="A71" s="170">
        <v>5</v>
      </c>
      <c r="B71" s="340" t="s">
        <v>299</v>
      </c>
      <c r="C71" s="341"/>
      <c r="D71" s="341"/>
      <c r="E71" s="341"/>
      <c r="F71" s="342"/>
      <c r="G71" s="71" t="s">
        <v>251</v>
      </c>
      <c r="H71" s="166">
        <v>12</v>
      </c>
      <c r="I71" s="233"/>
      <c r="J71" s="164">
        <f t="shared" si="8"/>
        <v>0</v>
      </c>
      <c r="K71" s="166"/>
      <c r="L71" s="233"/>
      <c r="M71" s="231">
        <f t="shared" si="9"/>
        <v>0</v>
      </c>
      <c r="N71" s="166"/>
      <c r="O71" s="233"/>
      <c r="P71" s="231">
        <f t="shared" si="10"/>
        <v>0</v>
      </c>
      <c r="Q71" s="166"/>
      <c r="R71" s="233"/>
      <c r="S71" s="231">
        <f t="shared" si="11"/>
        <v>0</v>
      </c>
    </row>
    <row r="72" spans="1:19" ht="36" customHeight="1" x14ac:dyDescent="0.2">
      <c r="A72" s="170">
        <v>6</v>
      </c>
      <c r="B72" s="340" t="s">
        <v>300</v>
      </c>
      <c r="C72" s="341"/>
      <c r="D72" s="341"/>
      <c r="E72" s="341"/>
      <c r="F72" s="342"/>
      <c r="G72" s="162" t="s">
        <v>251</v>
      </c>
      <c r="H72" s="163">
        <v>2</v>
      </c>
      <c r="I72" s="233"/>
      <c r="J72" s="164">
        <f t="shared" si="8"/>
        <v>0</v>
      </c>
      <c r="K72" s="163">
        <v>2</v>
      </c>
      <c r="L72" s="233"/>
      <c r="M72" s="231">
        <f t="shared" si="9"/>
        <v>0</v>
      </c>
      <c r="N72" s="163">
        <v>2</v>
      </c>
      <c r="O72" s="233"/>
      <c r="P72" s="231">
        <f t="shared" si="10"/>
        <v>0</v>
      </c>
      <c r="Q72" s="163"/>
      <c r="R72" s="233"/>
      <c r="S72" s="231">
        <f t="shared" si="11"/>
        <v>0</v>
      </c>
    </row>
    <row r="73" spans="1:19" ht="39.950000000000003" customHeight="1" x14ac:dyDescent="0.2">
      <c r="A73" s="170">
        <v>7</v>
      </c>
      <c r="B73" s="340" t="s">
        <v>301</v>
      </c>
      <c r="C73" s="341"/>
      <c r="D73" s="341"/>
      <c r="E73" s="341"/>
      <c r="F73" s="342"/>
      <c r="G73" s="162" t="s">
        <v>251</v>
      </c>
      <c r="H73" s="163">
        <v>15</v>
      </c>
      <c r="I73" s="233"/>
      <c r="J73" s="164">
        <f t="shared" si="8"/>
        <v>0</v>
      </c>
      <c r="K73" s="163">
        <v>2</v>
      </c>
      <c r="L73" s="233"/>
      <c r="M73" s="231">
        <f t="shared" si="9"/>
        <v>0</v>
      </c>
      <c r="N73" s="163">
        <v>2</v>
      </c>
      <c r="O73" s="233"/>
      <c r="P73" s="231">
        <f t="shared" si="10"/>
        <v>0</v>
      </c>
      <c r="Q73" s="163">
        <v>1</v>
      </c>
      <c r="R73" s="233"/>
      <c r="S73" s="231">
        <f t="shared" si="11"/>
        <v>0</v>
      </c>
    </row>
    <row r="74" spans="1:19" ht="39.950000000000003" customHeight="1" x14ac:dyDescent="0.2">
      <c r="A74" s="170">
        <v>8</v>
      </c>
      <c r="B74" s="340" t="s">
        <v>302</v>
      </c>
      <c r="C74" s="341"/>
      <c r="D74" s="341"/>
      <c r="E74" s="341"/>
      <c r="F74" s="342"/>
      <c r="G74" s="162" t="s">
        <v>251</v>
      </c>
      <c r="H74" s="163">
        <v>1</v>
      </c>
      <c r="I74" s="233"/>
      <c r="J74" s="164">
        <f t="shared" si="8"/>
        <v>0</v>
      </c>
      <c r="K74" s="163">
        <v>1</v>
      </c>
      <c r="L74" s="233"/>
      <c r="M74" s="231">
        <f t="shared" si="9"/>
        <v>0</v>
      </c>
      <c r="N74" s="163">
        <v>1</v>
      </c>
      <c r="O74" s="233"/>
      <c r="P74" s="231">
        <f t="shared" si="10"/>
        <v>0</v>
      </c>
      <c r="Q74" s="163">
        <v>1</v>
      </c>
      <c r="R74" s="233"/>
      <c r="S74" s="231">
        <f t="shared" si="11"/>
        <v>0</v>
      </c>
    </row>
    <row r="75" spans="1:19" ht="39.950000000000003" customHeight="1" x14ac:dyDescent="0.2">
      <c r="A75" s="170">
        <v>9</v>
      </c>
      <c r="B75" s="340" t="s">
        <v>303</v>
      </c>
      <c r="C75" s="341"/>
      <c r="D75" s="341"/>
      <c r="E75" s="341"/>
      <c r="F75" s="342"/>
      <c r="G75" s="162" t="s">
        <v>251</v>
      </c>
      <c r="H75" s="163">
        <v>1</v>
      </c>
      <c r="I75" s="233"/>
      <c r="J75" s="164">
        <f t="shared" si="8"/>
        <v>0</v>
      </c>
      <c r="K75" s="163"/>
      <c r="L75" s="233"/>
      <c r="M75" s="231">
        <f t="shared" si="9"/>
        <v>0</v>
      </c>
      <c r="N75" s="163"/>
      <c r="O75" s="233"/>
      <c r="P75" s="231">
        <f t="shared" si="10"/>
        <v>0</v>
      </c>
      <c r="Q75" s="163">
        <v>1</v>
      </c>
      <c r="R75" s="233"/>
      <c r="S75" s="231">
        <f t="shared" si="11"/>
        <v>0</v>
      </c>
    </row>
    <row r="76" spans="1:19" ht="39.950000000000003" customHeight="1" x14ac:dyDescent="0.2">
      <c r="A76" s="170">
        <v>10</v>
      </c>
      <c r="B76" s="340" t="s">
        <v>304</v>
      </c>
      <c r="C76" s="341"/>
      <c r="D76" s="341"/>
      <c r="E76" s="341"/>
      <c r="F76" s="342"/>
      <c r="G76" s="162" t="s">
        <v>251</v>
      </c>
      <c r="H76" s="163">
        <v>2</v>
      </c>
      <c r="I76" s="233"/>
      <c r="J76" s="164">
        <f t="shared" si="8"/>
        <v>0</v>
      </c>
      <c r="K76" s="163">
        <v>1</v>
      </c>
      <c r="L76" s="233"/>
      <c r="M76" s="231">
        <f t="shared" si="9"/>
        <v>0</v>
      </c>
      <c r="N76" s="163">
        <v>1</v>
      </c>
      <c r="O76" s="233"/>
      <c r="P76" s="231">
        <f t="shared" si="10"/>
        <v>0</v>
      </c>
      <c r="Q76" s="163">
        <v>1</v>
      </c>
      <c r="R76" s="233"/>
      <c r="S76" s="231">
        <f t="shared" si="11"/>
        <v>0</v>
      </c>
    </row>
    <row r="77" spans="1:19" ht="39.950000000000003" customHeight="1" x14ac:dyDescent="0.2">
      <c r="A77" s="170">
        <v>11</v>
      </c>
      <c r="B77" s="340" t="s">
        <v>305</v>
      </c>
      <c r="C77" s="341"/>
      <c r="D77" s="341"/>
      <c r="E77" s="341"/>
      <c r="F77" s="342"/>
      <c r="G77" s="162" t="s">
        <v>251</v>
      </c>
      <c r="H77" s="163">
        <v>1</v>
      </c>
      <c r="I77" s="233"/>
      <c r="J77" s="164">
        <f t="shared" si="8"/>
        <v>0</v>
      </c>
      <c r="K77" s="163">
        <v>1</v>
      </c>
      <c r="L77" s="233"/>
      <c r="M77" s="231">
        <f t="shared" si="9"/>
        <v>0</v>
      </c>
      <c r="N77" s="163">
        <v>1</v>
      </c>
      <c r="O77" s="233"/>
      <c r="P77" s="231">
        <f t="shared" si="10"/>
        <v>0</v>
      </c>
      <c r="Q77" s="163">
        <v>1</v>
      </c>
      <c r="R77" s="233"/>
      <c r="S77" s="231">
        <f t="shared" si="11"/>
        <v>0</v>
      </c>
    </row>
    <row r="78" spans="1:19" x14ac:dyDescent="0.2">
      <c r="A78" s="353" t="s">
        <v>306</v>
      </c>
      <c r="B78" s="354"/>
      <c r="C78" s="354"/>
      <c r="D78" s="354"/>
      <c r="E78" s="354"/>
      <c r="F78" s="354"/>
      <c r="G78" s="354"/>
      <c r="H78" s="354"/>
      <c r="I78" s="352"/>
      <c r="J78" s="164">
        <f>SUM(J67:J77)/60</f>
        <v>0</v>
      </c>
      <c r="K78" s="161"/>
      <c r="L78" s="234"/>
      <c r="M78" s="164">
        <f>SUM(M67:M77)/60</f>
        <v>0</v>
      </c>
      <c r="N78" s="161"/>
      <c r="O78" s="234"/>
      <c r="P78" s="164">
        <f>SUM(P67:P77)/60</f>
        <v>0</v>
      </c>
      <c r="Q78" s="162"/>
      <c r="R78" s="232"/>
      <c r="S78" s="164">
        <f>SUM(S67:S77)/60</f>
        <v>0</v>
      </c>
    </row>
    <row r="79" spans="1:19" ht="25.5" customHeight="1" x14ac:dyDescent="0.2">
      <c r="A79" s="350" t="s">
        <v>262</v>
      </c>
      <c r="B79" s="351"/>
      <c r="C79" s="351"/>
      <c r="D79" s="351"/>
      <c r="E79" s="351"/>
      <c r="F79" s="351"/>
      <c r="G79" s="351"/>
      <c r="H79" s="352"/>
      <c r="I79" s="168">
        <v>20</v>
      </c>
      <c r="J79" s="330" t="s">
        <v>337</v>
      </c>
      <c r="K79" s="331"/>
      <c r="L79" s="327">
        <f>SUM(J78,M78,P78,S78)/I79</f>
        <v>0</v>
      </c>
      <c r="M79" s="332"/>
      <c r="N79" s="332"/>
      <c r="O79" s="332"/>
      <c r="P79" s="332"/>
      <c r="Q79" s="332"/>
      <c r="R79" s="332"/>
      <c r="S79" s="333"/>
    </row>
    <row r="82" spans="1:16" ht="15" customHeight="1" x14ac:dyDescent="0.2">
      <c r="A82" s="368" t="s">
        <v>307</v>
      </c>
      <c r="B82" s="368"/>
      <c r="C82" s="368"/>
      <c r="D82" s="368"/>
      <c r="E82" s="369" t="s">
        <v>181</v>
      </c>
      <c r="F82" s="370"/>
      <c r="G82" s="370"/>
      <c r="H82" s="371"/>
      <c r="I82" s="372"/>
      <c r="J82" s="373"/>
      <c r="K82" s="373"/>
      <c r="L82" s="373"/>
      <c r="M82" s="373"/>
      <c r="N82" s="373"/>
      <c r="O82" s="373"/>
      <c r="P82" s="373"/>
    </row>
    <row r="83" spans="1:16" x14ac:dyDescent="0.2">
      <c r="A83" s="377" t="s">
        <v>308</v>
      </c>
      <c r="B83" s="377"/>
      <c r="C83" s="377"/>
      <c r="D83" s="377"/>
      <c r="E83" s="375">
        <f>SUM(L33,L58,L63)</f>
        <v>0</v>
      </c>
      <c r="F83" s="282"/>
      <c r="G83" s="282"/>
      <c r="H83" s="282"/>
      <c r="I83" s="376"/>
      <c r="J83" s="373"/>
      <c r="K83" s="376"/>
      <c r="L83" s="373"/>
      <c r="M83" s="376"/>
      <c r="N83" s="373"/>
      <c r="O83" s="373"/>
      <c r="P83" s="373"/>
    </row>
    <row r="84" spans="1:16" x14ac:dyDescent="0.2">
      <c r="A84" s="374" t="s">
        <v>309</v>
      </c>
      <c r="B84" s="374"/>
      <c r="C84" s="374"/>
      <c r="D84" s="374"/>
      <c r="E84" s="375">
        <f>L79</f>
        <v>0</v>
      </c>
      <c r="F84" s="282"/>
      <c r="G84" s="282"/>
      <c r="H84" s="282"/>
      <c r="I84" s="376"/>
      <c r="J84" s="376"/>
      <c r="K84" s="376"/>
      <c r="L84" s="376"/>
      <c r="M84" s="376"/>
      <c r="N84" s="376"/>
      <c r="O84" s="373"/>
      <c r="P84" s="373"/>
    </row>
    <row r="85" spans="1:16" x14ac:dyDescent="0.2">
      <c r="A85" s="373"/>
      <c r="B85" s="373"/>
      <c r="C85" s="373"/>
      <c r="D85" s="373"/>
      <c r="E85" s="373"/>
      <c r="F85" s="373"/>
      <c r="G85" s="373"/>
      <c r="H85" s="373"/>
    </row>
  </sheetData>
  <mergeCells count="119">
    <mergeCell ref="A85:D85"/>
    <mergeCell ref="E85:H85"/>
    <mergeCell ref="A84:D84"/>
    <mergeCell ref="E84:H84"/>
    <mergeCell ref="I84:J84"/>
    <mergeCell ref="K84:L84"/>
    <mergeCell ref="M84:N84"/>
    <mergeCell ref="O84:P84"/>
    <mergeCell ref="K82:L82"/>
    <mergeCell ref="M82:N82"/>
    <mergeCell ref="O82:P82"/>
    <mergeCell ref="A83:D83"/>
    <mergeCell ref="E83:H83"/>
    <mergeCell ref="I83:J83"/>
    <mergeCell ref="K83:L83"/>
    <mergeCell ref="M83:N83"/>
    <mergeCell ref="O83:P83"/>
    <mergeCell ref="B77:F77"/>
    <mergeCell ref="A78:I78"/>
    <mergeCell ref="A79:H79"/>
    <mergeCell ref="A82:D82"/>
    <mergeCell ref="E82:H82"/>
    <mergeCell ref="I82:J82"/>
    <mergeCell ref="B71:F71"/>
    <mergeCell ref="B72:F72"/>
    <mergeCell ref="B73:F73"/>
    <mergeCell ref="B74:F74"/>
    <mergeCell ref="B75:F75"/>
    <mergeCell ref="B76:F76"/>
    <mergeCell ref="B65:S65"/>
    <mergeCell ref="B66:F66"/>
    <mergeCell ref="B67:F67"/>
    <mergeCell ref="B68:F68"/>
    <mergeCell ref="B69:F69"/>
    <mergeCell ref="B70:F70"/>
    <mergeCell ref="A59:S59"/>
    <mergeCell ref="A60:S60"/>
    <mergeCell ref="B61:F61"/>
    <mergeCell ref="B62:F62"/>
    <mergeCell ref="A63:H63"/>
    <mergeCell ref="A64:S64"/>
    <mergeCell ref="B53:F53"/>
    <mergeCell ref="B54:F54"/>
    <mergeCell ref="B55:F55"/>
    <mergeCell ref="B56:F56"/>
    <mergeCell ref="A57:I57"/>
    <mergeCell ref="A58:H58"/>
    <mergeCell ref="B47:F47"/>
    <mergeCell ref="B48:F48"/>
    <mergeCell ref="B49:F49"/>
    <mergeCell ref="B50:F50"/>
    <mergeCell ref="B51:F51"/>
    <mergeCell ref="B52:F52"/>
    <mergeCell ref="B41:F41"/>
    <mergeCell ref="B42:F42"/>
    <mergeCell ref="B43:F43"/>
    <mergeCell ref="B44:F44"/>
    <mergeCell ref="B45:F45"/>
    <mergeCell ref="B46:F46"/>
    <mergeCell ref="Q36:Q37"/>
    <mergeCell ref="R36:R37"/>
    <mergeCell ref="S36:S37"/>
    <mergeCell ref="B38:F38"/>
    <mergeCell ref="B39:F39"/>
    <mergeCell ref="B40:F40"/>
    <mergeCell ref="K36:K37"/>
    <mergeCell ref="L36:L37"/>
    <mergeCell ref="M36:M37"/>
    <mergeCell ref="N36:N37"/>
    <mergeCell ref="O36:O37"/>
    <mergeCell ref="P36:P37"/>
    <mergeCell ref="A32:I32"/>
    <mergeCell ref="A33:H33"/>
    <mergeCell ref="A34:S34"/>
    <mergeCell ref="B35:S35"/>
    <mergeCell ref="A36:A37"/>
    <mergeCell ref="B36:F37"/>
    <mergeCell ref="G36:G37"/>
    <mergeCell ref="H36:H37"/>
    <mergeCell ref="I36:I37"/>
    <mergeCell ref="J36:J37"/>
    <mergeCell ref="B12:F12"/>
    <mergeCell ref="B13:F13"/>
    <mergeCell ref="B26:F26"/>
    <mergeCell ref="B27:F27"/>
    <mergeCell ref="B28:F28"/>
    <mergeCell ref="B29:F29"/>
    <mergeCell ref="B30:F30"/>
    <mergeCell ref="B31:F31"/>
    <mergeCell ref="B20:F20"/>
    <mergeCell ref="B21:F21"/>
    <mergeCell ref="B22:F22"/>
    <mergeCell ref="B23:F23"/>
    <mergeCell ref="B24:F24"/>
    <mergeCell ref="B25:F25"/>
    <mergeCell ref="J58:K58"/>
    <mergeCell ref="L58:S58"/>
    <mergeCell ref="L63:S63"/>
    <mergeCell ref="J63:K63"/>
    <mergeCell ref="L79:S79"/>
    <mergeCell ref="J79:K79"/>
    <mergeCell ref="B2:S2"/>
    <mergeCell ref="B3:F3"/>
    <mergeCell ref="B4:F4"/>
    <mergeCell ref="B5:F5"/>
    <mergeCell ref="B6:F6"/>
    <mergeCell ref="B7:F7"/>
    <mergeCell ref="L33:S33"/>
    <mergeCell ref="J33:K33"/>
    <mergeCell ref="B14:F14"/>
    <mergeCell ref="B15:F15"/>
    <mergeCell ref="B16:F16"/>
    <mergeCell ref="B17:F17"/>
    <mergeCell ref="B18:F18"/>
    <mergeCell ref="B19:F19"/>
    <mergeCell ref="B8:F8"/>
    <mergeCell ref="B9:F9"/>
    <mergeCell ref="B10:F10"/>
    <mergeCell ref="B11:F11"/>
  </mergeCells>
  <pageMargins left="0.43307086614173229" right="0.23622047244094491" top="0.74803149606299213" bottom="0.74803149606299213" header="0.31496062992125984" footer="0.31496062992125984"/>
  <pageSetup paperSize="9" scale="68" fitToHeight="0"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39"/>
  <sheetViews>
    <sheetView topLeftCell="A109" zoomScale="115" zoomScaleNormal="115" workbookViewId="0">
      <selection activeCell="H12" sqref="H12"/>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39" t="s">
        <v>0</v>
      </c>
      <c r="B1" s="440"/>
      <c r="C1" s="440"/>
      <c r="D1" s="440"/>
      <c r="E1" s="441"/>
    </row>
    <row r="2" spans="1:7" ht="13.5" customHeight="1" thickBot="1" x14ac:dyDescent="0.3">
      <c r="A2" s="442"/>
      <c r="B2" s="443"/>
      <c r="C2" s="443"/>
      <c r="D2" s="443"/>
      <c r="E2" s="444"/>
    </row>
    <row r="3" spans="1:7" ht="15" customHeight="1" x14ac:dyDescent="0.25">
      <c r="A3" s="445" t="s">
        <v>112</v>
      </c>
      <c r="B3" s="446"/>
      <c r="C3" s="447"/>
      <c r="D3" s="448" t="s">
        <v>310</v>
      </c>
      <c r="E3" s="449"/>
    </row>
    <row r="4" spans="1:7" ht="15" customHeight="1" x14ac:dyDescent="0.25">
      <c r="A4" s="445" t="s">
        <v>113</v>
      </c>
      <c r="B4" s="446"/>
      <c r="C4" s="447"/>
      <c r="D4" s="450" t="s">
        <v>397</v>
      </c>
      <c r="E4" s="451"/>
    </row>
    <row r="5" spans="1:7" x14ac:dyDescent="0.25">
      <c r="A5" s="3"/>
      <c r="B5" s="452" t="s">
        <v>311</v>
      </c>
      <c r="C5" s="452"/>
      <c r="D5" s="452"/>
      <c r="E5" s="453"/>
    </row>
    <row r="6" spans="1:7" x14ac:dyDescent="0.25">
      <c r="A6" s="454" t="s">
        <v>1</v>
      </c>
      <c r="B6" s="455"/>
      <c r="C6" s="455"/>
      <c r="D6" s="455"/>
      <c r="E6" s="456"/>
    </row>
    <row r="7" spans="1:7" ht="31.5" customHeight="1" x14ac:dyDescent="0.25">
      <c r="A7" s="4" t="s">
        <v>2</v>
      </c>
      <c r="B7" s="5" t="s">
        <v>3</v>
      </c>
      <c r="C7" s="463" t="s">
        <v>312</v>
      </c>
      <c r="D7" s="464"/>
      <c r="E7" s="465"/>
    </row>
    <row r="8" spans="1:7" ht="16.149999999999999" customHeight="1" x14ac:dyDescent="0.25">
      <c r="A8" s="4" t="s">
        <v>4</v>
      </c>
      <c r="B8" s="5" t="s">
        <v>5</v>
      </c>
      <c r="C8" s="466" t="s">
        <v>314</v>
      </c>
      <c r="D8" s="467"/>
      <c r="E8" s="468"/>
    </row>
    <row r="9" spans="1:7" ht="22.5" customHeight="1" x14ac:dyDescent="0.25">
      <c r="A9" s="4" t="s">
        <v>6</v>
      </c>
      <c r="B9" s="5" t="s">
        <v>7</v>
      </c>
      <c r="C9" s="466" t="s">
        <v>313</v>
      </c>
      <c r="D9" s="467"/>
      <c r="E9" s="468"/>
    </row>
    <row r="10" spans="1:7" ht="32.25" customHeight="1" x14ac:dyDescent="0.25">
      <c r="A10" s="4" t="s">
        <v>8</v>
      </c>
      <c r="B10" s="5" t="s">
        <v>9</v>
      </c>
      <c r="C10" s="466" t="s">
        <v>10</v>
      </c>
      <c r="D10" s="467"/>
      <c r="E10" s="468"/>
    </row>
    <row r="11" spans="1:7" x14ac:dyDescent="0.25">
      <c r="A11" s="454" t="s">
        <v>11</v>
      </c>
      <c r="B11" s="455"/>
      <c r="C11" s="455"/>
      <c r="D11" s="455"/>
      <c r="E11" s="456"/>
    </row>
    <row r="12" spans="1:7" ht="33.75" customHeight="1" x14ac:dyDescent="0.25">
      <c r="A12" s="469" t="s">
        <v>12</v>
      </c>
      <c r="B12" s="470"/>
      <c r="C12" s="7" t="s">
        <v>13</v>
      </c>
      <c r="D12" s="471" t="s">
        <v>332</v>
      </c>
      <c r="E12" s="472"/>
    </row>
    <row r="13" spans="1:7" ht="24.75" customHeight="1" x14ac:dyDescent="0.25">
      <c r="A13" s="473" t="s">
        <v>166</v>
      </c>
      <c r="B13" s="474"/>
      <c r="C13" s="8" t="s">
        <v>315</v>
      </c>
      <c r="D13" s="417">
        <v>1</v>
      </c>
      <c r="E13" s="419"/>
    </row>
    <row r="14" spans="1:7" ht="23.25" customHeight="1" x14ac:dyDescent="0.25">
      <c r="A14" s="457" t="s">
        <v>15</v>
      </c>
      <c r="B14" s="458"/>
      <c r="C14" s="458"/>
      <c r="D14" s="458"/>
      <c r="E14" s="459"/>
    </row>
    <row r="15" spans="1:7" x14ac:dyDescent="0.25">
      <c r="A15" s="460" t="s">
        <v>16</v>
      </c>
      <c r="B15" s="461"/>
      <c r="C15" s="461"/>
      <c r="D15" s="461"/>
      <c r="E15" s="462"/>
    </row>
    <row r="16" spans="1:7" ht="27.75" customHeight="1" x14ac:dyDescent="0.25">
      <c r="A16" s="409" t="s">
        <v>17</v>
      </c>
      <c r="B16" s="410"/>
      <c r="C16" s="410"/>
      <c r="D16" s="411"/>
      <c r="E16" s="56" t="s">
        <v>18</v>
      </c>
      <c r="G16" s="9"/>
    </row>
    <row r="17" spans="1:8" ht="31.5" customHeight="1" x14ac:dyDescent="0.25">
      <c r="A17" s="4">
        <v>1</v>
      </c>
      <c r="B17" s="10" t="s">
        <v>103</v>
      </c>
      <c r="C17" s="417" t="s">
        <v>316</v>
      </c>
      <c r="D17" s="418"/>
      <c r="E17" s="419"/>
    </row>
    <row r="18" spans="1:8" ht="31.5" customHeight="1" x14ac:dyDescent="0.25">
      <c r="A18" s="4">
        <v>2</v>
      </c>
      <c r="B18" s="10" t="s">
        <v>19</v>
      </c>
      <c r="C18" s="417" t="s">
        <v>317</v>
      </c>
      <c r="D18" s="418"/>
      <c r="E18" s="419"/>
    </row>
    <row r="19" spans="1:8" ht="31.5" customHeight="1" x14ac:dyDescent="0.25">
      <c r="A19" s="4">
        <v>3</v>
      </c>
      <c r="B19" s="10" t="s">
        <v>20</v>
      </c>
      <c r="C19" s="420">
        <v>1827</v>
      </c>
      <c r="D19" s="421"/>
      <c r="E19" s="422"/>
    </row>
    <row r="20" spans="1:8" ht="48" customHeight="1" x14ac:dyDescent="0.25">
      <c r="A20" s="4">
        <v>4</v>
      </c>
      <c r="B20" s="10" t="s">
        <v>22</v>
      </c>
      <c r="C20" s="417" t="s">
        <v>318</v>
      </c>
      <c r="D20" s="418"/>
      <c r="E20" s="419"/>
    </row>
    <row r="21" spans="1:8" ht="28.5" customHeight="1" x14ac:dyDescent="0.25">
      <c r="A21" s="4">
        <v>5</v>
      </c>
      <c r="B21" s="11" t="s">
        <v>23</v>
      </c>
      <c r="C21" s="423" t="s">
        <v>123</v>
      </c>
      <c r="D21" s="424"/>
      <c r="E21" s="425"/>
    </row>
    <row r="22" spans="1:8" s="6" customFormat="1" ht="27" customHeight="1" x14ac:dyDescent="0.25">
      <c r="A22" s="428" t="s">
        <v>24</v>
      </c>
      <c r="B22" s="429"/>
      <c r="C22" s="429"/>
      <c r="D22" s="429"/>
      <c r="E22" s="430"/>
    </row>
    <row r="23" spans="1:8" s="6" customFormat="1" ht="22.5" customHeight="1" x14ac:dyDescent="0.25">
      <c r="A23" s="57">
        <v>1</v>
      </c>
      <c r="B23" s="409" t="s">
        <v>25</v>
      </c>
      <c r="C23" s="410"/>
      <c r="D23" s="411"/>
      <c r="E23" s="56" t="s">
        <v>18</v>
      </c>
    </row>
    <row r="24" spans="1:8" ht="26.25" customHeight="1" x14ac:dyDescent="0.25">
      <c r="A24" s="12" t="s">
        <v>2</v>
      </c>
      <c r="B24" s="58" t="s">
        <v>27</v>
      </c>
      <c r="C24" s="379"/>
      <c r="D24" s="380"/>
      <c r="E24" s="172">
        <f>C19</f>
        <v>1827</v>
      </c>
    </row>
    <row r="25" spans="1:8" ht="26.25" customHeight="1" x14ac:dyDescent="0.25">
      <c r="A25" s="13" t="s">
        <v>4</v>
      </c>
      <c r="B25" s="59" t="s">
        <v>28</v>
      </c>
      <c r="C25" s="381" t="s">
        <v>114</v>
      </c>
      <c r="D25" s="382"/>
      <c r="E25" s="173">
        <f>TRUNC((+E24*30%),2)</f>
        <v>548.1</v>
      </c>
    </row>
    <row r="26" spans="1:8" x14ac:dyDescent="0.25">
      <c r="A26" s="13" t="s">
        <v>6</v>
      </c>
      <c r="B26" s="59" t="s">
        <v>29</v>
      </c>
      <c r="C26" s="383"/>
      <c r="D26" s="384"/>
      <c r="E26" s="173"/>
    </row>
    <row r="27" spans="1:8" x14ac:dyDescent="0.25">
      <c r="A27" s="13" t="s">
        <v>8</v>
      </c>
      <c r="B27" s="59" t="s">
        <v>30</v>
      </c>
      <c r="C27" s="383"/>
      <c r="D27" s="384"/>
      <c r="E27" s="173"/>
      <c r="H27" s="14"/>
    </row>
    <row r="28" spans="1:8" x14ac:dyDescent="0.2">
      <c r="A28" s="13" t="s">
        <v>31</v>
      </c>
      <c r="B28" s="59" t="s">
        <v>32</v>
      </c>
      <c r="C28" s="385"/>
      <c r="D28" s="384"/>
      <c r="E28" s="173"/>
      <c r="F28" s="60"/>
    </row>
    <row r="29" spans="1:8" x14ac:dyDescent="0.25">
      <c r="A29" s="398" t="s">
        <v>35</v>
      </c>
      <c r="B29" s="399"/>
      <c r="C29" s="399"/>
      <c r="D29" s="400"/>
      <c r="E29" s="171">
        <f>SUM(E24:E28)</f>
        <v>2375.1</v>
      </c>
    </row>
    <row r="30" spans="1:8" s="6" customFormat="1" ht="25.5" customHeight="1" x14ac:dyDescent="0.25">
      <c r="A30" s="401" t="s">
        <v>36</v>
      </c>
      <c r="B30" s="402"/>
      <c r="C30" s="402"/>
      <c r="D30" s="403"/>
      <c r="E30" s="171">
        <f>SUM(E29:E29)</f>
        <v>2375.1</v>
      </c>
    </row>
    <row r="31" spans="1:8" s="6" customFormat="1" ht="25.5" customHeight="1" x14ac:dyDescent="0.25">
      <c r="A31" s="428" t="s">
        <v>37</v>
      </c>
      <c r="B31" s="429"/>
      <c r="C31" s="429"/>
      <c r="D31" s="429"/>
      <c r="E31" s="430"/>
    </row>
    <row r="32" spans="1:8" s="6" customFormat="1" ht="25.5" customHeight="1" x14ac:dyDescent="0.25">
      <c r="A32" s="16"/>
      <c r="B32" s="404" t="s">
        <v>38</v>
      </c>
      <c r="C32" s="404"/>
      <c r="D32" s="404"/>
      <c r="E32" s="405"/>
    </row>
    <row r="33" spans="1:7" s="6" customFormat="1" ht="25.5" customHeight="1" x14ac:dyDescent="0.25">
      <c r="A33" s="57" t="s">
        <v>39</v>
      </c>
      <c r="B33" s="409" t="s">
        <v>40</v>
      </c>
      <c r="C33" s="410"/>
      <c r="D33" s="411"/>
      <c r="E33" s="56" t="s">
        <v>18</v>
      </c>
      <c r="G33" s="17"/>
    </row>
    <row r="34" spans="1:7" s="6" customFormat="1" ht="25.5" customHeight="1" x14ac:dyDescent="0.25">
      <c r="A34" s="18" t="s">
        <v>2</v>
      </c>
      <c r="B34" s="19" t="s">
        <v>320</v>
      </c>
      <c r="C34" s="20"/>
      <c r="D34" s="178">
        <f>(1/12)</f>
        <v>8.3333000000000004E-2</v>
      </c>
      <c r="E34" s="171">
        <f>TRUNC($E$30*D34,2)</f>
        <v>197.92</v>
      </c>
    </row>
    <row r="35" spans="1:7" s="6" customFormat="1" ht="25.5" customHeight="1" x14ac:dyDescent="0.25">
      <c r="A35" s="18" t="s">
        <v>4</v>
      </c>
      <c r="B35" s="426" t="s">
        <v>319</v>
      </c>
      <c r="C35" s="427"/>
      <c r="D35" s="176">
        <v>0.121</v>
      </c>
      <c r="E35" s="171">
        <f>TRUNC($E$30*D35,2)</f>
        <v>287.38</v>
      </c>
    </row>
    <row r="36" spans="1:7" s="6" customFormat="1" ht="25.5" customHeight="1" x14ac:dyDescent="0.25">
      <c r="A36" s="386" t="s">
        <v>35</v>
      </c>
      <c r="B36" s="387"/>
      <c r="C36" s="388"/>
      <c r="D36" s="177">
        <f>SUM(D34:D35)</f>
        <v>0.20433000000000001</v>
      </c>
      <c r="E36" s="171">
        <f>SUM(E34:E35)</f>
        <v>485.3</v>
      </c>
    </row>
    <row r="37" spans="1:7" s="6" customFormat="1" ht="25.5" customHeight="1" thickBot="1" x14ac:dyDescent="0.3">
      <c r="A37" s="389" t="s">
        <v>41</v>
      </c>
      <c r="B37" s="390"/>
      <c r="C37" s="390"/>
      <c r="D37" s="391"/>
      <c r="E37" s="179">
        <f>SUM(E36:E36)</f>
        <v>485.3</v>
      </c>
    </row>
    <row r="38" spans="1:7" s="6" customFormat="1" ht="25.5" customHeight="1" thickTop="1" thickBot="1" x14ac:dyDescent="0.3">
      <c r="A38" s="392" t="s">
        <v>42</v>
      </c>
      <c r="B38" s="392"/>
      <c r="C38" s="393"/>
      <c r="D38" s="21" t="s">
        <v>43</v>
      </c>
      <c r="E38" s="182">
        <f>E30</f>
        <v>2375.1</v>
      </c>
    </row>
    <row r="39" spans="1:7" s="6" customFormat="1" ht="22.5" customHeight="1" thickTop="1" thickBot="1" x14ac:dyDescent="0.3">
      <c r="A39" s="394"/>
      <c r="B39" s="394"/>
      <c r="C39" s="395"/>
      <c r="D39" s="21" t="s">
        <v>44</v>
      </c>
      <c r="E39" s="183">
        <f>E37</f>
        <v>485.3</v>
      </c>
    </row>
    <row r="40" spans="1:7" s="6" customFormat="1" ht="22.5" customHeight="1" thickTop="1" x14ac:dyDescent="0.25">
      <c r="A40" s="394"/>
      <c r="B40" s="394"/>
      <c r="C40" s="395"/>
      <c r="D40" s="181" t="s">
        <v>35</v>
      </c>
      <c r="E40" s="184">
        <f>SUM(E38:E39)</f>
        <v>2860.4</v>
      </c>
    </row>
    <row r="41" spans="1:7" s="6" customFormat="1" ht="42" customHeight="1" x14ac:dyDescent="0.25">
      <c r="A41" s="498" t="s">
        <v>321</v>
      </c>
      <c r="B41" s="499"/>
      <c r="C41" s="499"/>
      <c r="D41" s="499"/>
      <c r="E41" s="499"/>
      <c r="F41" s="22"/>
    </row>
    <row r="42" spans="1:7" s="6" customFormat="1" ht="22.5" customHeight="1" x14ac:dyDescent="0.25">
      <c r="A42" s="57" t="s">
        <v>45</v>
      </c>
      <c r="B42" s="409" t="s">
        <v>46</v>
      </c>
      <c r="C42" s="410"/>
      <c r="D42" s="411"/>
      <c r="E42" s="56" t="s">
        <v>18</v>
      </c>
      <c r="F42" s="22"/>
    </row>
    <row r="43" spans="1:7" s="6" customFormat="1" ht="22.5" customHeight="1" x14ac:dyDescent="0.25">
      <c r="A43" s="1" t="s">
        <v>2</v>
      </c>
      <c r="B43" s="396" t="s">
        <v>14</v>
      </c>
      <c r="C43" s="397"/>
      <c r="D43" s="24">
        <v>0.2</v>
      </c>
      <c r="E43" s="171">
        <f t="shared" ref="E43:E50" si="0">TRUNC($E$40*D43,2)</f>
        <v>572.08000000000004</v>
      </c>
      <c r="F43" s="22"/>
    </row>
    <row r="44" spans="1:7" s="6" customFormat="1" ht="22.5" customHeight="1" x14ac:dyDescent="0.25">
      <c r="A44" s="1" t="s">
        <v>4</v>
      </c>
      <c r="B44" s="396" t="s">
        <v>47</v>
      </c>
      <c r="C44" s="397"/>
      <c r="D44" s="197">
        <v>2.5000000000000001E-2</v>
      </c>
      <c r="E44" s="171">
        <f t="shared" si="0"/>
        <v>71.510000000000005</v>
      </c>
      <c r="F44" s="23"/>
    </row>
    <row r="45" spans="1:7" s="6" customFormat="1" ht="22.5" customHeight="1" x14ac:dyDescent="0.25">
      <c r="A45" s="1" t="s">
        <v>6</v>
      </c>
      <c r="B45" s="396" t="s">
        <v>115</v>
      </c>
      <c r="C45" s="397"/>
      <c r="D45" s="197">
        <v>0</v>
      </c>
      <c r="E45" s="171">
        <f t="shared" si="0"/>
        <v>0</v>
      </c>
    </row>
    <row r="46" spans="1:7" s="6" customFormat="1" ht="22.5" customHeight="1" x14ac:dyDescent="0.25">
      <c r="A46" s="1" t="s">
        <v>8</v>
      </c>
      <c r="B46" s="396" t="s">
        <v>48</v>
      </c>
      <c r="C46" s="397"/>
      <c r="D46" s="197">
        <v>1.4999999999999999E-2</v>
      </c>
      <c r="E46" s="171">
        <f t="shared" si="0"/>
        <v>42.9</v>
      </c>
      <c r="F46" s="22"/>
    </row>
    <row r="47" spans="1:7" s="6" customFormat="1" ht="22.5" customHeight="1" x14ac:dyDescent="0.25">
      <c r="A47" s="1" t="s">
        <v>31</v>
      </c>
      <c r="B47" s="396" t="s">
        <v>49</v>
      </c>
      <c r="C47" s="397"/>
      <c r="D47" s="197">
        <v>0.01</v>
      </c>
      <c r="E47" s="171">
        <f t="shared" si="0"/>
        <v>28.6</v>
      </c>
      <c r="F47" s="25"/>
    </row>
    <row r="48" spans="1:7" s="6" customFormat="1" ht="22.5" customHeight="1" x14ac:dyDescent="0.25">
      <c r="A48" s="1" t="s">
        <v>33</v>
      </c>
      <c r="B48" s="396" t="s">
        <v>50</v>
      </c>
      <c r="C48" s="397"/>
      <c r="D48" s="197">
        <v>6.0000000000000001E-3</v>
      </c>
      <c r="E48" s="171">
        <f t="shared" si="0"/>
        <v>17.16</v>
      </c>
    </row>
    <row r="49" spans="1:5" s="6" customFormat="1" ht="22.5" customHeight="1" x14ac:dyDescent="0.25">
      <c r="A49" s="1" t="s">
        <v>34</v>
      </c>
      <c r="B49" s="396" t="s">
        <v>51</v>
      </c>
      <c r="C49" s="397"/>
      <c r="D49" s="197">
        <v>2E-3</v>
      </c>
      <c r="E49" s="171">
        <f t="shared" si="0"/>
        <v>5.72</v>
      </c>
    </row>
    <row r="50" spans="1:5" s="6" customFormat="1" ht="22.5" customHeight="1" x14ac:dyDescent="0.25">
      <c r="A50" s="1" t="s">
        <v>52</v>
      </c>
      <c r="B50" s="396" t="s">
        <v>53</v>
      </c>
      <c r="C50" s="397"/>
      <c r="D50" s="197">
        <v>0.08</v>
      </c>
      <c r="E50" s="171">
        <f t="shared" si="0"/>
        <v>228.83</v>
      </c>
    </row>
    <row r="51" spans="1:5" s="6" customFormat="1" ht="22.5" customHeight="1" x14ac:dyDescent="0.25">
      <c r="A51" s="406" t="s">
        <v>35</v>
      </c>
      <c r="B51" s="407"/>
      <c r="C51" s="408"/>
      <c r="D51" s="185">
        <f>SUM(D43:D50)</f>
        <v>0.33800000000000002</v>
      </c>
      <c r="E51" s="186">
        <f>SUM(E43:E50)</f>
        <v>966.8</v>
      </c>
    </row>
    <row r="52" spans="1:5" s="6" customFormat="1" ht="25.5" customHeight="1" x14ac:dyDescent="0.25">
      <c r="A52" s="16"/>
      <c r="B52" s="404" t="s">
        <v>124</v>
      </c>
      <c r="C52" s="404"/>
      <c r="D52" s="404"/>
      <c r="E52" s="405"/>
    </row>
    <row r="53" spans="1:5" ht="25.5" customHeight="1" x14ac:dyDescent="0.25">
      <c r="A53" s="57" t="s">
        <v>54</v>
      </c>
      <c r="B53" s="409" t="s">
        <v>55</v>
      </c>
      <c r="C53" s="410"/>
      <c r="D53" s="411"/>
      <c r="E53" s="56" t="s">
        <v>18</v>
      </c>
    </row>
    <row r="54" spans="1:5" ht="25.5" customHeight="1" x14ac:dyDescent="0.25">
      <c r="A54" s="1" t="s">
        <v>2</v>
      </c>
      <c r="B54" s="475" t="s">
        <v>322</v>
      </c>
      <c r="C54" s="480"/>
      <c r="D54" s="476"/>
      <c r="E54" s="171">
        <f>'Uniforme + Transport. + V. Alim'!C34</f>
        <v>66.38</v>
      </c>
    </row>
    <row r="55" spans="1:5" ht="25.5" customHeight="1" x14ac:dyDescent="0.25">
      <c r="A55" s="1" t="s">
        <v>4</v>
      </c>
      <c r="B55" s="475" t="s">
        <v>323</v>
      </c>
      <c r="C55" s="480"/>
      <c r="D55" s="476"/>
      <c r="E55" s="171">
        <f>'Uniforme + Transport. + V. Alim'!F34</f>
        <v>220</v>
      </c>
    </row>
    <row r="56" spans="1:5" ht="25.5" customHeight="1" x14ac:dyDescent="0.25">
      <c r="A56" s="1" t="s">
        <v>6</v>
      </c>
      <c r="B56" s="475" t="s">
        <v>324</v>
      </c>
      <c r="C56" s="480"/>
      <c r="D56" s="476"/>
      <c r="E56" s="171">
        <f>TRUNC(((E30*3%)/12*3),2)</f>
        <v>17.809999999999999</v>
      </c>
    </row>
    <row r="57" spans="1:5" ht="25.5" customHeight="1" x14ac:dyDescent="0.25">
      <c r="A57" s="1" t="s">
        <v>8</v>
      </c>
      <c r="B57" s="475" t="s">
        <v>325</v>
      </c>
      <c r="C57" s="480"/>
      <c r="D57" s="476"/>
      <c r="E57" s="171">
        <v>5</v>
      </c>
    </row>
    <row r="58" spans="1:5" ht="25.5" customHeight="1" x14ac:dyDescent="0.25">
      <c r="A58" s="1" t="s">
        <v>31</v>
      </c>
      <c r="B58" s="475" t="s">
        <v>326</v>
      </c>
      <c r="C58" s="480"/>
      <c r="D58" s="476"/>
      <c r="E58" s="171">
        <v>18</v>
      </c>
    </row>
    <row r="59" spans="1:5" ht="35.25" customHeight="1" x14ac:dyDescent="0.25">
      <c r="A59" s="1" t="s">
        <v>33</v>
      </c>
      <c r="B59" s="475" t="s">
        <v>327</v>
      </c>
      <c r="C59" s="480"/>
      <c r="D59" s="476"/>
      <c r="E59" s="173">
        <v>24</v>
      </c>
    </row>
    <row r="60" spans="1:5" ht="25.5" customHeight="1" x14ac:dyDescent="0.25">
      <c r="A60" s="1" t="s">
        <v>34</v>
      </c>
      <c r="B60" s="475" t="s">
        <v>328</v>
      </c>
      <c r="C60" s="480"/>
      <c r="D60" s="476"/>
      <c r="E60" s="171">
        <v>0</v>
      </c>
    </row>
    <row r="61" spans="1:5" s="6" customFormat="1" ht="25.5" customHeight="1" x14ac:dyDescent="0.25">
      <c r="A61" s="386" t="s">
        <v>56</v>
      </c>
      <c r="B61" s="387"/>
      <c r="C61" s="387"/>
      <c r="D61" s="388"/>
      <c r="E61" s="186">
        <f>SUM(E54:E60)</f>
        <v>351.19</v>
      </c>
    </row>
    <row r="62" spans="1:5" s="6" customFormat="1" ht="25.5" customHeight="1" x14ac:dyDescent="0.25">
      <c r="A62" s="431" t="s">
        <v>57</v>
      </c>
      <c r="B62" s="431"/>
      <c r="C62" s="431"/>
      <c r="D62" s="431"/>
      <c r="E62" s="432"/>
    </row>
    <row r="63" spans="1:5" s="6" customFormat="1" ht="25.5" customHeight="1" x14ac:dyDescent="0.25">
      <c r="A63" s="26">
        <v>2</v>
      </c>
      <c r="B63" s="433" t="s">
        <v>58</v>
      </c>
      <c r="C63" s="434"/>
      <c r="D63" s="435"/>
      <c r="E63" s="193" t="s">
        <v>18</v>
      </c>
    </row>
    <row r="64" spans="1:5" s="6" customFormat="1" ht="25.5" customHeight="1" x14ac:dyDescent="0.25">
      <c r="A64" s="26" t="s">
        <v>39</v>
      </c>
      <c r="B64" s="61" t="s">
        <v>40</v>
      </c>
      <c r="C64" s="62"/>
      <c r="D64" s="63"/>
      <c r="E64" s="194">
        <f>E37</f>
        <v>485.3</v>
      </c>
    </row>
    <row r="65" spans="1:8" s="6" customFormat="1" ht="25.5" customHeight="1" x14ac:dyDescent="0.25">
      <c r="A65" s="26" t="s">
        <v>45</v>
      </c>
      <c r="B65" s="61" t="s">
        <v>46</v>
      </c>
      <c r="C65" s="62"/>
      <c r="D65" s="63"/>
      <c r="E65" s="194">
        <f>E51</f>
        <v>966.8</v>
      </c>
    </row>
    <row r="66" spans="1:8" s="6" customFormat="1" ht="25.5" customHeight="1" x14ac:dyDescent="0.25">
      <c r="A66" s="26" t="s">
        <v>54</v>
      </c>
      <c r="B66" s="61" t="s">
        <v>55</v>
      </c>
      <c r="C66" s="62"/>
      <c r="D66" s="63"/>
      <c r="E66" s="194">
        <f>E61</f>
        <v>351.19</v>
      </c>
    </row>
    <row r="67" spans="1:8" s="6" customFormat="1" ht="25.5" customHeight="1" x14ac:dyDescent="0.25">
      <c r="A67" s="491" t="s">
        <v>35</v>
      </c>
      <c r="B67" s="478"/>
      <c r="C67" s="478"/>
      <c r="D67" s="479"/>
      <c r="E67" s="195">
        <f>SUM(E64:E66)</f>
        <v>1803.29</v>
      </c>
    </row>
    <row r="68" spans="1:8" s="6" customFormat="1" ht="25.5" customHeight="1" x14ac:dyDescent="0.25">
      <c r="A68" s="436" t="s">
        <v>59</v>
      </c>
      <c r="B68" s="436"/>
      <c r="C68" s="436"/>
      <c r="D68" s="436"/>
      <c r="E68" s="436"/>
      <c r="H68" s="28"/>
    </row>
    <row r="69" spans="1:8" s="6" customFormat="1" ht="25.5" customHeight="1" x14ac:dyDescent="0.25">
      <c r="A69" s="200">
        <v>3</v>
      </c>
      <c r="B69" s="409" t="s">
        <v>60</v>
      </c>
      <c r="C69" s="437"/>
      <c r="D69" s="438"/>
      <c r="E69" s="56" t="s">
        <v>18</v>
      </c>
      <c r="H69" s="29"/>
    </row>
    <row r="70" spans="1:8" s="6" customFormat="1" ht="25.5" customHeight="1" x14ac:dyDescent="0.25">
      <c r="A70" s="199" t="s">
        <v>2</v>
      </c>
      <c r="B70" s="415" t="s">
        <v>61</v>
      </c>
      <c r="C70" s="416"/>
      <c r="D70" s="178">
        <f>((1/12)*5%)</f>
        <v>4.1669999999999997E-3</v>
      </c>
      <c r="E70" s="201">
        <f>TRUNC(($E$30)*D70,2)</f>
        <v>9.89</v>
      </c>
    </row>
    <row r="71" spans="1:8" s="6" customFormat="1" ht="25.5" customHeight="1" x14ac:dyDescent="0.25">
      <c r="A71" s="199" t="s">
        <v>4</v>
      </c>
      <c r="B71" s="415" t="s">
        <v>116</v>
      </c>
      <c r="C71" s="416"/>
      <c r="D71" s="198">
        <f>+D50</f>
        <v>0.08</v>
      </c>
      <c r="E71" s="201">
        <f>TRUNC(+E70*D71,2)</f>
        <v>0.79</v>
      </c>
    </row>
    <row r="72" spans="1:8" s="6" customFormat="1" ht="25.5" customHeight="1" x14ac:dyDescent="0.25">
      <c r="A72" s="199" t="s">
        <v>6</v>
      </c>
      <c r="B72" s="415" t="s">
        <v>329</v>
      </c>
      <c r="C72" s="416"/>
      <c r="D72" s="178">
        <f>(0.4*0.08)*0.05</f>
        <v>1.6000000000000001E-3</v>
      </c>
      <c r="E72" s="201">
        <f>TRUNC(($E$30)*D72,2)</f>
        <v>3.8</v>
      </c>
    </row>
    <row r="73" spans="1:8" s="6" customFormat="1" ht="25.5" customHeight="1" x14ac:dyDescent="0.25">
      <c r="A73" s="199" t="s">
        <v>8</v>
      </c>
      <c r="B73" s="503" t="s">
        <v>62</v>
      </c>
      <c r="C73" s="504"/>
      <c r="D73" s="198">
        <f>((7/30)/12)*100%</f>
        <v>1.9439999999999999E-2</v>
      </c>
      <c r="E73" s="201">
        <f>TRUNC(($E$30)*D73,2)</f>
        <v>46.17</v>
      </c>
    </row>
    <row r="74" spans="1:8" s="6" customFormat="1" ht="38.25" customHeight="1" x14ac:dyDescent="0.25">
      <c r="A74" s="199" t="s">
        <v>31</v>
      </c>
      <c r="B74" s="415" t="s">
        <v>104</v>
      </c>
      <c r="C74" s="416"/>
      <c r="D74" s="198">
        <f>+D51</f>
        <v>0.33800000000000002</v>
      </c>
      <c r="E74" s="201">
        <f>TRUNC(+E73*D74,2)</f>
        <v>15.6</v>
      </c>
    </row>
    <row r="75" spans="1:8" s="6" customFormat="1" ht="25.5" customHeight="1" x14ac:dyDescent="0.25">
      <c r="A75" s="199" t="s">
        <v>33</v>
      </c>
      <c r="B75" s="505" t="s">
        <v>330</v>
      </c>
      <c r="C75" s="506"/>
      <c r="D75" s="196">
        <f>(40%*8%)*95%</f>
        <v>3.04E-2</v>
      </c>
      <c r="E75" s="201">
        <f>TRUNC(($E$30)*D75,2)</f>
        <v>72.2</v>
      </c>
    </row>
    <row r="76" spans="1:8" s="6" customFormat="1" ht="16.149999999999999" customHeight="1" thickBot="1" x14ac:dyDescent="0.3">
      <c r="A76" s="507" t="s">
        <v>35</v>
      </c>
      <c r="B76" s="508"/>
      <c r="C76" s="508"/>
      <c r="D76" s="509"/>
      <c r="E76" s="202">
        <f>SUM(E70:E75)</f>
        <v>148.44999999999999</v>
      </c>
    </row>
    <row r="77" spans="1:8" s="6" customFormat="1" ht="22.5" customHeight="1" thickTop="1" thickBot="1" x14ac:dyDescent="0.3">
      <c r="A77" s="489" t="s">
        <v>63</v>
      </c>
      <c r="B77" s="489"/>
      <c r="C77" s="489"/>
      <c r="D77" s="21" t="s">
        <v>43</v>
      </c>
      <c r="E77" s="180">
        <f>E30</f>
        <v>2375.1</v>
      </c>
    </row>
    <row r="78" spans="1:8" s="6" customFormat="1" ht="22.5" customHeight="1" thickTop="1" thickBot="1" x14ac:dyDescent="0.3">
      <c r="A78" s="489"/>
      <c r="B78" s="489"/>
      <c r="C78" s="489"/>
      <c r="D78" s="21" t="s">
        <v>64</v>
      </c>
      <c r="E78" s="180">
        <f>E67</f>
        <v>1803.29</v>
      </c>
    </row>
    <row r="79" spans="1:8" s="6" customFormat="1" ht="22.5" customHeight="1" thickTop="1" thickBot="1" x14ac:dyDescent="0.3">
      <c r="A79" s="489"/>
      <c r="B79" s="489"/>
      <c r="C79" s="489"/>
      <c r="D79" s="21" t="s">
        <v>65</v>
      </c>
      <c r="E79" s="180">
        <f>E76</f>
        <v>148.44999999999999</v>
      </c>
    </row>
    <row r="80" spans="1:8" s="6" customFormat="1" ht="23.25" customHeight="1" thickTop="1" thickBot="1" x14ac:dyDescent="0.3">
      <c r="A80" s="489"/>
      <c r="B80" s="489"/>
      <c r="C80" s="489"/>
      <c r="D80" s="31" t="s">
        <v>56</v>
      </c>
      <c r="E80" s="180">
        <f>SUM(E77:E79)</f>
        <v>4326.84</v>
      </c>
    </row>
    <row r="81" spans="1:5" s="6" customFormat="1" ht="23.25" customHeight="1" thickTop="1" x14ac:dyDescent="0.25">
      <c r="A81" s="428" t="s">
        <v>66</v>
      </c>
      <c r="B81" s="429"/>
      <c r="C81" s="429"/>
      <c r="D81" s="430"/>
      <c r="E81" s="175" t="s">
        <v>26</v>
      </c>
    </row>
    <row r="82" spans="1:5" s="6" customFormat="1" ht="26.25" customHeight="1" x14ac:dyDescent="0.25">
      <c r="A82" s="500" t="s">
        <v>117</v>
      </c>
      <c r="B82" s="501"/>
      <c r="C82" s="501"/>
      <c r="D82" s="501"/>
      <c r="E82" s="502"/>
    </row>
    <row r="83" spans="1:5" s="6" customFormat="1" ht="26.25" customHeight="1" x14ac:dyDescent="0.25">
      <c r="A83" s="57" t="s">
        <v>67</v>
      </c>
      <c r="B83" s="492" t="s">
        <v>105</v>
      </c>
      <c r="C83" s="493"/>
      <c r="D83" s="494"/>
      <c r="E83" s="56" t="s">
        <v>18</v>
      </c>
    </row>
    <row r="84" spans="1:5" s="6" customFormat="1" ht="26.25" customHeight="1" x14ac:dyDescent="0.25">
      <c r="A84" s="32" t="s">
        <v>2</v>
      </c>
      <c r="B84" s="477" t="s">
        <v>106</v>
      </c>
      <c r="C84" s="477"/>
      <c r="D84" s="192">
        <f>(( 1+1/3)/12)/12</f>
        <v>9.2599999999999991E-3</v>
      </c>
      <c r="E84" s="201">
        <f>TRUNC(+D84*$E$80,2)</f>
        <v>40.06</v>
      </c>
    </row>
    <row r="85" spans="1:5" s="6" customFormat="1" ht="26.25" customHeight="1" x14ac:dyDescent="0.25">
      <c r="A85" s="33" t="s">
        <v>4</v>
      </c>
      <c r="B85" s="477" t="s">
        <v>107</v>
      </c>
      <c r="C85" s="477"/>
      <c r="D85" s="196">
        <f>((2/30)/12)</f>
        <v>5.5599999999999998E-3</v>
      </c>
      <c r="E85" s="201">
        <f>TRUNC(+D85*$E$80,2)</f>
        <v>24.05</v>
      </c>
    </row>
    <row r="86" spans="1:5" s="6" customFormat="1" ht="26.25" customHeight="1" x14ac:dyDescent="0.25">
      <c r="A86" s="33" t="s">
        <v>6</v>
      </c>
      <c r="B86" s="477" t="s">
        <v>108</v>
      </c>
      <c r="C86" s="477"/>
      <c r="D86" s="192">
        <f>((5/30)/12)*0.02</f>
        <v>2.7999999999999998E-4</v>
      </c>
      <c r="E86" s="201">
        <f>TRUNC(+D86*$E$80,2)</f>
        <v>1.21</v>
      </c>
    </row>
    <row r="87" spans="1:5" s="6" customFormat="1" ht="26.25" customHeight="1" x14ac:dyDescent="0.25">
      <c r="A87" s="33" t="s">
        <v>8</v>
      </c>
      <c r="B87" s="477" t="s">
        <v>109</v>
      </c>
      <c r="C87" s="477"/>
      <c r="D87" s="192">
        <f>((15/30)/12)*0.08</f>
        <v>3.3300000000000001E-3</v>
      </c>
      <c r="E87" s="201">
        <f>TRUNC(+D87*$E$80,2)</f>
        <v>14.4</v>
      </c>
    </row>
    <row r="88" spans="1:5" s="6" customFormat="1" ht="26.25" customHeight="1" x14ac:dyDescent="0.25">
      <c r="A88" s="33" t="s">
        <v>31</v>
      </c>
      <c r="B88" s="477" t="s">
        <v>110</v>
      </c>
      <c r="C88" s="477"/>
      <c r="D88" s="204">
        <f>(4/12)/12*0.02*100/100</f>
        <v>5.5999999999999995E-4</v>
      </c>
      <c r="E88" s="201">
        <f t="shared" ref="E88:E89" si="1">TRUNC(+D88*$E$80,2)</f>
        <v>2.42</v>
      </c>
    </row>
    <row r="89" spans="1:5" s="6" customFormat="1" ht="26.25" customHeight="1" x14ac:dyDescent="0.25">
      <c r="A89" s="33" t="s">
        <v>33</v>
      </c>
      <c r="B89" s="477" t="s">
        <v>111</v>
      </c>
      <c r="C89" s="477"/>
      <c r="D89" s="192">
        <v>0</v>
      </c>
      <c r="E89" s="201">
        <f t="shared" si="1"/>
        <v>0</v>
      </c>
    </row>
    <row r="90" spans="1:5" s="6" customFormat="1" ht="26.25" customHeight="1" x14ac:dyDescent="0.25">
      <c r="A90" s="401" t="s">
        <v>35</v>
      </c>
      <c r="B90" s="402"/>
      <c r="C90" s="403"/>
      <c r="D90" s="203"/>
      <c r="E90" s="186">
        <f>SUM(E84:E89)</f>
        <v>82.14</v>
      </c>
    </row>
    <row r="91" spans="1:5" s="6" customFormat="1" ht="23.25" customHeight="1" x14ac:dyDescent="0.25">
      <c r="A91" s="495" t="s">
        <v>331</v>
      </c>
      <c r="B91" s="496"/>
      <c r="C91" s="496"/>
      <c r="D91" s="496"/>
      <c r="E91" s="497"/>
    </row>
    <row r="92" spans="1:5" s="6" customFormat="1" ht="23.25" customHeight="1" x14ac:dyDescent="0.25">
      <c r="A92" s="57" t="s">
        <v>68</v>
      </c>
      <c r="B92" s="492" t="s">
        <v>118</v>
      </c>
      <c r="C92" s="493"/>
      <c r="D92" s="494"/>
      <c r="E92" s="56" t="s">
        <v>18</v>
      </c>
    </row>
    <row r="93" spans="1:5" s="6" customFormat="1" ht="59.25" customHeight="1" x14ac:dyDescent="0.25">
      <c r="A93" s="34" t="s">
        <v>2</v>
      </c>
      <c r="B93" s="475" t="s">
        <v>119</v>
      </c>
      <c r="C93" s="476"/>
      <c r="D93" s="24"/>
      <c r="E93" s="205">
        <v>0</v>
      </c>
    </row>
    <row r="94" spans="1:5" s="6" customFormat="1" ht="15.6" customHeight="1" x14ac:dyDescent="0.25">
      <c r="A94" s="401" t="s">
        <v>35</v>
      </c>
      <c r="B94" s="402"/>
      <c r="C94" s="403"/>
      <c r="D94" s="203"/>
      <c r="E94" s="186">
        <f>SUM(E93)</f>
        <v>0</v>
      </c>
    </row>
    <row r="95" spans="1:5" s="6" customFormat="1" ht="20.25" customHeight="1" x14ac:dyDescent="0.25">
      <c r="A95" s="490" t="s">
        <v>69</v>
      </c>
      <c r="B95" s="490"/>
      <c r="C95" s="490"/>
      <c r="D95" s="490"/>
      <c r="E95" s="490"/>
    </row>
    <row r="96" spans="1:5" s="6" customFormat="1" x14ac:dyDescent="0.25">
      <c r="A96" s="26">
        <v>4</v>
      </c>
      <c r="B96" s="433" t="s">
        <v>70</v>
      </c>
      <c r="C96" s="434"/>
      <c r="D96" s="435"/>
      <c r="E96" s="27" t="s">
        <v>18</v>
      </c>
    </row>
    <row r="97" spans="1:6" s="6" customFormat="1" ht="31.15" customHeight="1" x14ac:dyDescent="0.25">
      <c r="A97" s="26" t="s">
        <v>67</v>
      </c>
      <c r="B97" s="61" t="s">
        <v>105</v>
      </c>
      <c r="C97" s="62"/>
      <c r="D97" s="63"/>
      <c r="E97" s="194">
        <f>+E90</f>
        <v>82.14</v>
      </c>
    </row>
    <row r="98" spans="1:6" s="6" customFormat="1" x14ac:dyDescent="0.25">
      <c r="A98" s="26" t="s">
        <v>68</v>
      </c>
      <c r="B98" s="61" t="s">
        <v>118</v>
      </c>
      <c r="C98" s="62"/>
      <c r="D98" s="63"/>
      <c r="E98" s="186">
        <f>+E94</f>
        <v>0</v>
      </c>
    </row>
    <row r="99" spans="1:6" s="6" customFormat="1" ht="15" customHeight="1" x14ac:dyDescent="0.25">
      <c r="A99" s="64"/>
      <c r="B99" s="478" t="s">
        <v>35</v>
      </c>
      <c r="C99" s="478"/>
      <c r="D99" s="479"/>
      <c r="E99" s="195">
        <f>SUM(E97:E98)</f>
        <v>82.14</v>
      </c>
    </row>
    <row r="100" spans="1:6" s="6" customFormat="1" ht="25.5" customHeight="1" x14ac:dyDescent="0.25">
      <c r="A100" s="401" t="s">
        <v>71</v>
      </c>
      <c r="B100" s="402"/>
      <c r="C100" s="402"/>
      <c r="D100" s="403"/>
      <c r="E100" s="186">
        <f>SUM(E99:E99)</f>
        <v>82.14</v>
      </c>
    </row>
    <row r="101" spans="1:6" s="6" customFormat="1" x14ac:dyDescent="0.25">
      <c r="A101" s="428" t="s">
        <v>72</v>
      </c>
      <c r="B101" s="429"/>
      <c r="C101" s="429"/>
      <c r="D101" s="430"/>
      <c r="E101" s="174"/>
    </row>
    <row r="102" spans="1:6" s="6" customFormat="1" x14ac:dyDescent="0.25">
      <c r="A102" s="57">
        <v>5</v>
      </c>
      <c r="B102" s="409" t="s">
        <v>73</v>
      </c>
      <c r="C102" s="410"/>
      <c r="D102" s="411"/>
      <c r="E102" s="56" t="s">
        <v>18</v>
      </c>
    </row>
    <row r="103" spans="1:6" s="6" customFormat="1" ht="25.5" customHeight="1" x14ac:dyDescent="0.25">
      <c r="A103" s="1" t="s">
        <v>2</v>
      </c>
      <c r="B103" s="412" t="s">
        <v>333</v>
      </c>
      <c r="C103" s="413"/>
      <c r="D103" s="414"/>
      <c r="E103" s="201">
        <f>'Uniforme + Transport. + V. Alim'!F23</f>
        <v>0</v>
      </c>
    </row>
    <row r="104" spans="1:6" s="6" customFormat="1" ht="21.75" customHeight="1" x14ac:dyDescent="0.25">
      <c r="A104" s="1" t="s">
        <v>4</v>
      </c>
      <c r="B104" s="412" t="s">
        <v>334</v>
      </c>
      <c r="C104" s="413"/>
      <c r="D104" s="414"/>
      <c r="E104" s="205">
        <v>0</v>
      </c>
    </row>
    <row r="105" spans="1:6" s="6" customFormat="1" x14ac:dyDescent="0.25">
      <c r="A105" s="1" t="s">
        <v>6</v>
      </c>
      <c r="B105" s="412" t="s">
        <v>335</v>
      </c>
      <c r="C105" s="413"/>
      <c r="D105" s="414"/>
      <c r="E105" s="205">
        <v>0</v>
      </c>
      <c r="F105" s="22"/>
    </row>
    <row r="106" spans="1:6" s="6" customFormat="1" ht="18.75" customHeight="1" x14ac:dyDescent="0.25">
      <c r="A106" s="1" t="s">
        <v>8</v>
      </c>
      <c r="B106" s="412" t="s">
        <v>336</v>
      </c>
      <c r="C106" s="413"/>
      <c r="D106" s="414"/>
      <c r="E106" s="201">
        <v>7</v>
      </c>
      <c r="F106" s="22"/>
    </row>
    <row r="107" spans="1:6" s="6" customFormat="1" ht="16.149999999999999" customHeight="1" thickBot="1" x14ac:dyDescent="0.3">
      <c r="A107" s="401" t="s">
        <v>74</v>
      </c>
      <c r="B107" s="402"/>
      <c r="C107" s="402"/>
      <c r="D107" s="403"/>
      <c r="E107" s="186">
        <f>SUM(E103:E106)</f>
        <v>7</v>
      </c>
      <c r="F107" s="22"/>
    </row>
    <row r="108" spans="1:6" s="6" customFormat="1" ht="22.5" customHeight="1" thickTop="1" thickBot="1" x14ac:dyDescent="0.3">
      <c r="A108" s="489" t="s">
        <v>75</v>
      </c>
      <c r="B108" s="489"/>
      <c r="C108" s="489"/>
      <c r="D108" s="21" t="s">
        <v>43</v>
      </c>
      <c r="E108" s="180">
        <f>E30</f>
        <v>2375.1</v>
      </c>
    </row>
    <row r="109" spans="1:6" s="6" customFormat="1" ht="22.5" customHeight="1" thickTop="1" thickBot="1" x14ac:dyDescent="0.3">
      <c r="A109" s="489"/>
      <c r="B109" s="489"/>
      <c r="C109" s="489"/>
      <c r="D109" s="21" t="s">
        <v>64</v>
      </c>
      <c r="E109" s="180">
        <f>E67</f>
        <v>1803.29</v>
      </c>
    </row>
    <row r="110" spans="1:6" s="6" customFormat="1" ht="22.5" customHeight="1" thickTop="1" thickBot="1" x14ac:dyDescent="0.3">
      <c r="A110" s="489"/>
      <c r="B110" s="489"/>
      <c r="C110" s="489"/>
      <c r="D110" s="21" t="s">
        <v>65</v>
      </c>
      <c r="E110" s="180">
        <f>E76</f>
        <v>148.44999999999999</v>
      </c>
    </row>
    <row r="111" spans="1:6" s="6" customFormat="1" ht="22.5" customHeight="1" thickTop="1" thickBot="1" x14ac:dyDescent="0.3">
      <c r="A111" s="489"/>
      <c r="B111" s="489"/>
      <c r="C111" s="489"/>
      <c r="D111" s="21" t="s">
        <v>76</v>
      </c>
      <c r="E111" s="180">
        <f>E100</f>
        <v>82.14</v>
      </c>
    </row>
    <row r="112" spans="1:6" s="6" customFormat="1" ht="22.5" customHeight="1" thickTop="1" thickBot="1" x14ac:dyDescent="0.3">
      <c r="A112" s="489"/>
      <c r="B112" s="489"/>
      <c r="C112" s="489"/>
      <c r="D112" s="21" t="s">
        <v>77</v>
      </c>
      <c r="E112" s="180">
        <f>E107</f>
        <v>7</v>
      </c>
    </row>
    <row r="113" spans="1:5" s="6" customFormat="1" ht="22.5" customHeight="1" thickTop="1" thickBot="1" x14ac:dyDescent="0.3">
      <c r="A113" s="489"/>
      <c r="B113" s="489"/>
      <c r="C113" s="489"/>
      <c r="D113" s="31" t="s">
        <v>56</v>
      </c>
      <c r="E113" s="180">
        <f>SUM(E108:E112)</f>
        <v>4415.9799999999996</v>
      </c>
    </row>
    <row r="114" spans="1:5" s="6" customFormat="1" ht="13.5" thickTop="1" x14ac:dyDescent="0.25">
      <c r="A114" s="428" t="s">
        <v>78</v>
      </c>
      <c r="B114" s="429"/>
      <c r="C114" s="429" t="s">
        <v>79</v>
      </c>
      <c r="D114" s="430" t="s">
        <v>80</v>
      </c>
      <c r="E114" s="174"/>
    </row>
    <row r="115" spans="1:5" s="6" customFormat="1" x14ac:dyDescent="0.25">
      <c r="A115" s="57">
        <v>6</v>
      </c>
      <c r="B115" s="409" t="s">
        <v>81</v>
      </c>
      <c r="C115" s="410"/>
      <c r="D115" s="411"/>
      <c r="E115" s="56" t="s">
        <v>18</v>
      </c>
    </row>
    <row r="116" spans="1:5" s="6" customFormat="1" ht="31.15" customHeight="1" x14ac:dyDescent="0.25">
      <c r="A116" s="36" t="s">
        <v>2</v>
      </c>
      <c r="B116" s="35" t="s">
        <v>82</v>
      </c>
      <c r="C116" s="381">
        <v>0</v>
      </c>
      <c r="D116" s="382"/>
      <c r="E116" s="201">
        <f>TRUNC(+E113*C116,2)</f>
        <v>0</v>
      </c>
    </row>
    <row r="117" spans="1:5" s="6" customFormat="1" ht="31.9" customHeight="1" thickBot="1" x14ac:dyDescent="0.3">
      <c r="A117" s="36" t="s">
        <v>4</v>
      </c>
      <c r="B117" s="35" t="s">
        <v>83</v>
      </c>
      <c r="C117" s="482">
        <v>0</v>
      </c>
      <c r="D117" s="483"/>
      <c r="E117" s="201">
        <f>TRUNC(C117*(+E113+E116),2)</f>
        <v>0</v>
      </c>
    </row>
    <row r="118" spans="1:5" s="6" customFormat="1" ht="27" customHeight="1" thickBot="1" x14ac:dyDescent="0.3">
      <c r="A118" s="37"/>
      <c r="B118" s="65" t="s">
        <v>84</v>
      </c>
      <c r="C118" s="484" t="s">
        <v>85</v>
      </c>
      <c r="D118" s="485"/>
      <c r="E118" s="218">
        <f>SUM(E116:E117,E113)</f>
        <v>4415.9799999999996</v>
      </c>
    </row>
    <row r="119" spans="1:5" s="6" customFormat="1" ht="13.5" thickBot="1" x14ac:dyDescent="0.3">
      <c r="A119" s="38" t="s">
        <v>6</v>
      </c>
      <c r="B119" s="39" t="s">
        <v>86</v>
      </c>
      <c r="C119" s="206">
        <f>(D126*100)</f>
        <v>8.65</v>
      </c>
      <c r="D119" s="207">
        <f>+(100-C119)/100</f>
        <v>0.91349999999999998</v>
      </c>
      <c r="E119" s="219">
        <f>E118/D119</f>
        <v>4834.13</v>
      </c>
    </row>
    <row r="120" spans="1:5" s="6" customFormat="1" ht="15.6" customHeight="1" x14ac:dyDescent="0.25">
      <c r="A120" s="40"/>
      <c r="B120" s="41" t="s">
        <v>87</v>
      </c>
      <c r="C120" s="208"/>
      <c r="D120" s="209"/>
      <c r="E120" s="30"/>
    </row>
    <row r="121" spans="1:5" s="6" customFormat="1" x14ac:dyDescent="0.25">
      <c r="A121" s="40"/>
      <c r="B121" s="42" t="s">
        <v>120</v>
      </c>
      <c r="C121" s="210"/>
      <c r="D121" s="192">
        <v>6.4999999999999997E-3</v>
      </c>
      <c r="E121" s="201">
        <f>+E119*D121</f>
        <v>31.42</v>
      </c>
    </row>
    <row r="122" spans="1:5" s="6" customFormat="1" x14ac:dyDescent="0.25">
      <c r="A122" s="40"/>
      <c r="B122" s="42" t="s">
        <v>121</v>
      </c>
      <c r="C122" s="210"/>
      <c r="D122" s="192">
        <v>0.03</v>
      </c>
      <c r="E122" s="201">
        <f>+E119*D122</f>
        <v>145.02000000000001</v>
      </c>
    </row>
    <row r="123" spans="1:5" s="6" customFormat="1" x14ac:dyDescent="0.25">
      <c r="A123" s="40"/>
      <c r="B123" s="43" t="s">
        <v>88</v>
      </c>
      <c r="C123" s="211"/>
      <c r="D123" s="212"/>
      <c r="E123" s="201"/>
    </row>
    <row r="124" spans="1:5" s="6" customFormat="1" x14ac:dyDescent="0.25">
      <c r="A124" s="40"/>
      <c r="B124" s="43" t="s">
        <v>89</v>
      </c>
      <c r="C124" s="211"/>
      <c r="D124" s="213"/>
      <c r="E124" s="201"/>
    </row>
    <row r="125" spans="1:5" s="6" customFormat="1" x14ac:dyDescent="0.25">
      <c r="A125" s="40"/>
      <c r="B125" s="44" t="s">
        <v>122</v>
      </c>
      <c r="C125" s="214"/>
      <c r="D125" s="215">
        <v>0.05</v>
      </c>
      <c r="E125" s="220">
        <f>+E119*D125</f>
        <v>241.71</v>
      </c>
    </row>
    <row r="126" spans="1:5" s="6" customFormat="1" x14ac:dyDescent="0.25">
      <c r="A126" s="45"/>
      <c r="B126" s="46" t="s">
        <v>90</v>
      </c>
      <c r="C126" s="216"/>
      <c r="D126" s="217">
        <f>SUM(D121:D125)</f>
        <v>8.6499999999999994E-2</v>
      </c>
      <c r="E126" s="221">
        <f>SUM(E121:E125)</f>
        <v>418.15</v>
      </c>
    </row>
    <row r="127" spans="1:5" s="6" customFormat="1" ht="15.6" customHeight="1" x14ac:dyDescent="0.25">
      <c r="A127" s="486" t="s">
        <v>91</v>
      </c>
      <c r="B127" s="487"/>
      <c r="C127" s="487"/>
      <c r="D127" s="488"/>
      <c r="E127" s="222">
        <f>E116+E117+E126</f>
        <v>418.15</v>
      </c>
    </row>
    <row r="128" spans="1:5" s="6" customFormat="1" ht="25.5" customHeight="1" x14ac:dyDescent="0.25">
      <c r="A128" s="401" t="s">
        <v>92</v>
      </c>
      <c r="B128" s="402"/>
      <c r="C128" s="402"/>
      <c r="D128" s="403"/>
      <c r="E128" s="186">
        <f>SUM(E127:E127)</f>
        <v>418.15</v>
      </c>
    </row>
    <row r="129" spans="1:7" s="6" customFormat="1" ht="15.6" customHeight="1" x14ac:dyDescent="0.25">
      <c r="A129" s="401" t="s">
        <v>93</v>
      </c>
      <c r="B129" s="402"/>
      <c r="C129" s="402"/>
      <c r="D129" s="402"/>
      <c r="E129" s="403"/>
    </row>
    <row r="130" spans="1:7" s="6" customFormat="1" ht="15.6" customHeight="1" x14ac:dyDescent="0.25">
      <c r="A130" s="401" t="s">
        <v>94</v>
      </c>
      <c r="B130" s="402"/>
      <c r="C130" s="402"/>
      <c r="D130" s="403"/>
      <c r="E130" s="47" t="s">
        <v>18</v>
      </c>
    </row>
    <row r="131" spans="1:7" s="6" customFormat="1" x14ac:dyDescent="0.25">
      <c r="A131" s="36" t="s">
        <v>2</v>
      </c>
      <c r="B131" s="475" t="s">
        <v>95</v>
      </c>
      <c r="C131" s="480"/>
      <c r="D131" s="476"/>
      <c r="E131" s="201">
        <f>E30</f>
        <v>2375.1</v>
      </c>
    </row>
    <row r="132" spans="1:7" s="6" customFormat="1" ht="15.6" customHeight="1" x14ac:dyDescent="0.25">
      <c r="A132" s="36" t="s">
        <v>4</v>
      </c>
      <c r="B132" s="475" t="s">
        <v>96</v>
      </c>
      <c r="C132" s="480"/>
      <c r="D132" s="476"/>
      <c r="E132" s="201">
        <f>+E67</f>
        <v>1803.29</v>
      </c>
    </row>
    <row r="133" spans="1:7" s="6" customFormat="1" x14ac:dyDescent="0.25">
      <c r="A133" s="36" t="s">
        <v>6</v>
      </c>
      <c r="B133" s="475" t="s">
        <v>97</v>
      </c>
      <c r="C133" s="480"/>
      <c r="D133" s="476"/>
      <c r="E133" s="201">
        <f>+E76</f>
        <v>148.44999999999999</v>
      </c>
    </row>
    <row r="134" spans="1:7" s="6" customFormat="1" ht="15.6" customHeight="1" x14ac:dyDescent="0.25">
      <c r="A134" s="36" t="s">
        <v>8</v>
      </c>
      <c r="B134" s="475" t="s">
        <v>98</v>
      </c>
      <c r="C134" s="480"/>
      <c r="D134" s="476"/>
      <c r="E134" s="201">
        <f>+E100</f>
        <v>82.14</v>
      </c>
    </row>
    <row r="135" spans="1:7" s="6" customFormat="1" ht="46.9" customHeight="1" x14ac:dyDescent="0.25">
      <c r="A135" s="36" t="s">
        <v>31</v>
      </c>
      <c r="B135" s="48" t="s">
        <v>99</v>
      </c>
      <c r="C135" s="49"/>
      <c r="D135" s="50"/>
      <c r="E135" s="201">
        <f>+E107</f>
        <v>7</v>
      </c>
      <c r="G135" s="6" t="s">
        <v>338</v>
      </c>
    </row>
    <row r="136" spans="1:7" s="6" customFormat="1" ht="15.6" customHeight="1" x14ac:dyDescent="0.25">
      <c r="A136" s="406" t="s">
        <v>100</v>
      </c>
      <c r="B136" s="407"/>
      <c r="C136" s="408"/>
      <c r="D136" s="51"/>
      <c r="E136" s="186">
        <f>SUM(E131:E135)</f>
        <v>4415.9799999999996</v>
      </c>
    </row>
    <row r="137" spans="1:7" s="6" customFormat="1" x14ac:dyDescent="0.25">
      <c r="A137" s="36" t="s">
        <v>33</v>
      </c>
      <c r="B137" s="475" t="s">
        <v>101</v>
      </c>
      <c r="C137" s="480"/>
      <c r="D137" s="476"/>
      <c r="E137" s="201">
        <f>E128</f>
        <v>418.15</v>
      </c>
      <c r="F137" s="17"/>
    </row>
    <row r="138" spans="1:7" s="6" customFormat="1" ht="16.149999999999999" customHeight="1" x14ac:dyDescent="0.25">
      <c r="A138" s="481" t="s">
        <v>102</v>
      </c>
      <c r="B138" s="481"/>
      <c r="C138" s="481"/>
      <c r="D138" s="481"/>
      <c r="E138" s="224">
        <f>+E136+E137</f>
        <v>4834.13</v>
      </c>
      <c r="F138" s="66"/>
    </row>
    <row r="139" spans="1:7" x14ac:dyDescent="0.25">
      <c r="A139" s="378"/>
      <c r="B139" s="378"/>
      <c r="C139" s="378"/>
      <c r="D139" s="378"/>
      <c r="E139" s="265"/>
    </row>
  </sheetData>
  <mergeCells count="117">
    <mergeCell ref="B59:D59"/>
    <mergeCell ref="B60:D60"/>
    <mergeCell ref="A67:D67"/>
    <mergeCell ref="B83:D83"/>
    <mergeCell ref="B92:D92"/>
    <mergeCell ref="A91:E91"/>
    <mergeCell ref="A41:E41"/>
    <mergeCell ref="B53:D53"/>
    <mergeCell ref="B42:D42"/>
    <mergeCell ref="B54:D54"/>
    <mergeCell ref="A77:C80"/>
    <mergeCell ref="A81:D81"/>
    <mergeCell ref="A82:E82"/>
    <mergeCell ref="A90:C90"/>
    <mergeCell ref="B55:D55"/>
    <mergeCell ref="B56:D56"/>
    <mergeCell ref="B57:D57"/>
    <mergeCell ref="B58:D58"/>
    <mergeCell ref="B72:C72"/>
    <mergeCell ref="B73:C73"/>
    <mergeCell ref="B74:C74"/>
    <mergeCell ref="B75:C75"/>
    <mergeCell ref="A76:D76"/>
    <mergeCell ref="A61:D61"/>
    <mergeCell ref="A107:D107"/>
    <mergeCell ref="A108:C113"/>
    <mergeCell ref="A114:D114"/>
    <mergeCell ref="B104:D104"/>
    <mergeCell ref="B105:D105"/>
    <mergeCell ref="B106:D106"/>
    <mergeCell ref="B115:D115"/>
    <mergeCell ref="A95:E95"/>
    <mergeCell ref="B96:D96"/>
    <mergeCell ref="A100:D100"/>
    <mergeCell ref="A101:D101"/>
    <mergeCell ref="B137:D137"/>
    <mergeCell ref="A138:D138"/>
    <mergeCell ref="A129:E129"/>
    <mergeCell ref="A130:D130"/>
    <mergeCell ref="B131:D131"/>
    <mergeCell ref="B132:D132"/>
    <mergeCell ref="B133:D133"/>
    <mergeCell ref="B134:D134"/>
    <mergeCell ref="C116:D116"/>
    <mergeCell ref="C117:D117"/>
    <mergeCell ref="C118:D118"/>
    <mergeCell ref="A127:D127"/>
    <mergeCell ref="A128:D128"/>
    <mergeCell ref="A136:C136"/>
    <mergeCell ref="A94:C94"/>
    <mergeCell ref="B93:C93"/>
    <mergeCell ref="B84:C84"/>
    <mergeCell ref="B85:C85"/>
    <mergeCell ref="B86:C86"/>
    <mergeCell ref="B87:C87"/>
    <mergeCell ref="B88:C88"/>
    <mergeCell ref="B89:C89"/>
    <mergeCell ref="B99:D99"/>
    <mergeCell ref="A62:E62"/>
    <mergeCell ref="B63:D63"/>
    <mergeCell ref="A68:E68"/>
    <mergeCell ref="B69:D69"/>
    <mergeCell ref="B70:C70"/>
    <mergeCell ref="A1:E2"/>
    <mergeCell ref="A3:C3"/>
    <mergeCell ref="D3:E3"/>
    <mergeCell ref="A4:C4"/>
    <mergeCell ref="D4:E4"/>
    <mergeCell ref="B5:E5"/>
    <mergeCell ref="A6:E6"/>
    <mergeCell ref="A14:E14"/>
    <mergeCell ref="A15:E15"/>
    <mergeCell ref="C7:E7"/>
    <mergeCell ref="C8:E8"/>
    <mergeCell ref="C9:E9"/>
    <mergeCell ref="C10:E10"/>
    <mergeCell ref="A11:E11"/>
    <mergeCell ref="A12:B12"/>
    <mergeCell ref="D12:E12"/>
    <mergeCell ref="A16:D16"/>
    <mergeCell ref="A13:B13"/>
    <mergeCell ref="D13:E13"/>
    <mergeCell ref="C17:E17"/>
    <mergeCell ref="C18:E18"/>
    <mergeCell ref="C19:E19"/>
    <mergeCell ref="C20:E20"/>
    <mergeCell ref="C21:E21"/>
    <mergeCell ref="B35:C35"/>
    <mergeCell ref="B32:E32"/>
    <mergeCell ref="B23:D23"/>
    <mergeCell ref="A22:E22"/>
    <mergeCell ref="A31:E31"/>
    <mergeCell ref="B33:D33"/>
    <mergeCell ref="A139:D139"/>
    <mergeCell ref="C24:D24"/>
    <mergeCell ref="C25:D25"/>
    <mergeCell ref="C26:D26"/>
    <mergeCell ref="C27:D27"/>
    <mergeCell ref="C28:D28"/>
    <mergeCell ref="A36:C36"/>
    <mergeCell ref="A37:D37"/>
    <mergeCell ref="A38:C40"/>
    <mergeCell ref="B43:C43"/>
    <mergeCell ref="A29:D29"/>
    <mergeCell ref="A30:D30"/>
    <mergeCell ref="B52:E52"/>
    <mergeCell ref="B48:C48"/>
    <mergeCell ref="B49:C49"/>
    <mergeCell ref="B50:C50"/>
    <mergeCell ref="A51:C51"/>
    <mergeCell ref="B44:C44"/>
    <mergeCell ref="B45:C45"/>
    <mergeCell ref="B46:C46"/>
    <mergeCell ref="B47:C47"/>
    <mergeCell ref="B102:D102"/>
    <mergeCell ref="B103:D103"/>
    <mergeCell ref="B71:C71"/>
  </mergeCells>
  <hyperlinks>
    <hyperlink ref="B73" location="Plan2!A1" display="Aviso prévio trabalhado" xr:uid="{00000000-0004-0000-0000-000000000000}"/>
    <hyperlink ref="B48" r:id="rId1" display="08 - Sebrae 0,3% ou 0,6% - IN nº 03, MPS/SRP/2005, Anexo II e III ver código da Tabela" xr:uid="{00000000-0004-0000-0000-000001000000}"/>
  </hyperlinks>
  <pageMargins left="0.511811024" right="0.511811024" top="0.78740157499999996" bottom="0.78740157499999996" header="0.31496062000000002" footer="0.31496062000000002"/>
  <pageSetup paperSize="9" scale="41" fitToHeight="0" orientation="portrait"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EC98E-F70B-4BAF-B109-D7D0937AA555}">
  <sheetPr>
    <pageSetUpPr fitToPage="1"/>
  </sheetPr>
  <dimension ref="A1:I139"/>
  <sheetViews>
    <sheetView topLeftCell="A4" zoomScale="115" zoomScaleNormal="115" workbookViewId="0">
      <selection activeCell="B105" sqref="B105:D105"/>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39" t="s">
        <v>0</v>
      </c>
      <c r="B1" s="440"/>
      <c r="C1" s="440"/>
      <c r="D1" s="440"/>
      <c r="E1" s="441"/>
    </row>
    <row r="2" spans="1:7" ht="13.5" customHeight="1" thickBot="1" x14ac:dyDescent="0.3">
      <c r="A2" s="442"/>
      <c r="B2" s="443"/>
      <c r="C2" s="443"/>
      <c r="D2" s="443"/>
      <c r="E2" s="444"/>
    </row>
    <row r="3" spans="1:7" ht="15" customHeight="1" x14ac:dyDescent="0.25">
      <c r="A3" s="445" t="s">
        <v>112</v>
      </c>
      <c r="B3" s="446"/>
      <c r="C3" s="447"/>
      <c r="D3" s="448" t="s">
        <v>310</v>
      </c>
      <c r="E3" s="449"/>
    </row>
    <row r="4" spans="1:7" ht="15" customHeight="1" x14ac:dyDescent="0.25">
      <c r="A4" s="445" t="s">
        <v>113</v>
      </c>
      <c r="B4" s="446"/>
      <c r="C4" s="447"/>
      <c r="D4" s="450" t="s">
        <v>397</v>
      </c>
      <c r="E4" s="451"/>
    </row>
    <row r="5" spans="1:7" x14ac:dyDescent="0.25">
      <c r="A5" s="241"/>
      <c r="B5" s="452" t="s">
        <v>311</v>
      </c>
      <c r="C5" s="452"/>
      <c r="D5" s="452"/>
      <c r="E5" s="453"/>
    </row>
    <row r="6" spans="1:7" x14ac:dyDescent="0.25">
      <c r="A6" s="454" t="s">
        <v>1</v>
      </c>
      <c r="B6" s="455"/>
      <c r="C6" s="455"/>
      <c r="D6" s="455"/>
      <c r="E6" s="456"/>
    </row>
    <row r="7" spans="1:7" ht="31.5" customHeight="1" x14ac:dyDescent="0.25">
      <c r="A7" s="4" t="s">
        <v>2</v>
      </c>
      <c r="B7" s="5" t="s">
        <v>3</v>
      </c>
      <c r="C7" s="463" t="s">
        <v>312</v>
      </c>
      <c r="D7" s="464"/>
      <c r="E7" s="465"/>
    </row>
    <row r="8" spans="1:7" ht="16.149999999999999" customHeight="1" x14ac:dyDescent="0.25">
      <c r="A8" s="4" t="s">
        <v>4</v>
      </c>
      <c r="B8" s="5" t="s">
        <v>5</v>
      </c>
      <c r="C8" s="466" t="s">
        <v>314</v>
      </c>
      <c r="D8" s="467"/>
      <c r="E8" s="468"/>
    </row>
    <row r="9" spans="1:7" ht="22.5" customHeight="1" x14ac:dyDescent="0.25">
      <c r="A9" s="4" t="s">
        <v>6</v>
      </c>
      <c r="B9" s="5" t="s">
        <v>7</v>
      </c>
      <c r="C9" s="466" t="s">
        <v>313</v>
      </c>
      <c r="D9" s="467"/>
      <c r="E9" s="468"/>
    </row>
    <row r="10" spans="1:7" ht="32.25" customHeight="1" x14ac:dyDescent="0.25">
      <c r="A10" s="4" t="s">
        <v>8</v>
      </c>
      <c r="B10" s="5" t="s">
        <v>9</v>
      </c>
      <c r="C10" s="466" t="s">
        <v>10</v>
      </c>
      <c r="D10" s="467"/>
      <c r="E10" s="468"/>
    </row>
    <row r="11" spans="1:7" x14ac:dyDescent="0.25">
      <c r="A11" s="454" t="s">
        <v>11</v>
      </c>
      <c r="B11" s="455"/>
      <c r="C11" s="455"/>
      <c r="D11" s="455"/>
      <c r="E11" s="456"/>
    </row>
    <row r="12" spans="1:7" ht="33.75" customHeight="1" x14ac:dyDescent="0.25">
      <c r="A12" s="469" t="s">
        <v>12</v>
      </c>
      <c r="B12" s="470"/>
      <c r="C12" s="7" t="s">
        <v>13</v>
      </c>
      <c r="D12" s="471" t="s">
        <v>332</v>
      </c>
      <c r="E12" s="472"/>
    </row>
    <row r="13" spans="1:7" ht="24.75" customHeight="1" x14ac:dyDescent="0.25">
      <c r="A13" s="473" t="s">
        <v>181</v>
      </c>
      <c r="B13" s="474"/>
      <c r="C13" s="8" t="s">
        <v>315</v>
      </c>
      <c r="D13" s="417">
        <v>12</v>
      </c>
      <c r="E13" s="419"/>
    </row>
    <row r="14" spans="1:7" ht="23.25" customHeight="1" x14ac:dyDescent="0.25">
      <c r="A14" s="457" t="s">
        <v>15</v>
      </c>
      <c r="B14" s="458"/>
      <c r="C14" s="458"/>
      <c r="D14" s="458"/>
      <c r="E14" s="459"/>
    </row>
    <row r="15" spans="1:7" x14ac:dyDescent="0.25">
      <c r="A15" s="460" t="s">
        <v>16</v>
      </c>
      <c r="B15" s="461"/>
      <c r="C15" s="461"/>
      <c r="D15" s="461"/>
      <c r="E15" s="462"/>
    </row>
    <row r="16" spans="1:7" ht="27.75" customHeight="1" x14ac:dyDescent="0.25">
      <c r="A16" s="409" t="s">
        <v>17</v>
      </c>
      <c r="B16" s="410"/>
      <c r="C16" s="410"/>
      <c r="D16" s="411"/>
      <c r="E16" s="56" t="s">
        <v>18</v>
      </c>
      <c r="G16" s="9"/>
    </row>
    <row r="17" spans="1:8" ht="31.5" customHeight="1" x14ac:dyDescent="0.25">
      <c r="A17" s="4">
        <v>1</v>
      </c>
      <c r="B17" s="10" t="s">
        <v>103</v>
      </c>
      <c r="C17" s="417" t="s">
        <v>341</v>
      </c>
      <c r="D17" s="418"/>
      <c r="E17" s="419"/>
    </row>
    <row r="18" spans="1:8" ht="31.5" customHeight="1" x14ac:dyDescent="0.25">
      <c r="A18" s="4">
        <v>2</v>
      </c>
      <c r="B18" s="10" t="s">
        <v>19</v>
      </c>
      <c r="C18" s="417" t="s">
        <v>342</v>
      </c>
      <c r="D18" s="418"/>
      <c r="E18" s="419"/>
    </row>
    <row r="19" spans="1:8" ht="31.5" customHeight="1" x14ac:dyDescent="0.25">
      <c r="A19" s="4">
        <v>3</v>
      </c>
      <c r="B19" s="10" t="s">
        <v>20</v>
      </c>
      <c r="C19" s="420">
        <v>1108</v>
      </c>
      <c r="D19" s="421"/>
      <c r="E19" s="422"/>
    </row>
    <row r="20" spans="1:8" ht="48" customHeight="1" x14ac:dyDescent="0.25">
      <c r="A20" s="4">
        <v>4</v>
      </c>
      <c r="B20" s="10" t="s">
        <v>22</v>
      </c>
      <c r="C20" s="417" t="s">
        <v>318</v>
      </c>
      <c r="D20" s="418"/>
      <c r="E20" s="419"/>
    </row>
    <row r="21" spans="1:8" ht="28.5" customHeight="1" x14ac:dyDescent="0.25">
      <c r="A21" s="4">
        <v>5</v>
      </c>
      <c r="B21" s="11" t="s">
        <v>23</v>
      </c>
      <c r="C21" s="423" t="s">
        <v>123</v>
      </c>
      <c r="D21" s="424"/>
      <c r="E21" s="425"/>
    </row>
    <row r="22" spans="1:8" s="6" customFormat="1" ht="27" customHeight="1" x14ac:dyDescent="0.25">
      <c r="A22" s="428" t="s">
        <v>24</v>
      </c>
      <c r="B22" s="429"/>
      <c r="C22" s="429"/>
      <c r="D22" s="429"/>
      <c r="E22" s="430"/>
    </row>
    <row r="23" spans="1:8" s="6" customFormat="1" ht="22.5" customHeight="1" x14ac:dyDescent="0.25">
      <c r="A23" s="57">
        <v>1</v>
      </c>
      <c r="B23" s="409" t="s">
        <v>25</v>
      </c>
      <c r="C23" s="410"/>
      <c r="D23" s="411"/>
      <c r="E23" s="56" t="s">
        <v>18</v>
      </c>
    </row>
    <row r="24" spans="1:8" ht="26.25" customHeight="1" x14ac:dyDescent="0.25">
      <c r="A24" s="12" t="s">
        <v>2</v>
      </c>
      <c r="B24" s="58" t="s">
        <v>27</v>
      </c>
      <c r="C24" s="379"/>
      <c r="D24" s="380"/>
      <c r="E24" s="172">
        <v>1108</v>
      </c>
    </row>
    <row r="25" spans="1:8" ht="26.25" customHeight="1" x14ac:dyDescent="0.25">
      <c r="A25" s="13" t="s">
        <v>4</v>
      </c>
      <c r="B25" s="59" t="s">
        <v>28</v>
      </c>
      <c r="C25" s="381" t="s">
        <v>114</v>
      </c>
      <c r="D25" s="382"/>
      <c r="E25" s="173">
        <f>TRUNC((+E24*30%),2)</f>
        <v>332.4</v>
      </c>
    </row>
    <row r="26" spans="1:8" x14ac:dyDescent="0.25">
      <c r="A26" s="13" t="s">
        <v>6</v>
      </c>
      <c r="B26" s="59" t="s">
        <v>29</v>
      </c>
      <c r="C26" s="383"/>
      <c r="D26" s="384"/>
      <c r="E26" s="173"/>
    </row>
    <row r="27" spans="1:8" x14ac:dyDescent="0.25">
      <c r="A27" s="13" t="s">
        <v>8</v>
      </c>
      <c r="B27" s="59" t="s">
        <v>30</v>
      </c>
      <c r="C27" s="383"/>
      <c r="D27" s="384"/>
      <c r="E27" s="173"/>
      <c r="H27" s="14"/>
    </row>
    <row r="28" spans="1:8" x14ac:dyDescent="0.2">
      <c r="A28" s="13" t="s">
        <v>31</v>
      </c>
      <c r="B28" s="59" t="s">
        <v>32</v>
      </c>
      <c r="C28" s="385"/>
      <c r="D28" s="384"/>
      <c r="E28" s="173"/>
      <c r="F28" s="60"/>
    </row>
    <row r="29" spans="1:8" x14ac:dyDescent="0.25">
      <c r="A29" s="398" t="s">
        <v>35</v>
      </c>
      <c r="B29" s="399"/>
      <c r="C29" s="399"/>
      <c r="D29" s="400"/>
      <c r="E29" s="171">
        <f>SUM(E24:E28)</f>
        <v>1440.4</v>
      </c>
    </row>
    <row r="30" spans="1:8" s="6" customFormat="1" ht="25.5" customHeight="1" x14ac:dyDescent="0.25">
      <c r="A30" s="401" t="s">
        <v>36</v>
      </c>
      <c r="B30" s="402"/>
      <c r="C30" s="402"/>
      <c r="D30" s="403"/>
      <c r="E30" s="171">
        <f>SUM(E29:E29)</f>
        <v>1440.4</v>
      </c>
    </row>
    <row r="31" spans="1:8" s="6" customFormat="1" ht="25.5" customHeight="1" x14ac:dyDescent="0.25">
      <c r="A31" s="428" t="s">
        <v>37</v>
      </c>
      <c r="B31" s="429"/>
      <c r="C31" s="429"/>
      <c r="D31" s="429"/>
      <c r="E31" s="430"/>
    </row>
    <row r="32" spans="1:8" s="6" customFormat="1" ht="25.5" customHeight="1" x14ac:dyDescent="0.25">
      <c r="A32" s="16"/>
      <c r="B32" s="404" t="s">
        <v>38</v>
      </c>
      <c r="C32" s="404"/>
      <c r="D32" s="404"/>
      <c r="E32" s="405"/>
    </row>
    <row r="33" spans="1:7" s="6" customFormat="1" ht="25.5" customHeight="1" x14ac:dyDescent="0.25">
      <c r="A33" s="57" t="s">
        <v>39</v>
      </c>
      <c r="B33" s="409" t="s">
        <v>40</v>
      </c>
      <c r="C33" s="410"/>
      <c r="D33" s="411"/>
      <c r="E33" s="56" t="s">
        <v>18</v>
      </c>
      <c r="G33" s="17"/>
    </row>
    <row r="34" spans="1:7" s="6" customFormat="1" ht="25.5" customHeight="1" x14ac:dyDescent="0.25">
      <c r="A34" s="18" t="s">
        <v>2</v>
      </c>
      <c r="B34" s="19" t="s">
        <v>320</v>
      </c>
      <c r="C34" s="20"/>
      <c r="D34" s="178">
        <f>(1/12)</f>
        <v>8.3333000000000004E-2</v>
      </c>
      <c r="E34" s="171">
        <f>TRUNC($E$30*D34,2)</f>
        <v>120.03</v>
      </c>
    </row>
    <row r="35" spans="1:7" s="6" customFormat="1" ht="25.5" customHeight="1" x14ac:dyDescent="0.25">
      <c r="A35" s="18" t="s">
        <v>4</v>
      </c>
      <c r="B35" s="426" t="s">
        <v>319</v>
      </c>
      <c r="C35" s="427"/>
      <c r="D35" s="176">
        <v>0.121</v>
      </c>
      <c r="E35" s="171">
        <f>TRUNC($E$30*D35,2)</f>
        <v>174.28</v>
      </c>
    </row>
    <row r="36" spans="1:7" s="6" customFormat="1" ht="25.5" customHeight="1" x14ac:dyDescent="0.25">
      <c r="A36" s="386" t="s">
        <v>35</v>
      </c>
      <c r="B36" s="387"/>
      <c r="C36" s="388"/>
      <c r="D36" s="177">
        <f>SUM(D34:D35)</f>
        <v>0.20433000000000001</v>
      </c>
      <c r="E36" s="171">
        <f>SUM(E34:E35)</f>
        <v>294.31</v>
      </c>
    </row>
    <row r="37" spans="1:7" s="6" customFormat="1" ht="25.5" customHeight="1" thickBot="1" x14ac:dyDescent="0.3">
      <c r="A37" s="389" t="s">
        <v>41</v>
      </c>
      <c r="B37" s="390"/>
      <c r="C37" s="390"/>
      <c r="D37" s="391"/>
      <c r="E37" s="179">
        <f>SUM(E36:E36)</f>
        <v>294.31</v>
      </c>
    </row>
    <row r="38" spans="1:7" s="6" customFormat="1" ht="25.5" customHeight="1" thickTop="1" thickBot="1" x14ac:dyDescent="0.3">
      <c r="A38" s="392" t="s">
        <v>42</v>
      </c>
      <c r="B38" s="392"/>
      <c r="C38" s="393"/>
      <c r="D38" s="239" t="s">
        <v>43</v>
      </c>
      <c r="E38" s="182">
        <f>E30</f>
        <v>1440.4</v>
      </c>
    </row>
    <row r="39" spans="1:7" s="6" customFormat="1" ht="22.5" customHeight="1" thickTop="1" thickBot="1" x14ac:dyDescent="0.3">
      <c r="A39" s="394"/>
      <c r="B39" s="394"/>
      <c r="C39" s="395"/>
      <c r="D39" s="239" t="s">
        <v>44</v>
      </c>
      <c r="E39" s="183">
        <f>E37</f>
        <v>294.31</v>
      </c>
    </row>
    <row r="40" spans="1:7" s="6" customFormat="1" ht="22.5" customHeight="1" thickTop="1" x14ac:dyDescent="0.25">
      <c r="A40" s="394"/>
      <c r="B40" s="394"/>
      <c r="C40" s="395"/>
      <c r="D40" s="181" t="s">
        <v>35</v>
      </c>
      <c r="E40" s="184">
        <f>SUM(E38:E39)</f>
        <v>1734.71</v>
      </c>
    </row>
    <row r="41" spans="1:7" s="6" customFormat="1" ht="42" customHeight="1" x14ac:dyDescent="0.25">
      <c r="A41" s="498" t="s">
        <v>321</v>
      </c>
      <c r="B41" s="499"/>
      <c r="C41" s="499"/>
      <c r="D41" s="499"/>
      <c r="E41" s="499"/>
      <c r="F41" s="22"/>
    </row>
    <row r="42" spans="1:7" s="6" customFormat="1" ht="22.5" customHeight="1" x14ac:dyDescent="0.25">
      <c r="A42" s="57" t="s">
        <v>45</v>
      </c>
      <c r="B42" s="409" t="s">
        <v>46</v>
      </c>
      <c r="C42" s="410"/>
      <c r="D42" s="411"/>
      <c r="E42" s="56" t="s">
        <v>18</v>
      </c>
      <c r="F42" s="22"/>
    </row>
    <row r="43" spans="1:7" s="6" customFormat="1" ht="22.5" customHeight="1" x14ac:dyDescent="0.25">
      <c r="A43" s="1" t="s">
        <v>2</v>
      </c>
      <c r="B43" s="396" t="s">
        <v>14</v>
      </c>
      <c r="C43" s="397"/>
      <c r="D43" s="24">
        <v>0.2</v>
      </c>
      <c r="E43" s="171">
        <f t="shared" ref="E43:E50" si="0">TRUNC($E$40*D43,2)</f>
        <v>346.94</v>
      </c>
      <c r="F43" s="22"/>
    </row>
    <row r="44" spans="1:7" s="6" customFormat="1" ht="22.5" customHeight="1" x14ac:dyDescent="0.25">
      <c r="A44" s="1" t="s">
        <v>4</v>
      </c>
      <c r="B44" s="396" t="s">
        <v>47</v>
      </c>
      <c r="C44" s="397"/>
      <c r="D44" s="197">
        <v>2.5000000000000001E-2</v>
      </c>
      <c r="E44" s="171">
        <f t="shared" si="0"/>
        <v>43.36</v>
      </c>
      <c r="F44" s="23"/>
    </row>
    <row r="45" spans="1:7" s="6" customFormat="1" ht="22.5" customHeight="1" x14ac:dyDescent="0.25">
      <c r="A45" s="1" t="s">
        <v>6</v>
      </c>
      <c r="B45" s="396" t="s">
        <v>115</v>
      </c>
      <c r="C45" s="397"/>
      <c r="D45" s="197">
        <v>0</v>
      </c>
      <c r="E45" s="171">
        <f t="shared" si="0"/>
        <v>0</v>
      </c>
    </row>
    <row r="46" spans="1:7" s="6" customFormat="1" ht="22.5" customHeight="1" x14ac:dyDescent="0.25">
      <c r="A46" s="1" t="s">
        <v>8</v>
      </c>
      <c r="B46" s="396" t="s">
        <v>48</v>
      </c>
      <c r="C46" s="397"/>
      <c r="D46" s="197">
        <v>1.4999999999999999E-2</v>
      </c>
      <c r="E46" s="171">
        <f t="shared" si="0"/>
        <v>26.02</v>
      </c>
      <c r="F46" s="22"/>
    </row>
    <row r="47" spans="1:7" s="6" customFormat="1" ht="22.5" customHeight="1" x14ac:dyDescent="0.25">
      <c r="A47" s="1" t="s">
        <v>31</v>
      </c>
      <c r="B47" s="396" t="s">
        <v>49</v>
      </c>
      <c r="C47" s="397"/>
      <c r="D47" s="197">
        <v>0.01</v>
      </c>
      <c r="E47" s="171">
        <f t="shared" si="0"/>
        <v>17.34</v>
      </c>
      <c r="F47" s="25"/>
    </row>
    <row r="48" spans="1:7" s="6" customFormat="1" ht="22.5" customHeight="1" x14ac:dyDescent="0.25">
      <c r="A48" s="1" t="s">
        <v>33</v>
      </c>
      <c r="B48" s="396" t="s">
        <v>50</v>
      </c>
      <c r="C48" s="397"/>
      <c r="D48" s="197">
        <v>6.0000000000000001E-3</v>
      </c>
      <c r="E48" s="171">
        <f t="shared" si="0"/>
        <v>10.4</v>
      </c>
    </row>
    <row r="49" spans="1:5" s="6" customFormat="1" ht="22.5" customHeight="1" x14ac:dyDescent="0.25">
      <c r="A49" s="1" t="s">
        <v>34</v>
      </c>
      <c r="B49" s="396" t="s">
        <v>51</v>
      </c>
      <c r="C49" s="397"/>
      <c r="D49" s="197">
        <v>2E-3</v>
      </c>
      <c r="E49" s="171">
        <f t="shared" si="0"/>
        <v>3.46</v>
      </c>
    </row>
    <row r="50" spans="1:5" s="6" customFormat="1" ht="22.5" customHeight="1" x14ac:dyDescent="0.25">
      <c r="A50" s="1" t="s">
        <v>52</v>
      </c>
      <c r="B50" s="396" t="s">
        <v>53</v>
      </c>
      <c r="C50" s="397"/>
      <c r="D50" s="197">
        <v>0.08</v>
      </c>
      <c r="E50" s="171">
        <f t="shared" si="0"/>
        <v>138.77000000000001</v>
      </c>
    </row>
    <row r="51" spans="1:5" s="6" customFormat="1" ht="22.5" customHeight="1" x14ac:dyDescent="0.25">
      <c r="A51" s="406" t="s">
        <v>35</v>
      </c>
      <c r="B51" s="407"/>
      <c r="C51" s="408"/>
      <c r="D51" s="185">
        <f>SUM(D43:D50)</f>
        <v>0.33800000000000002</v>
      </c>
      <c r="E51" s="186">
        <f>SUM(E43:E50)</f>
        <v>586.29</v>
      </c>
    </row>
    <row r="52" spans="1:5" s="6" customFormat="1" ht="25.5" customHeight="1" x14ac:dyDescent="0.25">
      <c r="A52" s="16"/>
      <c r="B52" s="404" t="s">
        <v>124</v>
      </c>
      <c r="C52" s="404"/>
      <c r="D52" s="404"/>
      <c r="E52" s="405"/>
    </row>
    <row r="53" spans="1:5" ht="25.5" customHeight="1" x14ac:dyDescent="0.25">
      <c r="A53" s="57" t="s">
        <v>54</v>
      </c>
      <c r="B53" s="409" t="s">
        <v>55</v>
      </c>
      <c r="C53" s="410"/>
      <c r="D53" s="411"/>
      <c r="E53" s="56" t="s">
        <v>18</v>
      </c>
    </row>
    <row r="54" spans="1:5" ht="25.5" customHeight="1" x14ac:dyDescent="0.25">
      <c r="A54" s="1" t="s">
        <v>2</v>
      </c>
      <c r="B54" s="475" t="s">
        <v>322</v>
      </c>
      <c r="C54" s="480"/>
      <c r="D54" s="476"/>
      <c r="E54" s="171">
        <f>'Uniforme + Transport. + V. Alim'!C44</f>
        <v>109.52</v>
      </c>
    </row>
    <row r="55" spans="1:5" ht="25.5" customHeight="1" x14ac:dyDescent="0.25">
      <c r="A55" s="1" t="s">
        <v>4</v>
      </c>
      <c r="B55" s="475" t="s">
        <v>323</v>
      </c>
      <c r="C55" s="480"/>
      <c r="D55" s="476"/>
      <c r="E55" s="171">
        <f>'Uniforme + Transport. + V. Alim'!F34</f>
        <v>220</v>
      </c>
    </row>
    <row r="56" spans="1:5" ht="25.5" customHeight="1" x14ac:dyDescent="0.25">
      <c r="A56" s="1" t="s">
        <v>6</v>
      </c>
      <c r="B56" s="475" t="s">
        <v>324</v>
      </c>
      <c r="C56" s="480"/>
      <c r="D56" s="476"/>
      <c r="E56" s="171">
        <f>TRUNC(((E30*3%)/12*3),2)</f>
        <v>10.8</v>
      </c>
    </row>
    <row r="57" spans="1:5" ht="25.5" customHeight="1" x14ac:dyDescent="0.25">
      <c r="A57" s="1" t="s">
        <v>8</v>
      </c>
      <c r="B57" s="475" t="s">
        <v>325</v>
      </c>
      <c r="C57" s="480"/>
      <c r="D57" s="476"/>
      <c r="E57" s="171">
        <v>5</v>
      </c>
    </row>
    <row r="58" spans="1:5" ht="25.5" customHeight="1" x14ac:dyDescent="0.25">
      <c r="A58" s="1" t="s">
        <v>31</v>
      </c>
      <c r="B58" s="475" t="s">
        <v>326</v>
      </c>
      <c r="C58" s="480"/>
      <c r="D58" s="476"/>
      <c r="E58" s="171">
        <v>18</v>
      </c>
    </row>
    <row r="59" spans="1:5" ht="35.25" customHeight="1" x14ac:dyDescent="0.25">
      <c r="A59" s="1" t="s">
        <v>33</v>
      </c>
      <c r="B59" s="475" t="s">
        <v>327</v>
      </c>
      <c r="C59" s="480"/>
      <c r="D59" s="476"/>
      <c r="E59" s="173">
        <v>24</v>
      </c>
    </row>
    <row r="60" spans="1:5" ht="25.5" customHeight="1" x14ac:dyDescent="0.25">
      <c r="A60" s="1" t="s">
        <v>34</v>
      </c>
      <c r="B60" s="475" t="s">
        <v>328</v>
      </c>
      <c r="C60" s="480"/>
      <c r="D60" s="476"/>
      <c r="E60" s="171">
        <v>0</v>
      </c>
    </row>
    <row r="61" spans="1:5" s="6" customFormat="1" ht="25.5" customHeight="1" x14ac:dyDescent="0.25">
      <c r="A61" s="386" t="s">
        <v>56</v>
      </c>
      <c r="B61" s="387"/>
      <c r="C61" s="387"/>
      <c r="D61" s="388"/>
      <c r="E61" s="186">
        <f>SUM(E54:E60)</f>
        <v>387.32</v>
      </c>
    </row>
    <row r="62" spans="1:5" s="6" customFormat="1" ht="25.5" customHeight="1" x14ac:dyDescent="0.25">
      <c r="A62" s="431" t="s">
        <v>57</v>
      </c>
      <c r="B62" s="431"/>
      <c r="C62" s="431"/>
      <c r="D62" s="431"/>
      <c r="E62" s="432"/>
    </row>
    <row r="63" spans="1:5" s="6" customFormat="1" ht="25.5" customHeight="1" x14ac:dyDescent="0.25">
      <c r="A63" s="26">
        <v>2</v>
      </c>
      <c r="B63" s="433" t="s">
        <v>58</v>
      </c>
      <c r="C63" s="434"/>
      <c r="D63" s="435"/>
      <c r="E63" s="193" t="s">
        <v>18</v>
      </c>
    </row>
    <row r="64" spans="1:5" s="6" customFormat="1" ht="25.5" customHeight="1" x14ac:dyDescent="0.25">
      <c r="A64" s="26" t="s">
        <v>39</v>
      </c>
      <c r="B64" s="61" t="s">
        <v>40</v>
      </c>
      <c r="C64" s="62"/>
      <c r="D64" s="63"/>
      <c r="E64" s="194">
        <f>E37</f>
        <v>294.31</v>
      </c>
    </row>
    <row r="65" spans="1:8" s="6" customFormat="1" ht="25.5" customHeight="1" x14ac:dyDescent="0.25">
      <c r="A65" s="26" t="s">
        <v>45</v>
      </c>
      <c r="B65" s="61" t="s">
        <v>46</v>
      </c>
      <c r="C65" s="62"/>
      <c r="D65" s="63"/>
      <c r="E65" s="194">
        <f>E51</f>
        <v>586.29</v>
      </c>
    </row>
    <row r="66" spans="1:8" s="6" customFormat="1" ht="25.5" customHeight="1" x14ac:dyDescent="0.25">
      <c r="A66" s="26" t="s">
        <v>54</v>
      </c>
      <c r="B66" s="61" t="s">
        <v>55</v>
      </c>
      <c r="C66" s="62"/>
      <c r="D66" s="63"/>
      <c r="E66" s="194">
        <f>E61</f>
        <v>387.32</v>
      </c>
    </row>
    <row r="67" spans="1:8" s="6" customFormat="1" ht="25.5" customHeight="1" x14ac:dyDescent="0.25">
      <c r="A67" s="491" t="s">
        <v>35</v>
      </c>
      <c r="B67" s="478"/>
      <c r="C67" s="478"/>
      <c r="D67" s="479"/>
      <c r="E67" s="195">
        <f>SUM(E64:E66)</f>
        <v>1267.92</v>
      </c>
    </row>
    <row r="68" spans="1:8" s="6" customFormat="1" ht="25.5" customHeight="1" x14ac:dyDescent="0.25">
      <c r="A68" s="436" t="s">
        <v>59</v>
      </c>
      <c r="B68" s="436"/>
      <c r="C68" s="436"/>
      <c r="D68" s="436"/>
      <c r="E68" s="436"/>
      <c r="H68" s="28"/>
    </row>
    <row r="69" spans="1:8" s="6" customFormat="1" ht="25.5" customHeight="1" x14ac:dyDescent="0.25">
      <c r="A69" s="200">
        <v>3</v>
      </c>
      <c r="B69" s="409" t="s">
        <v>60</v>
      </c>
      <c r="C69" s="437"/>
      <c r="D69" s="438"/>
      <c r="E69" s="56" t="s">
        <v>18</v>
      </c>
      <c r="H69" s="29"/>
    </row>
    <row r="70" spans="1:8" s="6" customFormat="1" ht="25.5" customHeight="1" x14ac:dyDescent="0.25">
      <c r="A70" s="199" t="s">
        <v>2</v>
      </c>
      <c r="B70" s="415" t="s">
        <v>61</v>
      </c>
      <c r="C70" s="416"/>
      <c r="D70" s="178">
        <f>((1/12)*5%)</f>
        <v>4.1669999999999997E-3</v>
      </c>
      <c r="E70" s="201">
        <f>TRUNC(($E$30)*D70,2)</f>
        <v>6</v>
      </c>
    </row>
    <row r="71" spans="1:8" s="6" customFormat="1" ht="25.5" customHeight="1" x14ac:dyDescent="0.25">
      <c r="A71" s="199" t="s">
        <v>4</v>
      </c>
      <c r="B71" s="415" t="s">
        <v>116</v>
      </c>
      <c r="C71" s="416"/>
      <c r="D71" s="198">
        <f>+D50</f>
        <v>0.08</v>
      </c>
      <c r="E71" s="201">
        <f>TRUNC(+E70*D71,2)</f>
        <v>0.48</v>
      </c>
    </row>
    <row r="72" spans="1:8" s="6" customFormat="1" ht="25.5" customHeight="1" x14ac:dyDescent="0.25">
      <c r="A72" s="199" t="s">
        <v>6</v>
      </c>
      <c r="B72" s="415" t="s">
        <v>329</v>
      </c>
      <c r="C72" s="416"/>
      <c r="D72" s="178">
        <f>(0.4*0.08)*0.05</f>
        <v>1.6000000000000001E-3</v>
      </c>
      <c r="E72" s="201">
        <f>TRUNC(($E$30)*D72,2)</f>
        <v>2.2999999999999998</v>
      </c>
    </row>
    <row r="73" spans="1:8" s="6" customFormat="1" ht="25.5" customHeight="1" x14ac:dyDescent="0.25">
      <c r="A73" s="199" t="s">
        <v>8</v>
      </c>
      <c r="B73" s="503" t="s">
        <v>62</v>
      </c>
      <c r="C73" s="504"/>
      <c r="D73" s="198">
        <f>((7/30)/12)*100%</f>
        <v>1.9439999999999999E-2</v>
      </c>
      <c r="E73" s="201">
        <f>TRUNC(($E$30)*D73,2)</f>
        <v>28</v>
      </c>
    </row>
    <row r="74" spans="1:8" s="6" customFormat="1" ht="38.25" customHeight="1" x14ac:dyDescent="0.25">
      <c r="A74" s="199" t="s">
        <v>31</v>
      </c>
      <c r="B74" s="415" t="s">
        <v>104</v>
      </c>
      <c r="C74" s="416"/>
      <c r="D74" s="198">
        <f>+D51</f>
        <v>0.33800000000000002</v>
      </c>
      <c r="E74" s="201">
        <f>TRUNC(+E73*D74,2)</f>
        <v>9.4600000000000009</v>
      </c>
    </row>
    <row r="75" spans="1:8" s="6" customFormat="1" ht="25.5" customHeight="1" x14ac:dyDescent="0.25">
      <c r="A75" s="199" t="s">
        <v>33</v>
      </c>
      <c r="B75" s="505" t="s">
        <v>330</v>
      </c>
      <c r="C75" s="506"/>
      <c r="D75" s="196">
        <f>(40%*8%)*95%</f>
        <v>3.04E-2</v>
      </c>
      <c r="E75" s="201">
        <f>TRUNC(($E$30)*D75,2)</f>
        <v>43.78</v>
      </c>
    </row>
    <row r="76" spans="1:8" s="6" customFormat="1" ht="16.149999999999999" customHeight="1" thickBot="1" x14ac:dyDescent="0.3">
      <c r="A76" s="507" t="s">
        <v>35</v>
      </c>
      <c r="B76" s="508"/>
      <c r="C76" s="508"/>
      <c r="D76" s="509"/>
      <c r="E76" s="202">
        <f>SUM(E70:E75)</f>
        <v>90.02</v>
      </c>
    </row>
    <row r="77" spans="1:8" s="6" customFormat="1" ht="22.5" customHeight="1" thickTop="1" thickBot="1" x14ac:dyDescent="0.3">
      <c r="A77" s="489" t="s">
        <v>63</v>
      </c>
      <c r="B77" s="489"/>
      <c r="C77" s="489"/>
      <c r="D77" s="239" t="s">
        <v>43</v>
      </c>
      <c r="E77" s="180">
        <f>E30</f>
        <v>1440.4</v>
      </c>
    </row>
    <row r="78" spans="1:8" s="6" customFormat="1" ht="22.5" customHeight="1" thickTop="1" thickBot="1" x14ac:dyDescent="0.3">
      <c r="A78" s="489"/>
      <c r="B78" s="489"/>
      <c r="C78" s="489"/>
      <c r="D78" s="239" t="s">
        <v>64</v>
      </c>
      <c r="E78" s="180">
        <f>E67</f>
        <v>1267.92</v>
      </c>
    </row>
    <row r="79" spans="1:8" s="6" customFormat="1" ht="22.5" customHeight="1" thickTop="1" thickBot="1" x14ac:dyDescent="0.3">
      <c r="A79" s="489"/>
      <c r="B79" s="489"/>
      <c r="C79" s="489"/>
      <c r="D79" s="239" t="s">
        <v>65</v>
      </c>
      <c r="E79" s="180">
        <f>E76</f>
        <v>90.02</v>
      </c>
    </row>
    <row r="80" spans="1:8" s="6" customFormat="1" ht="23.25" customHeight="1" thickTop="1" thickBot="1" x14ac:dyDescent="0.3">
      <c r="A80" s="489"/>
      <c r="B80" s="489"/>
      <c r="C80" s="489"/>
      <c r="D80" s="31" t="s">
        <v>56</v>
      </c>
      <c r="E80" s="180">
        <f>SUM(E77:E79)</f>
        <v>2798.34</v>
      </c>
    </row>
    <row r="81" spans="1:5" s="6" customFormat="1" ht="23.25" customHeight="1" thickTop="1" x14ac:dyDescent="0.25">
      <c r="A81" s="428" t="s">
        <v>66</v>
      </c>
      <c r="B81" s="429"/>
      <c r="C81" s="429"/>
      <c r="D81" s="430"/>
      <c r="E81" s="240" t="s">
        <v>26</v>
      </c>
    </row>
    <row r="82" spans="1:5" s="6" customFormat="1" ht="26.25" customHeight="1" x14ac:dyDescent="0.25">
      <c r="A82" s="500" t="s">
        <v>117</v>
      </c>
      <c r="B82" s="501"/>
      <c r="C82" s="501"/>
      <c r="D82" s="501"/>
      <c r="E82" s="502"/>
    </row>
    <row r="83" spans="1:5" s="6" customFormat="1" ht="26.25" customHeight="1" x14ac:dyDescent="0.25">
      <c r="A83" s="57" t="s">
        <v>67</v>
      </c>
      <c r="B83" s="492" t="s">
        <v>105</v>
      </c>
      <c r="C83" s="493"/>
      <c r="D83" s="494"/>
      <c r="E83" s="56" t="s">
        <v>18</v>
      </c>
    </row>
    <row r="84" spans="1:5" s="6" customFormat="1" ht="26.25" customHeight="1" x14ac:dyDescent="0.25">
      <c r="A84" s="32" t="s">
        <v>2</v>
      </c>
      <c r="B84" s="477" t="s">
        <v>106</v>
      </c>
      <c r="C84" s="477"/>
      <c r="D84" s="192">
        <f>(( 1+1/3)/12)/12</f>
        <v>9.2599999999999991E-3</v>
      </c>
      <c r="E84" s="201">
        <f>TRUNC(+D84*$E$80,2)</f>
        <v>25.91</v>
      </c>
    </row>
    <row r="85" spans="1:5" s="6" customFormat="1" ht="26.25" customHeight="1" x14ac:dyDescent="0.25">
      <c r="A85" s="33" t="s">
        <v>4</v>
      </c>
      <c r="B85" s="477" t="s">
        <v>107</v>
      </c>
      <c r="C85" s="477"/>
      <c r="D85" s="196">
        <f>((2/30)/12)</f>
        <v>5.5599999999999998E-3</v>
      </c>
      <c r="E85" s="201">
        <f>TRUNC(+D85*$E$80,2)</f>
        <v>15.55</v>
      </c>
    </row>
    <row r="86" spans="1:5" s="6" customFormat="1" ht="26.25" customHeight="1" x14ac:dyDescent="0.25">
      <c r="A86" s="33" t="s">
        <v>6</v>
      </c>
      <c r="B86" s="477" t="s">
        <v>108</v>
      </c>
      <c r="C86" s="477"/>
      <c r="D86" s="192">
        <f>((5/30)/12)*0.02</f>
        <v>2.7999999999999998E-4</v>
      </c>
      <c r="E86" s="201">
        <f>TRUNC(+D86*$E$80,2)</f>
        <v>0.78</v>
      </c>
    </row>
    <row r="87" spans="1:5" s="6" customFormat="1" ht="26.25" customHeight="1" x14ac:dyDescent="0.25">
      <c r="A87" s="33" t="s">
        <v>8</v>
      </c>
      <c r="B87" s="477" t="s">
        <v>109</v>
      </c>
      <c r="C87" s="477"/>
      <c r="D87" s="192">
        <f>((15/30)/12)*0.08</f>
        <v>3.3300000000000001E-3</v>
      </c>
      <c r="E87" s="201">
        <f>TRUNC(+D87*$E$80,2)</f>
        <v>9.31</v>
      </c>
    </row>
    <row r="88" spans="1:5" s="6" customFormat="1" ht="26.25" customHeight="1" x14ac:dyDescent="0.25">
      <c r="A88" s="33" t="s">
        <v>31</v>
      </c>
      <c r="B88" s="477" t="s">
        <v>110</v>
      </c>
      <c r="C88" s="477"/>
      <c r="D88" s="204">
        <f>(4/12)/12*0.02*100/100</f>
        <v>5.5999999999999995E-4</v>
      </c>
      <c r="E88" s="201">
        <f t="shared" ref="E88:E89" si="1">TRUNC(+D88*$E$80,2)</f>
        <v>1.56</v>
      </c>
    </row>
    <row r="89" spans="1:5" s="6" customFormat="1" ht="26.25" customHeight="1" x14ac:dyDescent="0.25">
      <c r="A89" s="33" t="s">
        <v>33</v>
      </c>
      <c r="B89" s="477" t="s">
        <v>111</v>
      </c>
      <c r="C89" s="477"/>
      <c r="D89" s="192">
        <v>0</v>
      </c>
      <c r="E89" s="201">
        <f t="shared" si="1"/>
        <v>0</v>
      </c>
    </row>
    <row r="90" spans="1:5" s="6" customFormat="1" ht="26.25" customHeight="1" x14ac:dyDescent="0.25">
      <c r="A90" s="401" t="s">
        <v>35</v>
      </c>
      <c r="B90" s="402"/>
      <c r="C90" s="403"/>
      <c r="D90" s="203"/>
      <c r="E90" s="186">
        <f>SUM(E84:E89)</f>
        <v>53.11</v>
      </c>
    </row>
    <row r="91" spans="1:5" s="6" customFormat="1" ht="23.25" customHeight="1" x14ac:dyDescent="0.25">
      <c r="A91" s="495" t="s">
        <v>331</v>
      </c>
      <c r="B91" s="496"/>
      <c r="C91" s="496"/>
      <c r="D91" s="496"/>
      <c r="E91" s="497"/>
    </row>
    <row r="92" spans="1:5" s="6" customFormat="1" ht="23.25" customHeight="1" x14ac:dyDescent="0.25">
      <c r="A92" s="57" t="s">
        <v>68</v>
      </c>
      <c r="B92" s="492" t="s">
        <v>118</v>
      </c>
      <c r="C92" s="493"/>
      <c r="D92" s="494"/>
      <c r="E92" s="56" t="s">
        <v>18</v>
      </c>
    </row>
    <row r="93" spans="1:5" s="6" customFormat="1" ht="59.25" customHeight="1" x14ac:dyDescent="0.25">
      <c r="A93" s="34" t="s">
        <v>2</v>
      </c>
      <c r="B93" s="475" t="s">
        <v>119</v>
      </c>
      <c r="C93" s="476"/>
      <c r="D93" s="24"/>
      <c r="E93" s="205">
        <v>0</v>
      </c>
    </row>
    <row r="94" spans="1:5" s="6" customFormat="1" ht="15.6" customHeight="1" x14ac:dyDescent="0.25">
      <c r="A94" s="401" t="s">
        <v>35</v>
      </c>
      <c r="B94" s="402"/>
      <c r="C94" s="403"/>
      <c r="D94" s="203"/>
      <c r="E94" s="186">
        <f>SUM(E93)</f>
        <v>0</v>
      </c>
    </row>
    <row r="95" spans="1:5" s="6" customFormat="1" ht="20.25" customHeight="1" x14ac:dyDescent="0.25">
      <c r="A95" s="490" t="s">
        <v>69</v>
      </c>
      <c r="B95" s="490"/>
      <c r="C95" s="490"/>
      <c r="D95" s="490"/>
      <c r="E95" s="490"/>
    </row>
    <row r="96" spans="1:5" s="6" customFormat="1" x14ac:dyDescent="0.25">
      <c r="A96" s="26">
        <v>4</v>
      </c>
      <c r="B96" s="433" t="s">
        <v>70</v>
      </c>
      <c r="C96" s="434"/>
      <c r="D96" s="435"/>
      <c r="E96" s="27" t="s">
        <v>18</v>
      </c>
    </row>
    <row r="97" spans="1:9" s="6" customFormat="1" ht="31.15" customHeight="1" x14ac:dyDescent="0.25">
      <c r="A97" s="26" t="s">
        <v>67</v>
      </c>
      <c r="B97" s="61" t="s">
        <v>105</v>
      </c>
      <c r="C97" s="62"/>
      <c r="D97" s="63"/>
      <c r="E97" s="194">
        <f>+E90</f>
        <v>53.11</v>
      </c>
    </row>
    <row r="98" spans="1:9" s="6" customFormat="1" x14ac:dyDescent="0.25">
      <c r="A98" s="26" t="s">
        <v>68</v>
      </c>
      <c r="B98" s="61" t="s">
        <v>118</v>
      </c>
      <c r="C98" s="62"/>
      <c r="D98" s="63"/>
      <c r="E98" s="186">
        <f>+E94</f>
        <v>0</v>
      </c>
    </row>
    <row r="99" spans="1:9" s="6" customFormat="1" ht="15" customHeight="1" x14ac:dyDescent="0.25">
      <c r="A99" s="64"/>
      <c r="B99" s="478" t="s">
        <v>35</v>
      </c>
      <c r="C99" s="478"/>
      <c r="D99" s="479"/>
      <c r="E99" s="195">
        <f>SUM(E97:E98)</f>
        <v>53.11</v>
      </c>
    </row>
    <row r="100" spans="1:9" s="6" customFormat="1" ht="25.5" customHeight="1" x14ac:dyDescent="0.25">
      <c r="A100" s="401" t="s">
        <v>71</v>
      </c>
      <c r="B100" s="402"/>
      <c r="C100" s="402"/>
      <c r="D100" s="403"/>
      <c r="E100" s="186">
        <f>SUM(E99:E99)</f>
        <v>53.11</v>
      </c>
    </row>
    <row r="101" spans="1:9" s="6" customFormat="1" x14ac:dyDescent="0.25">
      <c r="A101" s="428" t="s">
        <v>72</v>
      </c>
      <c r="B101" s="429"/>
      <c r="C101" s="429"/>
      <c r="D101" s="430"/>
      <c r="E101" s="174"/>
    </row>
    <row r="102" spans="1:9" s="6" customFormat="1" x14ac:dyDescent="0.25">
      <c r="A102" s="57">
        <v>5</v>
      </c>
      <c r="B102" s="409" t="s">
        <v>73</v>
      </c>
      <c r="C102" s="410"/>
      <c r="D102" s="411"/>
      <c r="E102" s="56" t="s">
        <v>18</v>
      </c>
    </row>
    <row r="103" spans="1:9" s="6" customFormat="1" ht="25.5" customHeight="1" x14ac:dyDescent="0.25">
      <c r="A103" s="1" t="s">
        <v>2</v>
      </c>
      <c r="B103" s="412" t="s">
        <v>333</v>
      </c>
      <c r="C103" s="413"/>
      <c r="D103" s="414"/>
      <c r="E103" s="201">
        <f>'Uniforme + Transport. + V. Alim'!F23</f>
        <v>0</v>
      </c>
    </row>
    <row r="104" spans="1:9" s="6" customFormat="1" ht="21.75" customHeight="1" x14ac:dyDescent="0.25">
      <c r="A104" s="1" t="s">
        <v>4</v>
      </c>
      <c r="B104" s="412" t="s">
        <v>398</v>
      </c>
      <c r="C104" s="413"/>
      <c r="D104" s="414"/>
      <c r="E104" s="205" cm="1">
        <f t="array" ref="E104:H104">'Material + Equip.'!E83:H83</f>
        <v>0</v>
      </c>
      <c r="F104" s="245">
        <v>0</v>
      </c>
      <c r="G104" s="245">
        <v>0</v>
      </c>
      <c r="H104" s="245">
        <v>0</v>
      </c>
      <c r="I104" s="245"/>
    </row>
    <row r="105" spans="1:9" s="6" customFormat="1" x14ac:dyDescent="0.25">
      <c r="A105" s="1" t="s">
        <v>6</v>
      </c>
      <c r="B105" s="412" t="s">
        <v>399</v>
      </c>
      <c r="C105" s="413"/>
      <c r="D105" s="414"/>
      <c r="E105" s="205" cm="1">
        <f t="array" ref="E105:H105">'Material + Equip.'!E84:H84</f>
        <v>0</v>
      </c>
      <c r="F105" s="246">
        <v>0</v>
      </c>
      <c r="G105" s="245">
        <v>0</v>
      </c>
      <c r="H105" s="245">
        <v>0</v>
      </c>
      <c r="I105" s="245"/>
    </row>
    <row r="106" spans="1:9" s="6" customFormat="1" ht="18.75" customHeight="1" x14ac:dyDescent="0.25">
      <c r="A106" s="1" t="s">
        <v>8</v>
      </c>
      <c r="B106" s="412" t="s">
        <v>336</v>
      </c>
      <c r="C106" s="413"/>
      <c r="D106" s="414"/>
      <c r="E106" s="201">
        <v>7</v>
      </c>
      <c r="F106" s="246"/>
      <c r="G106" s="245"/>
      <c r="H106" s="245"/>
      <c r="I106" s="245"/>
    </row>
    <row r="107" spans="1:9" s="6" customFormat="1" ht="16.149999999999999" customHeight="1" thickBot="1" x14ac:dyDescent="0.3">
      <c r="A107" s="401" t="s">
        <v>74</v>
      </c>
      <c r="B107" s="402"/>
      <c r="C107" s="402"/>
      <c r="D107" s="403"/>
      <c r="E107" s="186">
        <f>SUM(E103:E106)</f>
        <v>7</v>
      </c>
      <c r="F107" s="22"/>
    </row>
    <row r="108" spans="1:9" s="6" customFormat="1" ht="22.5" customHeight="1" thickTop="1" thickBot="1" x14ac:dyDescent="0.3">
      <c r="A108" s="489" t="s">
        <v>75</v>
      </c>
      <c r="B108" s="489"/>
      <c r="C108" s="489"/>
      <c r="D108" s="239" t="s">
        <v>43</v>
      </c>
      <c r="E108" s="180">
        <f>E30</f>
        <v>1440.4</v>
      </c>
    </row>
    <row r="109" spans="1:9" s="6" customFormat="1" ht="22.5" customHeight="1" thickTop="1" thickBot="1" x14ac:dyDescent="0.3">
      <c r="A109" s="489"/>
      <c r="B109" s="489"/>
      <c r="C109" s="489"/>
      <c r="D109" s="239" t="s">
        <v>64</v>
      </c>
      <c r="E109" s="180">
        <f>E67</f>
        <v>1267.92</v>
      </c>
    </row>
    <row r="110" spans="1:9" s="6" customFormat="1" ht="22.5" customHeight="1" thickTop="1" thickBot="1" x14ac:dyDescent="0.3">
      <c r="A110" s="489"/>
      <c r="B110" s="489"/>
      <c r="C110" s="489"/>
      <c r="D110" s="239" t="s">
        <v>65</v>
      </c>
      <c r="E110" s="180">
        <f>E76</f>
        <v>90.02</v>
      </c>
    </row>
    <row r="111" spans="1:9" s="6" customFormat="1" ht="22.5" customHeight="1" thickTop="1" thickBot="1" x14ac:dyDescent="0.3">
      <c r="A111" s="489"/>
      <c r="B111" s="489"/>
      <c r="C111" s="489"/>
      <c r="D111" s="239" t="s">
        <v>76</v>
      </c>
      <c r="E111" s="180">
        <f>E100</f>
        <v>53.11</v>
      </c>
    </row>
    <row r="112" spans="1:9" s="6" customFormat="1" ht="22.5" customHeight="1" thickTop="1" thickBot="1" x14ac:dyDescent="0.3">
      <c r="A112" s="489"/>
      <c r="B112" s="489"/>
      <c r="C112" s="489"/>
      <c r="D112" s="239" t="s">
        <v>77</v>
      </c>
      <c r="E112" s="180">
        <f>E107</f>
        <v>7</v>
      </c>
    </row>
    <row r="113" spans="1:5" s="6" customFormat="1" ht="22.5" customHeight="1" thickTop="1" thickBot="1" x14ac:dyDescent="0.3">
      <c r="A113" s="489"/>
      <c r="B113" s="489"/>
      <c r="C113" s="489"/>
      <c r="D113" s="31" t="s">
        <v>56</v>
      </c>
      <c r="E113" s="180">
        <f>SUM(E108:E112)</f>
        <v>2858.45</v>
      </c>
    </row>
    <row r="114" spans="1:5" s="6" customFormat="1" ht="13.5" thickTop="1" x14ac:dyDescent="0.25">
      <c r="A114" s="428" t="s">
        <v>78</v>
      </c>
      <c r="B114" s="429"/>
      <c r="C114" s="429" t="s">
        <v>79</v>
      </c>
      <c r="D114" s="430" t="s">
        <v>80</v>
      </c>
      <c r="E114" s="174"/>
    </row>
    <row r="115" spans="1:5" s="6" customFormat="1" x14ac:dyDescent="0.25">
      <c r="A115" s="57">
        <v>6</v>
      </c>
      <c r="B115" s="409" t="s">
        <v>81</v>
      </c>
      <c r="C115" s="410"/>
      <c r="D115" s="411"/>
      <c r="E115" s="56" t="s">
        <v>18</v>
      </c>
    </row>
    <row r="116" spans="1:5" s="6" customFormat="1" ht="31.15" customHeight="1" x14ac:dyDescent="0.25">
      <c r="A116" s="36" t="s">
        <v>2</v>
      </c>
      <c r="B116" s="35" t="s">
        <v>82</v>
      </c>
      <c r="C116" s="381">
        <v>0</v>
      </c>
      <c r="D116" s="382"/>
      <c r="E116" s="201">
        <f>TRUNC(+E113*C116,2)</f>
        <v>0</v>
      </c>
    </row>
    <row r="117" spans="1:5" s="6" customFormat="1" ht="31.9" customHeight="1" thickBot="1" x14ac:dyDescent="0.3">
      <c r="A117" s="36" t="s">
        <v>4</v>
      </c>
      <c r="B117" s="35" t="s">
        <v>83</v>
      </c>
      <c r="C117" s="482">
        <v>0</v>
      </c>
      <c r="D117" s="483"/>
      <c r="E117" s="201">
        <f>TRUNC(C117*(+E113+E116),2)</f>
        <v>0</v>
      </c>
    </row>
    <row r="118" spans="1:5" s="6" customFormat="1" ht="27" customHeight="1" thickBot="1" x14ac:dyDescent="0.3">
      <c r="A118" s="37"/>
      <c r="B118" s="65" t="s">
        <v>84</v>
      </c>
      <c r="C118" s="484" t="s">
        <v>85</v>
      </c>
      <c r="D118" s="485"/>
      <c r="E118" s="218">
        <f>SUM(E116:E117,E113)</f>
        <v>2858.45</v>
      </c>
    </row>
    <row r="119" spans="1:5" s="6" customFormat="1" ht="13.5" thickBot="1" x14ac:dyDescent="0.3">
      <c r="A119" s="38" t="s">
        <v>6</v>
      </c>
      <c r="B119" s="238" t="s">
        <v>86</v>
      </c>
      <c r="C119" s="206">
        <f>(D126*100)</f>
        <v>8.65</v>
      </c>
      <c r="D119" s="207">
        <f>+(100-C119)/100</f>
        <v>0.91349999999999998</v>
      </c>
      <c r="E119" s="219">
        <f>E118/D119</f>
        <v>3129.12</v>
      </c>
    </row>
    <row r="120" spans="1:5" s="6" customFormat="1" ht="15.6" customHeight="1" x14ac:dyDescent="0.25">
      <c r="A120" s="40"/>
      <c r="B120" s="41" t="s">
        <v>87</v>
      </c>
      <c r="C120" s="208"/>
      <c r="D120" s="209"/>
      <c r="E120" s="30"/>
    </row>
    <row r="121" spans="1:5" s="6" customFormat="1" x14ac:dyDescent="0.25">
      <c r="A121" s="40"/>
      <c r="B121" s="42" t="s">
        <v>120</v>
      </c>
      <c r="C121" s="210"/>
      <c r="D121" s="192">
        <v>6.4999999999999997E-3</v>
      </c>
      <c r="E121" s="201">
        <f>+E119*D121</f>
        <v>20.34</v>
      </c>
    </row>
    <row r="122" spans="1:5" s="6" customFormat="1" x14ac:dyDescent="0.25">
      <c r="A122" s="40"/>
      <c r="B122" s="42" t="s">
        <v>121</v>
      </c>
      <c r="C122" s="210"/>
      <c r="D122" s="192">
        <v>0.03</v>
      </c>
      <c r="E122" s="201">
        <f>+E119*D122</f>
        <v>93.87</v>
      </c>
    </row>
    <row r="123" spans="1:5" s="6" customFormat="1" x14ac:dyDescent="0.25">
      <c r="A123" s="40"/>
      <c r="B123" s="43" t="s">
        <v>88</v>
      </c>
      <c r="C123" s="211"/>
      <c r="D123" s="212"/>
      <c r="E123" s="201"/>
    </row>
    <row r="124" spans="1:5" s="6" customFormat="1" x14ac:dyDescent="0.25">
      <c r="A124" s="40"/>
      <c r="B124" s="43" t="s">
        <v>89</v>
      </c>
      <c r="C124" s="211"/>
      <c r="D124" s="213"/>
      <c r="E124" s="201"/>
    </row>
    <row r="125" spans="1:5" s="6" customFormat="1" x14ac:dyDescent="0.25">
      <c r="A125" s="40"/>
      <c r="B125" s="44" t="s">
        <v>122</v>
      </c>
      <c r="C125" s="214"/>
      <c r="D125" s="215">
        <v>0.05</v>
      </c>
      <c r="E125" s="220">
        <f>+E119*D125</f>
        <v>156.46</v>
      </c>
    </row>
    <row r="126" spans="1:5" s="6" customFormat="1" x14ac:dyDescent="0.25">
      <c r="A126" s="45"/>
      <c r="B126" s="46" t="s">
        <v>90</v>
      </c>
      <c r="C126" s="216"/>
      <c r="D126" s="217">
        <f>SUM(D121:D125)</f>
        <v>8.6499999999999994E-2</v>
      </c>
      <c r="E126" s="221">
        <f>SUM(E121:E125)</f>
        <v>270.67</v>
      </c>
    </row>
    <row r="127" spans="1:5" s="6" customFormat="1" ht="15.6" customHeight="1" x14ac:dyDescent="0.25">
      <c r="A127" s="486" t="s">
        <v>91</v>
      </c>
      <c r="B127" s="487"/>
      <c r="C127" s="487"/>
      <c r="D127" s="488"/>
      <c r="E127" s="222">
        <f>E116+E117+E126</f>
        <v>270.67</v>
      </c>
    </row>
    <row r="128" spans="1:5" s="6" customFormat="1" ht="25.5" customHeight="1" x14ac:dyDescent="0.25">
      <c r="A128" s="401" t="s">
        <v>92</v>
      </c>
      <c r="B128" s="402"/>
      <c r="C128" s="402"/>
      <c r="D128" s="403"/>
      <c r="E128" s="186">
        <f>SUM(E127:E127)</f>
        <v>270.67</v>
      </c>
    </row>
    <row r="129" spans="1:7" s="6" customFormat="1" ht="15.6" customHeight="1" x14ac:dyDescent="0.25">
      <c r="A129" s="401" t="s">
        <v>93</v>
      </c>
      <c r="B129" s="402"/>
      <c r="C129" s="402"/>
      <c r="D129" s="402"/>
      <c r="E129" s="403"/>
    </row>
    <row r="130" spans="1:7" s="6" customFormat="1" ht="15.6" customHeight="1" x14ac:dyDescent="0.25">
      <c r="A130" s="401" t="s">
        <v>94</v>
      </c>
      <c r="B130" s="402"/>
      <c r="C130" s="402"/>
      <c r="D130" s="403"/>
      <c r="E130" s="47" t="s">
        <v>18</v>
      </c>
    </row>
    <row r="131" spans="1:7" s="6" customFormat="1" x14ac:dyDescent="0.25">
      <c r="A131" s="36" t="s">
        <v>2</v>
      </c>
      <c r="B131" s="475" t="s">
        <v>95</v>
      </c>
      <c r="C131" s="480"/>
      <c r="D131" s="476"/>
      <c r="E131" s="201">
        <f>E30</f>
        <v>1440.4</v>
      </c>
    </row>
    <row r="132" spans="1:7" s="6" customFormat="1" ht="15.6" customHeight="1" x14ac:dyDescent="0.25">
      <c r="A132" s="36" t="s">
        <v>4</v>
      </c>
      <c r="B132" s="475" t="s">
        <v>96</v>
      </c>
      <c r="C132" s="480"/>
      <c r="D132" s="476"/>
      <c r="E132" s="201">
        <f>+E67</f>
        <v>1267.92</v>
      </c>
    </row>
    <row r="133" spans="1:7" s="6" customFormat="1" x14ac:dyDescent="0.25">
      <c r="A133" s="36" t="s">
        <v>6</v>
      </c>
      <c r="B133" s="475" t="s">
        <v>97</v>
      </c>
      <c r="C133" s="480"/>
      <c r="D133" s="476"/>
      <c r="E133" s="201">
        <f>+E76</f>
        <v>90.02</v>
      </c>
    </row>
    <row r="134" spans="1:7" s="6" customFormat="1" ht="15.6" customHeight="1" x14ac:dyDescent="0.25">
      <c r="A134" s="36" t="s">
        <v>8</v>
      </c>
      <c r="B134" s="475" t="s">
        <v>98</v>
      </c>
      <c r="C134" s="480"/>
      <c r="D134" s="476"/>
      <c r="E134" s="201">
        <f>+E100</f>
        <v>53.11</v>
      </c>
    </row>
    <row r="135" spans="1:7" s="6" customFormat="1" ht="46.9" customHeight="1" x14ac:dyDescent="0.25">
      <c r="A135" s="36" t="s">
        <v>31</v>
      </c>
      <c r="B135" s="48" t="s">
        <v>99</v>
      </c>
      <c r="C135" s="49"/>
      <c r="D135" s="50"/>
      <c r="E135" s="201">
        <f>+E107</f>
        <v>7</v>
      </c>
      <c r="G135" s="6" t="s">
        <v>338</v>
      </c>
    </row>
    <row r="136" spans="1:7" s="6" customFormat="1" ht="15.6" customHeight="1" x14ac:dyDescent="0.25">
      <c r="A136" s="406" t="s">
        <v>100</v>
      </c>
      <c r="B136" s="407"/>
      <c r="C136" s="408"/>
      <c r="D136" s="51"/>
      <c r="E136" s="186">
        <f>SUM(E131:E135)</f>
        <v>2858.45</v>
      </c>
    </row>
    <row r="137" spans="1:7" s="6" customFormat="1" x14ac:dyDescent="0.25">
      <c r="A137" s="36" t="s">
        <v>33</v>
      </c>
      <c r="B137" s="475" t="s">
        <v>101</v>
      </c>
      <c r="C137" s="480"/>
      <c r="D137" s="476"/>
      <c r="E137" s="201">
        <f>E128</f>
        <v>270.67</v>
      </c>
      <c r="F137" s="17"/>
    </row>
    <row r="138" spans="1:7" s="6" customFormat="1" ht="16.149999999999999" customHeight="1" x14ac:dyDescent="0.25">
      <c r="A138" s="481" t="s">
        <v>102</v>
      </c>
      <c r="B138" s="481"/>
      <c r="C138" s="481"/>
      <c r="D138" s="481"/>
      <c r="E138" s="224">
        <f>+E136+E137</f>
        <v>3129.12</v>
      </c>
      <c r="F138" s="66"/>
    </row>
    <row r="139" spans="1:7" x14ac:dyDescent="0.25">
      <c r="A139" s="510"/>
      <c r="B139" s="510"/>
      <c r="C139" s="510"/>
      <c r="D139" s="510"/>
      <c r="E139" s="223"/>
    </row>
  </sheetData>
  <mergeCells count="117">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5:D105"/>
    <mergeCell ref="B106:D106"/>
    <mergeCell ref="A107:D107"/>
    <mergeCell ref="A108:C113"/>
    <mergeCell ref="A114:D114"/>
    <mergeCell ref="B115:D115"/>
    <mergeCell ref="B99:D99"/>
    <mergeCell ref="A100:D100"/>
    <mergeCell ref="A101:D101"/>
    <mergeCell ref="B102:D102"/>
    <mergeCell ref="B103:D103"/>
    <mergeCell ref="B104:D104"/>
    <mergeCell ref="A91:E91"/>
    <mergeCell ref="B92:D92"/>
    <mergeCell ref="B93:C93"/>
    <mergeCell ref="A94:C94"/>
    <mergeCell ref="A95:E95"/>
    <mergeCell ref="B96:D96"/>
    <mergeCell ref="B85:C85"/>
    <mergeCell ref="B86:C86"/>
    <mergeCell ref="B87:C87"/>
    <mergeCell ref="B88:C88"/>
    <mergeCell ref="B89:C89"/>
    <mergeCell ref="A90:C90"/>
    <mergeCell ref="A76:D76"/>
    <mergeCell ref="A77:C80"/>
    <mergeCell ref="A81:D81"/>
    <mergeCell ref="A82:E82"/>
    <mergeCell ref="B83:D83"/>
    <mergeCell ref="B84:C84"/>
    <mergeCell ref="B70:C70"/>
    <mergeCell ref="B71:C71"/>
    <mergeCell ref="B72:C72"/>
    <mergeCell ref="B73:C73"/>
    <mergeCell ref="B74:C74"/>
    <mergeCell ref="B75:C75"/>
    <mergeCell ref="A61:D61"/>
    <mergeCell ref="A62:E62"/>
    <mergeCell ref="B63:D63"/>
    <mergeCell ref="A67:D67"/>
    <mergeCell ref="A68:E68"/>
    <mergeCell ref="B69:D69"/>
    <mergeCell ref="B55:D55"/>
    <mergeCell ref="B56:D56"/>
    <mergeCell ref="B57:D57"/>
    <mergeCell ref="B58:D58"/>
    <mergeCell ref="B59:D59"/>
    <mergeCell ref="B60:D60"/>
    <mergeCell ref="B49:C49"/>
    <mergeCell ref="B50:C50"/>
    <mergeCell ref="A51:C51"/>
    <mergeCell ref="B52:E52"/>
    <mergeCell ref="B53:D53"/>
    <mergeCell ref="B54:D54"/>
    <mergeCell ref="B43:C43"/>
    <mergeCell ref="B44:C44"/>
    <mergeCell ref="B45:C45"/>
    <mergeCell ref="B46:C46"/>
    <mergeCell ref="B47:C47"/>
    <mergeCell ref="B48:C48"/>
    <mergeCell ref="B35:C35"/>
    <mergeCell ref="A36:C36"/>
    <mergeCell ref="A37:D37"/>
    <mergeCell ref="A38:C40"/>
    <mergeCell ref="A41:E41"/>
    <mergeCell ref="B42:D42"/>
    <mergeCell ref="C28:D28"/>
    <mergeCell ref="A29:D29"/>
    <mergeCell ref="A30:D30"/>
    <mergeCell ref="A31:E31"/>
    <mergeCell ref="B32:E32"/>
    <mergeCell ref="B33:D33"/>
    <mergeCell ref="A22:E22"/>
    <mergeCell ref="B23:D23"/>
    <mergeCell ref="C24:D24"/>
    <mergeCell ref="C25:D25"/>
    <mergeCell ref="C26:D26"/>
    <mergeCell ref="C27:D27"/>
    <mergeCell ref="A16:D16"/>
    <mergeCell ref="C17:E17"/>
    <mergeCell ref="C18:E18"/>
    <mergeCell ref="C19:E19"/>
    <mergeCell ref="C20:E20"/>
    <mergeCell ref="C21:E21"/>
    <mergeCell ref="A12:B12"/>
    <mergeCell ref="D12:E12"/>
    <mergeCell ref="A13:B13"/>
    <mergeCell ref="D13:E13"/>
    <mergeCell ref="A14:E14"/>
    <mergeCell ref="A15:E15"/>
    <mergeCell ref="A6:E6"/>
    <mergeCell ref="C7:E7"/>
    <mergeCell ref="C8:E8"/>
    <mergeCell ref="C9:E9"/>
    <mergeCell ref="C10:E10"/>
    <mergeCell ref="A11:E11"/>
    <mergeCell ref="A1:E2"/>
    <mergeCell ref="A3:C3"/>
    <mergeCell ref="D3:E3"/>
    <mergeCell ref="A4:C4"/>
    <mergeCell ref="D4:E4"/>
    <mergeCell ref="B5:E5"/>
  </mergeCells>
  <hyperlinks>
    <hyperlink ref="B73" location="Plan2!A1" display="Aviso prévio trabalhado" xr:uid="{74A08965-4FBC-4277-8829-C4383C0FD5D7}"/>
    <hyperlink ref="B48" r:id="rId1" display="08 - Sebrae 0,3% ou 0,6% - IN nº 03, MPS/SRP/2005, Anexo II e III ver código da Tabela" xr:uid="{F1121C03-7091-4405-9976-D136903BAD15}"/>
  </hyperlinks>
  <pageMargins left="0.511811024" right="0.511811024" top="0.78740157499999996" bottom="0.78740157499999996" header="0.31496062000000002" footer="0.31496062000000002"/>
  <pageSetup paperSize="9" scale="55" fitToHeight="0"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Nº de Empregados</vt:lpstr>
      <vt:lpstr>Preço por m2 SRAC</vt:lpstr>
      <vt:lpstr>Preço por m2 Epitaciolândia</vt:lpstr>
      <vt:lpstr>Preço por m2 Cruzeiro do Sul</vt:lpstr>
      <vt:lpstr>Preço por m2 Posto Assis Brasil</vt:lpstr>
      <vt:lpstr>Uniforme + Transport. + V. Alim</vt:lpstr>
      <vt:lpstr>Material + Equip.</vt:lpstr>
      <vt:lpstr>RIO BRANCO - ENCARREGADO</vt:lpstr>
      <vt:lpstr>RIO BRANCO - SERVENTE</vt:lpstr>
      <vt:lpstr>RIO BRANCO - LIMPADOR DE VIDRO</vt:lpstr>
      <vt:lpstr>EPA - SERVENTE </vt:lpstr>
      <vt:lpstr>CZS - SERVENTE</vt:lpstr>
      <vt:lpstr>ASSIS BRASIL- SERVENTE</vt:lpstr>
      <vt:lpstr>RESUMO DA PROPOSTA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Profº Walter Gouvea</dc:creator>
  <cp:lastModifiedBy>Rossicleia Ferreira Campos</cp:lastModifiedBy>
  <cp:lastPrinted>2021-12-29T16:03:59Z</cp:lastPrinted>
  <dcterms:created xsi:type="dcterms:W3CDTF">2017-09-20T01:52:03Z</dcterms:created>
  <dcterms:modified xsi:type="dcterms:W3CDTF">2021-12-30T14:12:37Z</dcterms:modified>
</cp:coreProperties>
</file>