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G:\CPL\Comissão Permanente de Licitações\2020\Pregões\PE 01 - RECEPCAO E MOTORISTAS\Anexo I - Planilha de Formação de Preços\"/>
    </mc:Choice>
  </mc:AlternateContent>
  <bookViews>
    <workbookView xWindow="0" yWindow="0" windowWidth="20490" windowHeight="6855" tabRatio="970"/>
  </bookViews>
  <sheets>
    <sheet name="Proposta" sheetId="13" r:id="rId1"/>
    <sheet name="INSUMOS" sheetId="6" r:id="rId2"/>
    <sheet name="SR - Aux. Esc." sheetId="14" r:id="rId3"/>
    <sheet name="SR - Encarregado" sheetId="15" r:id="rId4"/>
    <sheet name="SR - Motorista" sheetId="16" r:id="rId5"/>
    <sheet name="ITAJAÍ - Aux. Esc." sheetId="20" r:id="rId6"/>
    <sheet name="ITAJAÍ - Motorista" sheetId="19" r:id="rId7"/>
    <sheet name="ITAJAÍ - Líder" sheetId="17" r:id="rId8"/>
    <sheet name="JOINVILLE - Aux. Esc." sheetId="21" r:id="rId9"/>
    <sheet name="JOINVILLE - Líder" sheetId="22" r:id="rId10"/>
    <sheet name="CRICIÚMA - Aux. Esc." sheetId="23" r:id="rId11"/>
    <sheet name="CRICIÚMA - Líder" sheetId="24" r:id="rId12"/>
    <sheet name="LAGES - Aux. Esc." sheetId="25" r:id="rId13"/>
    <sheet name="LAGES - Líder" sheetId="26" r:id="rId14"/>
    <sheet name="CHAPECÓ - Aux. Esc." sheetId="27" r:id="rId15"/>
    <sheet name="CHAPECÓ - Líder" sheetId="28" r:id="rId16"/>
    <sheet name="Dionísio Cerq. - Aux. Esc." sheetId="29" r:id="rId17"/>
    <sheet name="Dionísio Cerq. - Líder" sheetId="30" r:id="rId1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2" i="15" l="1"/>
  <c r="G40" i="6" l="1"/>
  <c r="G42" i="6"/>
  <c r="G41" i="6"/>
  <c r="G36" i="6"/>
  <c r="G37" i="6"/>
  <c r="D81" i="19" l="1"/>
  <c r="D74" i="19"/>
  <c r="D73" i="19"/>
  <c r="C88" i="16" l="1"/>
  <c r="D73" i="30" l="1"/>
  <c r="D73" i="29"/>
  <c r="D73" i="28"/>
  <c r="D73" i="27"/>
  <c r="D73" i="26"/>
  <c r="D73" i="25"/>
  <c r="D73" i="24"/>
  <c r="D73" i="23"/>
  <c r="D73" i="22"/>
  <c r="D73" i="21"/>
  <c r="D73" i="17"/>
  <c r="D73" i="20"/>
  <c r="D80" i="20" l="1"/>
  <c r="D30" i="19"/>
  <c r="D56" i="14"/>
  <c r="D54" i="14"/>
  <c r="F42" i="6" l="1"/>
  <c r="D101" i="28" l="1"/>
  <c r="D101" i="29"/>
  <c r="D102" i="16"/>
  <c r="D101" i="20"/>
  <c r="D102" i="19"/>
  <c r="D101" i="23"/>
  <c r="D101" i="17"/>
  <c r="D101" i="24"/>
  <c r="D60" i="29"/>
  <c r="D59" i="29"/>
  <c r="D58" i="29"/>
  <c r="D57" i="29"/>
  <c r="D56" i="29"/>
  <c r="D61" i="29" s="1"/>
  <c r="D60" i="27"/>
  <c r="D59" i="27"/>
  <c r="D58" i="27"/>
  <c r="D57" i="27"/>
  <c r="D56" i="27"/>
  <c r="D60" i="25"/>
  <c r="D59" i="25"/>
  <c r="D58" i="25"/>
  <c r="D57" i="25"/>
  <c r="D56" i="25"/>
  <c r="D60" i="23"/>
  <c r="D59" i="23"/>
  <c r="D58" i="23"/>
  <c r="D57" i="23"/>
  <c r="D56" i="23"/>
  <c r="D61" i="23" s="1"/>
  <c r="D60" i="21"/>
  <c r="D59" i="21"/>
  <c r="D58" i="21"/>
  <c r="D57" i="21"/>
  <c r="D56" i="21"/>
  <c r="D60" i="30"/>
  <c r="D59" i="30"/>
  <c r="D58" i="30"/>
  <c r="D57" i="30"/>
  <c r="D56" i="30"/>
  <c r="D61" i="30" s="1"/>
  <c r="D60" i="28"/>
  <c r="D59" i="28"/>
  <c r="D58" i="28"/>
  <c r="D57" i="28"/>
  <c r="D56" i="28"/>
  <c r="D60" i="26"/>
  <c r="D59" i="26"/>
  <c r="D58" i="26"/>
  <c r="D57" i="26"/>
  <c r="D56" i="26"/>
  <c r="D60" i="24"/>
  <c r="D59" i="24"/>
  <c r="D58" i="24"/>
  <c r="D57" i="24"/>
  <c r="D56" i="24"/>
  <c r="D61" i="24" s="1"/>
  <c r="D60" i="22"/>
  <c r="D59" i="22"/>
  <c r="D58" i="22"/>
  <c r="D57" i="22"/>
  <c r="D56" i="22"/>
  <c r="D59" i="17"/>
  <c r="D58" i="17"/>
  <c r="D60" i="17"/>
  <c r="D57" i="17"/>
  <c r="D61" i="17" s="1"/>
  <c r="D56" i="17"/>
  <c r="D59" i="19"/>
  <c r="D57" i="19"/>
  <c r="D59" i="20"/>
  <c r="D58" i="20"/>
  <c r="D60" i="20"/>
  <c r="D57" i="20"/>
  <c r="D56" i="20"/>
  <c r="D58" i="15"/>
  <c r="D59" i="16"/>
  <c r="D57" i="16"/>
  <c r="D56" i="15"/>
  <c r="C31" i="16"/>
  <c r="D101" i="15" l="1"/>
  <c r="D101" i="30"/>
  <c r="D101" i="21"/>
  <c r="D101" i="27"/>
  <c r="D101" i="22"/>
  <c r="D101" i="25"/>
  <c r="D101" i="26"/>
  <c r="D101" i="14"/>
  <c r="D55" i="30"/>
  <c r="D55" i="29"/>
  <c r="D54" i="28"/>
  <c r="D61" i="28" s="1"/>
  <c r="D55" i="28"/>
  <c r="D55" i="27"/>
  <c r="D54" i="27"/>
  <c r="D61" i="27" s="1"/>
  <c r="D55" i="26"/>
  <c r="D54" i="26"/>
  <c r="D61" i="26" s="1"/>
  <c r="D55" i="25"/>
  <c r="D54" i="25"/>
  <c r="D61" i="25" s="1"/>
  <c r="D55" i="24"/>
  <c r="D54" i="24"/>
  <c r="D55" i="23"/>
  <c r="D54" i="23"/>
  <c r="D55" i="22"/>
  <c r="D54" i="22"/>
  <c r="D61" i="22" s="1"/>
  <c r="D54" i="21"/>
  <c r="D61" i="21" s="1"/>
  <c r="C87" i="30"/>
  <c r="C87" i="29"/>
  <c r="C87" i="28"/>
  <c r="C87" i="27"/>
  <c r="C87" i="26"/>
  <c r="C87" i="25"/>
  <c r="C87" i="24"/>
  <c r="C87" i="23"/>
  <c r="C87" i="22"/>
  <c r="C87" i="21"/>
  <c r="D55" i="21"/>
  <c r="D55" i="17"/>
  <c r="D54" i="17"/>
  <c r="C87" i="17"/>
  <c r="C88" i="19"/>
  <c r="D56" i="19"/>
  <c r="D55" i="19"/>
  <c r="D55" i="14" l="1"/>
  <c r="D55" i="15"/>
  <c r="D55" i="20"/>
  <c r="C87" i="20"/>
  <c r="D54" i="20"/>
  <c r="D61" i="20" s="1"/>
  <c r="D54" i="15"/>
  <c r="D56" i="16"/>
  <c r="D55" i="16"/>
  <c r="C82" i="30"/>
  <c r="D80" i="30"/>
  <c r="C80" i="30"/>
  <c r="B80" i="30"/>
  <c r="D78" i="30"/>
  <c r="D79" i="30" s="1"/>
  <c r="D81" i="30" s="1"/>
  <c r="C78" i="30"/>
  <c r="D77" i="30"/>
  <c r="C74" i="30"/>
  <c r="D74" i="30" s="1"/>
  <c r="D75" i="30" s="1"/>
  <c r="D70" i="30"/>
  <c r="C82" i="29"/>
  <c r="D80" i="29"/>
  <c r="C80" i="29"/>
  <c r="B80" i="29"/>
  <c r="D78" i="29"/>
  <c r="D79" i="29" s="1"/>
  <c r="D81" i="29" s="1"/>
  <c r="C78" i="29"/>
  <c r="D77" i="29"/>
  <c r="C74" i="29"/>
  <c r="D74" i="29" s="1"/>
  <c r="D75" i="29" s="1"/>
  <c r="D70" i="29"/>
  <c r="C82" i="28"/>
  <c r="D80" i="28"/>
  <c r="C80" i="28"/>
  <c r="B80" i="28"/>
  <c r="D78" i="28"/>
  <c r="D79" i="28" s="1"/>
  <c r="D81" i="28" s="1"/>
  <c r="C78" i="28"/>
  <c r="D77" i="28"/>
  <c r="C74" i="28"/>
  <c r="D74" i="28" s="1"/>
  <c r="D75" i="28" s="1"/>
  <c r="D70" i="28"/>
  <c r="C82" i="27"/>
  <c r="D80" i="27"/>
  <c r="C80" i="27"/>
  <c r="B80" i="27"/>
  <c r="D78" i="27"/>
  <c r="D79" i="27" s="1"/>
  <c r="D81" i="27" s="1"/>
  <c r="C78" i="27"/>
  <c r="D77" i="27"/>
  <c r="C74" i="27"/>
  <c r="D74" i="27" s="1"/>
  <c r="D75" i="27" s="1"/>
  <c r="D70" i="27"/>
  <c r="C82" i="26"/>
  <c r="D80" i="26"/>
  <c r="C80" i="26"/>
  <c r="B80" i="26"/>
  <c r="D78" i="26"/>
  <c r="D79" i="26" s="1"/>
  <c r="D81" i="26" s="1"/>
  <c r="C78" i="26"/>
  <c r="D77" i="26"/>
  <c r="C74" i="26"/>
  <c r="D74" i="26" s="1"/>
  <c r="D75" i="26" s="1"/>
  <c r="D70" i="26"/>
  <c r="C82" i="25"/>
  <c r="D80" i="25"/>
  <c r="C80" i="25"/>
  <c r="B80" i="25"/>
  <c r="D78" i="25"/>
  <c r="D79" i="25" s="1"/>
  <c r="D81" i="25" s="1"/>
  <c r="C78" i="25"/>
  <c r="D77" i="25"/>
  <c r="C74" i="25"/>
  <c r="D74" i="25" s="1"/>
  <c r="D75" i="25" s="1"/>
  <c r="D70" i="25"/>
  <c r="C82" i="24"/>
  <c r="D80" i="24"/>
  <c r="C80" i="24"/>
  <c r="B80" i="24"/>
  <c r="D78" i="24"/>
  <c r="D79" i="24" s="1"/>
  <c r="D81" i="24" s="1"/>
  <c r="C78" i="24"/>
  <c r="D77" i="24"/>
  <c r="C74" i="24"/>
  <c r="D74" i="24" s="1"/>
  <c r="D75" i="24" s="1"/>
  <c r="D70" i="24"/>
  <c r="C82" i="23"/>
  <c r="D80" i="23"/>
  <c r="C80" i="23"/>
  <c r="B80" i="23"/>
  <c r="C78" i="23"/>
  <c r="D77" i="23"/>
  <c r="D78" i="23" s="1"/>
  <c r="D79" i="23" s="1"/>
  <c r="D81" i="23" s="1"/>
  <c r="C74" i="23"/>
  <c r="D74" i="23" s="1"/>
  <c r="D75" i="23" s="1"/>
  <c r="D70" i="23"/>
  <c r="C82" i="22"/>
  <c r="C80" i="22"/>
  <c r="D80" i="22" s="1"/>
  <c r="B80" i="22"/>
  <c r="C78" i="22"/>
  <c r="D78" i="22" s="1"/>
  <c r="D79" i="22" s="1"/>
  <c r="D77" i="22"/>
  <c r="C74" i="22"/>
  <c r="D74" i="22" s="1"/>
  <c r="D75" i="22" s="1"/>
  <c r="D70" i="22"/>
  <c r="C82" i="21"/>
  <c r="D80" i="21"/>
  <c r="C80" i="21"/>
  <c r="B80" i="21"/>
  <c r="D78" i="21"/>
  <c r="D79" i="21" s="1"/>
  <c r="D81" i="21" s="1"/>
  <c r="C78" i="21"/>
  <c r="D77" i="21"/>
  <c r="C74" i="21"/>
  <c r="D74" i="21" s="1"/>
  <c r="D75" i="21" s="1"/>
  <c r="D70" i="21"/>
  <c r="C82" i="17"/>
  <c r="D80" i="17"/>
  <c r="C80" i="17"/>
  <c r="B80" i="17"/>
  <c r="C78" i="17"/>
  <c r="D77" i="17"/>
  <c r="D78" i="17" s="1"/>
  <c r="D79" i="17" s="1"/>
  <c r="D81" i="17" s="1"/>
  <c r="C74" i="17"/>
  <c r="D74" i="17" s="1"/>
  <c r="D75" i="17" s="1"/>
  <c r="D70" i="17"/>
  <c r="C83" i="19"/>
  <c r="C81" i="19"/>
  <c r="B81" i="19"/>
  <c r="C79" i="19"/>
  <c r="C75" i="19"/>
  <c r="D71" i="19"/>
  <c r="C82" i="20"/>
  <c r="C80" i="20"/>
  <c r="B80" i="20"/>
  <c r="D78" i="20"/>
  <c r="D79" i="20" s="1"/>
  <c r="C78" i="20"/>
  <c r="D77" i="20"/>
  <c r="C74" i="20"/>
  <c r="D74" i="20" s="1"/>
  <c r="D75" i="20" s="1"/>
  <c r="D70" i="20"/>
  <c r="C82" i="14"/>
  <c r="C80" i="14"/>
  <c r="B80" i="14"/>
  <c r="C78" i="14"/>
  <c r="C74" i="14"/>
  <c r="D70" i="14"/>
  <c r="C83" i="16"/>
  <c r="C81" i="16"/>
  <c r="B81" i="16"/>
  <c r="C79" i="16"/>
  <c r="C75" i="16"/>
  <c r="D71" i="16"/>
  <c r="C82" i="15"/>
  <c r="C87" i="15"/>
  <c r="C87" i="14"/>
  <c r="D29" i="30"/>
  <c r="D29" i="26"/>
  <c r="D29" i="24"/>
  <c r="D29" i="22"/>
  <c r="D29" i="17"/>
  <c r="D28" i="16"/>
  <c r="D28" i="15"/>
  <c r="D28" i="14"/>
  <c r="D81" i="22" l="1"/>
  <c r="E21" i="13"/>
  <c r="D29" i="28" l="1"/>
  <c r="D29" i="16" l="1"/>
  <c r="D29" i="15"/>
  <c r="D29" i="14"/>
  <c r="E7" i="6" l="1"/>
  <c r="G7" i="6" s="1"/>
  <c r="D54" i="30"/>
  <c r="D54" i="29"/>
  <c r="C11" i="30"/>
  <c r="C11" i="29"/>
  <c r="D134" i="30"/>
  <c r="D125" i="30"/>
  <c r="C118" i="30"/>
  <c r="C119" i="30" s="1"/>
  <c r="C51" i="30"/>
  <c r="C65" i="30" s="1"/>
  <c r="C38" i="30"/>
  <c r="D27" i="30"/>
  <c r="C17" i="30"/>
  <c r="D134" i="29"/>
  <c r="C118" i="29"/>
  <c r="C119" i="29" s="1"/>
  <c r="C51" i="29"/>
  <c r="C65" i="29" s="1"/>
  <c r="C39" i="29"/>
  <c r="C38" i="29"/>
  <c r="C40" i="29" s="1"/>
  <c r="C64" i="29" s="1"/>
  <c r="D30" i="29"/>
  <c r="D29" i="29"/>
  <c r="D27" i="29"/>
  <c r="C17" i="29"/>
  <c r="C11" i="28"/>
  <c r="D134" i="28" s="1"/>
  <c r="D125" i="28"/>
  <c r="C118" i="28"/>
  <c r="C119" i="28" s="1"/>
  <c r="C51" i="28"/>
  <c r="C65" i="28" s="1"/>
  <c r="C39" i="28"/>
  <c r="C38" i="28"/>
  <c r="D30" i="28"/>
  <c r="D27" i="28"/>
  <c r="C11" i="27"/>
  <c r="D134" i="27" s="1"/>
  <c r="C118" i="27"/>
  <c r="C119" i="27" s="1"/>
  <c r="C51" i="27"/>
  <c r="C65" i="27" s="1"/>
  <c r="C39" i="27"/>
  <c r="C38" i="27"/>
  <c r="D30" i="27"/>
  <c r="D29" i="27"/>
  <c r="D27" i="27"/>
  <c r="C11" i="26"/>
  <c r="D134" i="26" s="1"/>
  <c r="D125" i="26"/>
  <c r="C118" i="26"/>
  <c r="C119" i="26" s="1"/>
  <c r="C51" i="26"/>
  <c r="C65" i="26" s="1"/>
  <c r="C39" i="26"/>
  <c r="C38" i="26"/>
  <c r="D30" i="26"/>
  <c r="D27" i="26"/>
  <c r="C11" i="25"/>
  <c r="D134" i="25" s="1"/>
  <c r="C118" i="25"/>
  <c r="C119" i="25" s="1"/>
  <c r="C51" i="25"/>
  <c r="C65" i="25" s="1"/>
  <c r="C39" i="25"/>
  <c r="C38" i="25"/>
  <c r="C40" i="25" s="1"/>
  <c r="C64" i="25" s="1"/>
  <c r="D30" i="25"/>
  <c r="D29" i="25"/>
  <c r="D27" i="25"/>
  <c r="C11" i="24"/>
  <c r="D134" i="24" s="1"/>
  <c r="D125" i="24"/>
  <c r="C118" i="24"/>
  <c r="C119" i="24" s="1"/>
  <c r="C51" i="24"/>
  <c r="C65" i="24" s="1"/>
  <c r="C38" i="24"/>
  <c r="D27" i="24"/>
  <c r="C17" i="22"/>
  <c r="C11" i="23"/>
  <c r="D134" i="23" s="1"/>
  <c r="C118" i="23"/>
  <c r="C119" i="23" s="1"/>
  <c r="C51" i="23"/>
  <c r="C65" i="23" s="1"/>
  <c r="C39" i="23"/>
  <c r="C38" i="23"/>
  <c r="D30" i="23"/>
  <c r="D29" i="23"/>
  <c r="D27" i="23"/>
  <c r="D125" i="22"/>
  <c r="C118" i="22"/>
  <c r="C119" i="22" s="1"/>
  <c r="C51" i="22"/>
  <c r="C65" i="22" s="1"/>
  <c r="C39" i="22"/>
  <c r="C38" i="22"/>
  <c r="C40" i="22" s="1"/>
  <c r="C64" i="22" s="1"/>
  <c r="D30" i="22"/>
  <c r="D27" i="22"/>
  <c r="C11" i="21"/>
  <c r="C17" i="21" s="1"/>
  <c r="C118" i="21"/>
  <c r="C119" i="21" s="1"/>
  <c r="C51" i="21"/>
  <c r="C65" i="21" s="1"/>
  <c r="C39" i="21"/>
  <c r="C38" i="21"/>
  <c r="C40" i="21" s="1"/>
  <c r="C64" i="21" s="1"/>
  <c r="D30" i="21"/>
  <c r="D29" i="21"/>
  <c r="D27" i="21"/>
  <c r="D134" i="20"/>
  <c r="C11" i="20"/>
  <c r="C17" i="20" s="1"/>
  <c r="C118" i="20"/>
  <c r="C119" i="20" s="1"/>
  <c r="C51" i="20"/>
  <c r="C65" i="20" s="1"/>
  <c r="C39" i="20"/>
  <c r="C38" i="20"/>
  <c r="D30" i="20"/>
  <c r="D29" i="20"/>
  <c r="D27" i="20"/>
  <c r="C11" i="19"/>
  <c r="D136" i="19"/>
  <c r="C120" i="19"/>
  <c r="C121" i="19" s="1"/>
  <c r="C52" i="19"/>
  <c r="C66" i="19" s="1"/>
  <c r="C39" i="19"/>
  <c r="D33" i="19"/>
  <c r="C32" i="19"/>
  <c r="D32" i="19" s="1"/>
  <c r="C31" i="19"/>
  <c r="D29" i="19"/>
  <c r="D31" i="19" s="1"/>
  <c r="D28" i="19"/>
  <c r="D27" i="19"/>
  <c r="C17" i="19"/>
  <c r="D134" i="21" l="1"/>
  <c r="C17" i="25"/>
  <c r="C94" i="30"/>
  <c r="D30" i="30"/>
  <c r="C39" i="30"/>
  <c r="D28" i="30"/>
  <c r="D33" i="30" s="1"/>
  <c r="C94" i="29"/>
  <c r="D28" i="29"/>
  <c r="D33" i="29" s="1"/>
  <c r="C17" i="28"/>
  <c r="C94" i="28"/>
  <c r="D28" i="28"/>
  <c r="D33" i="28" s="1"/>
  <c r="C40" i="28"/>
  <c r="C64" i="28" s="1"/>
  <c r="C17" i="27"/>
  <c r="C94" i="27"/>
  <c r="D28" i="27"/>
  <c r="D33" i="27" s="1"/>
  <c r="C40" i="27"/>
  <c r="C64" i="27" s="1"/>
  <c r="C17" i="26"/>
  <c r="C94" i="26"/>
  <c r="D28" i="26"/>
  <c r="D33" i="26" s="1"/>
  <c r="C40" i="26"/>
  <c r="C64" i="26" s="1"/>
  <c r="C94" i="25"/>
  <c r="D33" i="25"/>
  <c r="D28" i="25"/>
  <c r="C94" i="24"/>
  <c r="C40" i="24"/>
  <c r="C64" i="24" s="1"/>
  <c r="C17" i="24"/>
  <c r="D30" i="24"/>
  <c r="C39" i="24"/>
  <c r="D28" i="24"/>
  <c r="D33" i="24" s="1"/>
  <c r="C17" i="23"/>
  <c r="C94" i="23"/>
  <c r="D28" i="23"/>
  <c r="D33" i="23" s="1"/>
  <c r="C40" i="23"/>
  <c r="C64" i="23" s="1"/>
  <c r="C94" i="22"/>
  <c r="D33" i="22"/>
  <c r="D28" i="22"/>
  <c r="C94" i="21"/>
  <c r="D28" i="21"/>
  <c r="D33" i="21" s="1"/>
  <c r="C94" i="20"/>
  <c r="D28" i="20"/>
  <c r="D33" i="20" s="1"/>
  <c r="C40" i="20"/>
  <c r="C64" i="20" s="1"/>
  <c r="D34" i="19"/>
  <c r="D39" i="19"/>
  <c r="C95" i="19"/>
  <c r="C40" i="19"/>
  <c r="D134" i="17"/>
  <c r="C39" i="17"/>
  <c r="C11" i="17"/>
  <c r="C17" i="17" s="1"/>
  <c r="C80" i="15"/>
  <c r="B80" i="15"/>
  <c r="C78" i="15"/>
  <c r="C74" i="15"/>
  <c r="D70" i="15"/>
  <c r="C39" i="15"/>
  <c r="C11" i="14"/>
  <c r="F30" i="6"/>
  <c r="F29" i="6"/>
  <c r="F28" i="6"/>
  <c r="F26" i="6"/>
  <c r="F27" i="6"/>
  <c r="F25" i="6"/>
  <c r="F24" i="6"/>
  <c r="E21" i="6"/>
  <c r="G21" i="6" s="1"/>
  <c r="E8" i="6"/>
  <c r="G8" i="6" s="1"/>
  <c r="E9" i="6"/>
  <c r="G9" i="6" s="1"/>
  <c r="E10" i="6"/>
  <c r="G10" i="6" s="1"/>
  <c r="E11" i="6"/>
  <c r="G11" i="6" s="1"/>
  <c r="E12" i="6"/>
  <c r="G12" i="6" s="1"/>
  <c r="E13" i="6"/>
  <c r="G13" i="6" s="1"/>
  <c r="E14" i="6"/>
  <c r="G14" i="6" s="1"/>
  <c r="E6" i="6"/>
  <c r="G6" i="6" s="1"/>
  <c r="G24" i="6" l="1"/>
  <c r="D58" i="19"/>
  <c r="D61" i="19"/>
  <c r="D60" i="19"/>
  <c r="D40" i="19"/>
  <c r="D41" i="19" s="1"/>
  <c r="D123" i="30"/>
  <c r="D38" i="30"/>
  <c r="C40" i="30"/>
  <c r="C64" i="30" s="1"/>
  <c r="D39" i="30"/>
  <c r="D123" i="29"/>
  <c r="D38" i="29"/>
  <c r="D39" i="29"/>
  <c r="D123" i="28"/>
  <c r="D38" i="28"/>
  <c r="D39" i="28"/>
  <c r="D123" i="27"/>
  <c r="D38" i="27"/>
  <c r="D39" i="27"/>
  <c r="D123" i="26"/>
  <c r="D38" i="26"/>
  <c r="D39" i="26"/>
  <c r="D123" i="25"/>
  <c r="D38" i="25"/>
  <c r="D39" i="25"/>
  <c r="D123" i="24"/>
  <c r="D38" i="24"/>
  <c r="D39" i="24"/>
  <c r="D123" i="23"/>
  <c r="D39" i="23"/>
  <c r="D38" i="23"/>
  <c r="D123" i="22"/>
  <c r="D38" i="22"/>
  <c r="D39" i="22"/>
  <c r="D123" i="21"/>
  <c r="D38" i="21"/>
  <c r="D39" i="21"/>
  <c r="D123" i="20"/>
  <c r="D39" i="20"/>
  <c r="D38" i="20"/>
  <c r="C41" i="19"/>
  <c r="C65" i="19" s="1"/>
  <c r="D125" i="19"/>
  <c r="C94" i="17"/>
  <c r="C94" i="15"/>
  <c r="C94" i="14"/>
  <c r="G27" i="6"/>
  <c r="G25" i="6"/>
  <c r="G30" i="6"/>
  <c r="G26" i="6"/>
  <c r="G29" i="6"/>
  <c r="G28" i="6"/>
  <c r="G15" i="6"/>
  <c r="D75" i="19" l="1"/>
  <c r="D76" i="19" s="1"/>
  <c r="D45" i="19"/>
  <c r="D48" i="19"/>
  <c r="D46" i="19"/>
  <c r="D50" i="19"/>
  <c r="D44" i="19"/>
  <c r="D52" i="19" s="1"/>
  <c r="D51" i="19"/>
  <c r="D78" i="19"/>
  <c r="D79" i="19" s="1"/>
  <c r="D80" i="19" s="1"/>
  <c r="D49" i="19"/>
  <c r="D47" i="19"/>
  <c r="D62" i="19"/>
  <c r="D101" i="16"/>
  <c r="D100" i="14"/>
  <c r="D100" i="15"/>
  <c r="C66" i="26"/>
  <c r="C66" i="22"/>
  <c r="D100" i="16"/>
  <c r="D99" i="23"/>
  <c r="D99" i="20"/>
  <c r="D99" i="29"/>
  <c r="D99" i="27"/>
  <c r="D99" i="26"/>
  <c r="D99" i="25"/>
  <c r="D99" i="24"/>
  <c r="D100" i="19"/>
  <c r="D99" i="28"/>
  <c r="D99" i="30"/>
  <c r="D99" i="22"/>
  <c r="D99" i="21"/>
  <c r="D99" i="15"/>
  <c r="D99" i="14"/>
  <c r="D99" i="17"/>
  <c r="D101" i="19"/>
  <c r="D100" i="17"/>
  <c r="D100" i="20"/>
  <c r="D100" i="28"/>
  <c r="D100" i="27"/>
  <c r="D100" i="24"/>
  <c r="D100" i="23"/>
  <c r="D100" i="21"/>
  <c r="D100" i="22"/>
  <c r="D100" i="29"/>
  <c r="D100" i="30"/>
  <c r="D100" i="25"/>
  <c r="D100" i="26"/>
  <c r="D66" i="30"/>
  <c r="D72" i="30" s="1"/>
  <c r="D76" i="30" s="1"/>
  <c r="D82" i="30" s="1"/>
  <c r="C66" i="30"/>
  <c r="D40" i="30"/>
  <c r="C66" i="29"/>
  <c r="D66" i="29"/>
  <c r="D72" i="29" s="1"/>
  <c r="D76" i="29" s="1"/>
  <c r="D82" i="29" s="1"/>
  <c r="D40" i="29"/>
  <c r="D66" i="28"/>
  <c r="D72" i="28" s="1"/>
  <c r="D76" i="28" s="1"/>
  <c r="D82" i="28" s="1"/>
  <c r="C66" i="28"/>
  <c r="D40" i="28"/>
  <c r="D66" i="27"/>
  <c r="D72" i="27" s="1"/>
  <c r="D76" i="27" s="1"/>
  <c r="D82" i="27" s="1"/>
  <c r="C66" i="27"/>
  <c r="D40" i="27"/>
  <c r="D66" i="26"/>
  <c r="D72" i="26" s="1"/>
  <c r="D76" i="26" s="1"/>
  <c r="D82" i="26" s="1"/>
  <c r="D40" i="26"/>
  <c r="C66" i="25"/>
  <c r="D66" i="25"/>
  <c r="D72" i="25" s="1"/>
  <c r="D76" i="25" s="1"/>
  <c r="D82" i="25" s="1"/>
  <c r="D40" i="25"/>
  <c r="D40" i="24"/>
  <c r="C66" i="24"/>
  <c r="D66" i="24"/>
  <c r="D72" i="24" s="1"/>
  <c r="D76" i="24" s="1"/>
  <c r="D82" i="24" s="1"/>
  <c r="D66" i="23"/>
  <c r="D72" i="23" s="1"/>
  <c r="D76" i="23" s="1"/>
  <c r="D82" i="23" s="1"/>
  <c r="C66" i="23"/>
  <c r="D40" i="23"/>
  <c r="D66" i="22"/>
  <c r="D72" i="22" s="1"/>
  <c r="D76" i="22" s="1"/>
  <c r="D82" i="22" s="1"/>
  <c r="D40" i="22"/>
  <c r="C66" i="21"/>
  <c r="D66" i="21"/>
  <c r="D72" i="21" s="1"/>
  <c r="D76" i="21" s="1"/>
  <c r="D82" i="21" s="1"/>
  <c r="D40" i="21"/>
  <c r="D66" i="20"/>
  <c r="D72" i="20" s="1"/>
  <c r="D76" i="20" s="1"/>
  <c r="C66" i="20"/>
  <c r="D40" i="20"/>
  <c r="D65" i="19"/>
  <c r="C39" i="16"/>
  <c r="C32" i="16"/>
  <c r="D82" i="19" l="1"/>
  <c r="D103" i="21"/>
  <c r="D127" i="21" s="1"/>
  <c r="D103" i="26"/>
  <c r="D127" i="26" s="1"/>
  <c r="D103" i="17"/>
  <c r="D103" i="27"/>
  <c r="D127" i="27" s="1"/>
  <c r="D105" i="19"/>
  <c r="D129" i="19" s="1"/>
  <c r="D103" i="29"/>
  <c r="D127" i="29" s="1"/>
  <c r="D103" i="24"/>
  <c r="D127" i="24" s="1"/>
  <c r="D103" i="22"/>
  <c r="D127" i="22" s="1"/>
  <c r="D103" i="25"/>
  <c r="D127" i="25" s="1"/>
  <c r="D103" i="28"/>
  <c r="D127" i="28" s="1"/>
  <c r="D103" i="30"/>
  <c r="D103" i="23"/>
  <c r="D127" i="23" s="1"/>
  <c r="D103" i="20"/>
  <c r="D127" i="20" s="1"/>
  <c r="D64" i="30"/>
  <c r="D46" i="30"/>
  <c r="D44" i="30"/>
  <c r="D43" i="30"/>
  <c r="D50" i="30"/>
  <c r="D48" i="30"/>
  <c r="D47" i="30"/>
  <c r="D49" i="30"/>
  <c r="D45" i="30"/>
  <c r="D64" i="29"/>
  <c r="D45" i="29"/>
  <c r="D48" i="29"/>
  <c r="D46" i="29"/>
  <c r="D44" i="29"/>
  <c r="D47" i="29"/>
  <c r="D49" i="29"/>
  <c r="D43" i="29"/>
  <c r="D50" i="29"/>
  <c r="D64" i="28"/>
  <c r="D46" i="28"/>
  <c r="D45" i="28"/>
  <c r="D44" i="28"/>
  <c r="D43" i="28"/>
  <c r="D49" i="28"/>
  <c r="D48" i="28"/>
  <c r="D50" i="28"/>
  <c r="D47" i="28"/>
  <c r="D64" i="27"/>
  <c r="D46" i="27"/>
  <c r="D49" i="27"/>
  <c r="D50" i="27"/>
  <c r="D43" i="27"/>
  <c r="D45" i="27"/>
  <c r="D48" i="27"/>
  <c r="D44" i="27"/>
  <c r="D47" i="27"/>
  <c r="D64" i="26"/>
  <c r="D46" i="26"/>
  <c r="D49" i="26"/>
  <c r="D48" i="26"/>
  <c r="D45" i="26"/>
  <c r="D50" i="26"/>
  <c r="D43" i="26"/>
  <c r="D44" i="26"/>
  <c r="D47" i="26"/>
  <c r="D64" i="25"/>
  <c r="D45" i="25"/>
  <c r="D48" i="25"/>
  <c r="D46" i="25"/>
  <c r="D44" i="25"/>
  <c r="D47" i="25"/>
  <c r="D43" i="25"/>
  <c r="D49" i="25"/>
  <c r="D50" i="25"/>
  <c r="D64" i="24"/>
  <c r="D43" i="24"/>
  <c r="D48" i="24"/>
  <c r="D50" i="24"/>
  <c r="D49" i="24"/>
  <c r="D46" i="24"/>
  <c r="D45" i="24"/>
  <c r="D44" i="24"/>
  <c r="D47" i="24"/>
  <c r="D64" i="23"/>
  <c r="D45" i="23"/>
  <c r="D48" i="23"/>
  <c r="D44" i="23"/>
  <c r="D47" i="23"/>
  <c r="D50" i="23"/>
  <c r="D43" i="23"/>
  <c r="D46" i="23"/>
  <c r="D49" i="23"/>
  <c r="D64" i="22"/>
  <c r="D45" i="22"/>
  <c r="D48" i="22"/>
  <c r="D46" i="22"/>
  <c r="D44" i="22"/>
  <c r="D47" i="22"/>
  <c r="D43" i="22"/>
  <c r="D49" i="22"/>
  <c r="D50" i="22"/>
  <c r="D64" i="21"/>
  <c r="D45" i="21"/>
  <c r="D48" i="21"/>
  <c r="D46" i="21"/>
  <c r="D44" i="21"/>
  <c r="D47" i="21"/>
  <c r="D43" i="21"/>
  <c r="D49" i="21"/>
  <c r="D50" i="21"/>
  <c r="D64" i="20"/>
  <c r="D46" i="20"/>
  <c r="D48" i="20"/>
  <c r="D47" i="20"/>
  <c r="D44" i="20"/>
  <c r="D45" i="20"/>
  <c r="D43" i="20"/>
  <c r="D49" i="20"/>
  <c r="D50" i="20"/>
  <c r="C67" i="19"/>
  <c r="D67" i="19"/>
  <c r="D77" i="19" s="1"/>
  <c r="D83" i="19" s="1"/>
  <c r="D66" i="19"/>
  <c r="D33" i="16"/>
  <c r="D68" i="19" l="1"/>
  <c r="D91" i="19" s="1"/>
  <c r="D127" i="30"/>
  <c r="D51" i="28"/>
  <c r="D65" i="28" s="1"/>
  <c r="D67" i="28" s="1"/>
  <c r="D92" i="28" s="1"/>
  <c r="D51" i="26"/>
  <c r="D51" i="30"/>
  <c r="D51" i="29"/>
  <c r="D51" i="27"/>
  <c r="D65" i="26"/>
  <c r="D67" i="26" s="1"/>
  <c r="D92" i="26" s="1"/>
  <c r="D51" i="25"/>
  <c r="D51" i="24"/>
  <c r="D51" i="23"/>
  <c r="D51" i="22"/>
  <c r="D51" i="21"/>
  <c r="D51" i="20"/>
  <c r="D81" i="20" s="1"/>
  <c r="D82" i="20" s="1"/>
  <c r="D127" i="19"/>
  <c r="D88" i="19"/>
  <c r="D94" i="19"/>
  <c r="D89" i="19"/>
  <c r="C17" i="16"/>
  <c r="C11" i="15"/>
  <c r="D127" i="17"/>
  <c r="C118" i="17"/>
  <c r="C119" i="17" s="1"/>
  <c r="C51" i="17"/>
  <c r="C38" i="17"/>
  <c r="D28" i="17"/>
  <c r="D27" i="17"/>
  <c r="D136" i="16"/>
  <c r="C120" i="16"/>
  <c r="C121" i="16" s="1"/>
  <c r="D105" i="16"/>
  <c r="D129" i="16" s="1"/>
  <c r="C95" i="16"/>
  <c r="C52" i="16"/>
  <c r="C40" i="16"/>
  <c r="D27" i="16"/>
  <c r="D134" i="15"/>
  <c r="C118" i="15"/>
  <c r="C119" i="15" s="1"/>
  <c r="D103" i="15"/>
  <c r="D127" i="15" s="1"/>
  <c r="C51" i="15"/>
  <c r="C38" i="15"/>
  <c r="C40" i="15" s="1"/>
  <c r="C64" i="15" s="1"/>
  <c r="D27" i="15"/>
  <c r="D30" i="15" s="1"/>
  <c r="C17" i="15"/>
  <c r="D134" i="14"/>
  <c r="C118" i="14"/>
  <c r="C119" i="14" s="1"/>
  <c r="D103" i="14"/>
  <c r="D127" i="14" s="1"/>
  <c r="D58" i="14"/>
  <c r="C51" i="14"/>
  <c r="C38" i="14"/>
  <c r="C39" i="14" s="1"/>
  <c r="D27" i="14"/>
  <c r="C17" i="14"/>
  <c r="D90" i="19" l="1"/>
  <c r="D126" i="19"/>
  <c r="D93" i="19"/>
  <c r="D92" i="19"/>
  <c r="D65" i="30"/>
  <c r="D67" i="30" s="1"/>
  <c r="D92" i="30" s="1"/>
  <c r="D65" i="29"/>
  <c r="D67" i="29" s="1"/>
  <c r="D92" i="29" s="1"/>
  <c r="D125" i="29"/>
  <c r="D124" i="28"/>
  <c r="D88" i="28"/>
  <c r="D65" i="27"/>
  <c r="D67" i="27" s="1"/>
  <c r="D125" i="27"/>
  <c r="D124" i="26"/>
  <c r="D65" i="25"/>
  <c r="D67" i="25" s="1"/>
  <c r="D92" i="25" s="1"/>
  <c r="D125" i="25"/>
  <c r="D65" i="24"/>
  <c r="D67" i="24" s="1"/>
  <c r="D92" i="24" s="1"/>
  <c r="D65" i="23"/>
  <c r="D67" i="23" s="1"/>
  <c r="D92" i="23" s="1"/>
  <c r="D125" i="23"/>
  <c r="D65" i="22"/>
  <c r="D67" i="22" s="1"/>
  <c r="D65" i="21"/>
  <c r="D67" i="21" s="1"/>
  <c r="D125" i="21"/>
  <c r="D65" i="20"/>
  <c r="D67" i="20" s="1"/>
  <c r="D87" i="20" s="1"/>
  <c r="D125" i="20"/>
  <c r="C41" i="16"/>
  <c r="C65" i="16" s="1"/>
  <c r="D33" i="17"/>
  <c r="D39" i="17"/>
  <c r="D30" i="17"/>
  <c r="C65" i="17"/>
  <c r="C40" i="17"/>
  <c r="C64" i="17" s="1"/>
  <c r="C66" i="16"/>
  <c r="D30" i="16"/>
  <c r="D31" i="16" s="1"/>
  <c r="D33" i="15"/>
  <c r="C65" i="15"/>
  <c r="C40" i="14"/>
  <c r="C64" i="14" s="1"/>
  <c r="D30" i="14"/>
  <c r="C65" i="14"/>
  <c r="D60" i="15" l="1"/>
  <c r="D59" i="15"/>
  <c r="D57" i="15"/>
  <c r="D39" i="15"/>
  <c r="D95" i="19"/>
  <c r="D128" i="19" s="1"/>
  <c r="D130" i="19" s="1"/>
  <c r="D87" i="27"/>
  <c r="D92" i="27"/>
  <c r="D92" i="21"/>
  <c r="D91" i="21"/>
  <c r="D92" i="22"/>
  <c r="D91" i="22"/>
  <c r="D93" i="22"/>
  <c r="D92" i="20"/>
  <c r="D91" i="20"/>
  <c r="D93" i="28"/>
  <c r="D90" i="28"/>
  <c r="D91" i="28"/>
  <c r="D33" i="14"/>
  <c r="D124" i="30"/>
  <c r="D90" i="30"/>
  <c r="D93" i="30"/>
  <c r="D87" i="30"/>
  <c r="D88" i="30"/>
  <c r="D91" i="30"/>
  <c r="D89" i="30"/>
  <c r="D124" i="29"/>
  <c r="D93" i="29"/>
  <c r="D91" i="29"/>
  <c r="D89" i="29"/>
  <c r="D90" i="29"/>
  <c r="D88" i="29"/>
  <c r="D87" i="29"/>
  <c r="D87" i="28"/>
  <c r="D89" i="28"/>
  <c r="D124" i="27"/>
  <c r="D90" i="27"/>
  <c r="D93" i="27"/>
  <c r="D91" i="27"/>
  <c r="D89" i="27"/>
  <c r="D88" i="27"/>
  <c r="D89" i="26"/>
  <c r="D93" i="26"/>
  <c r="D88" i="26"/>
  <c r="D91" i="26"/>
  <c r="D87" i="26"/>
  <c r="D90" i="26"/>
  <c r="D124" i="25"/>
  <c r="D93" i="25"/>
  <c r="D91" i="25"/>
  <c r="D89" i="25"/>
  <c r="D88" i="25"/>
  <c r="D90" i="25"/>
  <c r="D87" i="25"/>
  <c r="D124" i="24"/>
  <c r="D89" i="24"/>
  <c r="D88" i="24"/>
  <c r="D90" i="24"/>
  <c r="D87" i="24"/>
  <c r="D91" i="24"/>
  <c r="D93" i="24"/>
  <c r="D124" i="23"/>
  <c r="D93" i="23"/>
  <c r="D91" i="23"/>
  <c r="D89" i="23"/>
  <c r="D88" i="23"/>
  <c r="D90" i="23"/>
  <c r="D87" i="23"/>
  <c r="D124" i="22"/>
  <c r="D89" i="22"/>
  <c r="D88" i="22"/>
  <c r="D90" i="22"/>
  <c r="D87" i="22"/>
  <c r="D124" i="21"/>
  <c r="D93" i="21"/>
  <c r="D90" i="21"/>
  <c r="D87" i="21"/>
  <c r="D89" i="21"/>
  <c r="D88" i="21"/>
  <c r="D124" i="20"/>
  <c r="D90" i="20"/>
  <c r="D89" i="20"/>
  <c r="D88" i="20"/>
  <c r="D93" i="20"/>
  <c r="D107" i="19"/>
  <c r="D32" i="16"/>
  <c r="D123" i="17"/>
  <c r="D38" i="17"/>
  <c r="D123" i="15"/>
  <c r="D38" i="15"/>
  <c r="D61" i="15" l="1"/>
  <c r="C66" i="15" s="1"/>
  <c r="D59" i="14"/>
  <c r="D60" i="14"/>
  <c r="D94" i="28"/>
  <c r="D105" i="28" s="1"/>
  <c r="D38" i="14"/>
  <c r="D57" i="14"/>
  <c r="D39" i="14"/>
  <c r="D123" i="14"/>
  <c r="D94" i="30"/>
  <c r="D105" i="30" s="1"/>
  <c r="D94" i="29"/>
  <c r="D94" i="27"/>
  <c r="D105" i="27" s="1"/>
  <c r="D94" i="26"/>
  <c r="D105" i="26" s="1"/>
  <c r="D94" i="25"/>
  <c r="D105" i="25" s="1"/>
  <c r="D94" i="24"/>
  <c r="D105" i="24" s="1"/>
  <c r="D94" i="23"/>
  <c r="D105" i="23" s="1"/>
  <c r="D94" i="22"/>
  <c r="D105" i="22" s="1"/>
  <c r="D94" i="21"/>
  <c r="D94" i="20"/>
  <c r="D112" i="19"/>
  <c r="D113" i="19" s="1"/>
  <c r="D114" i="19" s="1"/>
  <c r="D115" i="19" s="1"/>
  <c r="D34" i="16"/>
  <c r="D40" i="17"/>
  <c r="D40" i="15"/>
  <c r="D61" i="16" l="1"/>
  <c r="D58" i="16"/>
  <c r="D60" i="16"/>
  <c r="D66" i="15"/>
  <c r="D73" i="15"/>
  <c r="D77" i="15"/>
  <c r="D126" i="28"/>
  <c r="D128" i="28" s="1"/>
  <c r="D61" i="14"/>
  <c r="D66" i="14" s="1"/>
  <c r="D40" i="14"/>
  <c r="D74" i="15"/>
  <c r="D75" i="15" s="1"/>
  <c r="D78" i="15"/>
  <c r="D79" i="15" s="1"/>
  <c r="D126" i="30"/>
  <c r="D128" i="30" s="1"/>
  <c r="D126" i="29"/>
  <c r="D128" i="29" s="1"/>
  <c r="D105" i="29"/>
  <c r="D110" i="28"/>
  <c r="D111" i="28" s="1"/>
  <c r="D112" i="28" s="1"/>
  <c r="D113" i="28" s="1"/>
  <c r="D126" i="27"/>
  <c r="D128" i="27" s="1"/>
  <c r="D126" i="26"/>
  <c r="D128" i="26" s="1"/>
  <c r="D126" i="25"/>
  <c r="D128" i="25" s="1"/>
  <c r="D126" i="24"/>
  <c r="D128" i="24" s="1"/>
  <c r="D126" i="23"/>
  <c r="D128" i="23" s="1"/>
  <c r="D126" i="22"/>
  <c r="D128" i="22" s="1"/>
  <c r="D126" i="21"/>
  <c r="D128" i="21" s="1"/>
  <c r="D105" i="21"/>
  <c r="D126" i="20"/>
  <c r="D128" i="20" s="1"/>
  <c r="D105" i="20"/>
  <c r="D117" i="19"/>
  <c r="D119" i="19"/>
  <c r="D118" i="19"/>
  <c r="D125" i="16"/>
  <c r="D40" i="16"/>
  <c r="D39" i="16"/>
  <c r="D64" i="17"/>
  <c r="D45" i="17"/>
  <c r="D48" i="17"/>
  <c r="D50" i="17"/>
  <c r="D44" i="17"/>
  <c r="D46" i="17"/>
  <c r="D47" i="17"/>
  <c r="D49" i="17"/>
  <c r="D43" i="17"/>
  <c r="D66" i="17"/>
  <c r="D72" i="17" s="1"/>
  <c r="D76" i="17" s="1"/>
  <c r="D82" i="17" s="1"/>
  <c r="C66" i="17"/>
  <c r="D64" i="15"/>
  <c r="D47" i="15"/>
  <c r="D45" i="15"/>
  <c r="D50" i="15"/>
  <c r="D48" i="15"/>
  <c r="D43" i="15"/>
  <c r="D49" i="15"/>
  <c r="D44" i="15"/>
  <c r="D46" i="15"/>
  <c r="D62" i="16" l="1"/>
  <c r="D72" i="15"/>
  <c r="D76" i="15" s="1"/>
  <c r="D73" i="14"/>
  <c r="D74" i="14" s="1"/>
  <c r="D75" i="14" s="1"/>
  <c r="D77" i="14"/>
  <c r="D78" i="14" s="1"/>
  <c r="D79" i="14" s="1"/>
  <c r="D48" i="14"/>
  <c r="C66" i="14"/>
  <c r="D44" i="14"/>
  <c r="D49" i="14"/>
  <c r="D46" i="14"/>
  <c r="D43" i="14"/>
  <c r="D50" i="14"/>
  <c r="D64" i="14"/>
  <c r="D47" i="14"/>
  <c r="D45" i="14"/>
  <c r="D110" i="30"/>
  <c r="D111" i="30" s="1"/>
  <c r="D112" i="30" s="1"/>
  <c r="D113" i="30" s="1"/>
  <c r="D110" i="29"/>
  <c r="D111" i="29" s="1"/>
  <c r="D112" i="29" s="1"/>
  <c r="D113" i="29" s="1"/>
  <c r="D117" i="28"/>
  <c r="D115" i="28"/>
  <c r="D116" i="28"/>
  <c r="D110" i="27"/>
  <c r="D111" i="27" s="1"/>
  <c r="D112" i="27" s="1"/>
  <c r="D113" i="27" s="1"/>
  <c r="D110" i="26"/>
  <c r="D111" i="26" s="1"/>
  <c r="D112" i="26" s="1"/>
  <c r="D113" i="26" s="1"/>
  <c r="D110" i="25"/>
  <c r="D111" i="25" s="1"/>
  <c r="D112" i="25" s="1"/>
  <c r="D113" i="25" s="1"/>
  <c r="D110" i="24"/>
  <c r="D111" i="24" s="1"/>
  <c r="D112" i="24" s="1"/>
  <c r="D113" i="24" s="1"/>
  <c r="D110" i="23"/>
  <c r="D111" i="23" s="1"/>
  <c r="D112" i="23" s="1"/>
  <c r="D113" i="23" s="1"/>
  <c r="D110" i="22"/>
  <c r="D111" i="22" s="1"/>
  <c r="D112" i="22" s="1"/>
  <c r="D113" i="22" s="1"/>
  <c r="D110" i="21"/>
  <c r="D111" i="21" s="1"/>
  <c r="D112" i="21" s="1"/>
  <c r="D113" i="21" s="1"/>
  <c r="D110" i="20"/>
  <c r="D111" i="20" s="1"/>
  <c r="D112" i="20" s="1"/>
  <c r="D113" i="20" s="1"/>
  <c r="D117" i="20" s="1"/>
  <c r="D120" i="19"/>
  <c r="D121" i="19" s="1"/>
  <c r="D131" i="19" s="1"/>
  <c r="D132" i="19" s="1"/>
  <c r="D67" i="16"/>
  <c r="D41" i="16"/>
  <c r="D51" i="17"/>
  <c r="D51" i="15"/>
  <c r="D80" i="15" s="1"/>
  <c r="D81" i="15" s="1"/>
  <c r="D74" i="16" l="1"/>
  <c r="D75" i="16" s="1"/>
  <c r="D76" i="16" s="1"/>
  <c r="D78" i="16"/>
  <c r="D79" i="16" s="1"/>
  <c r="D80" i="16" s="1"/>
  <c r="D82" i="15"/>
  <c r="D76" i="14"/>
  <c r="D72" i="14"/>
  <c r="D51" i="14"/>
  <c r="D117" i="30"/>
  <c r="D116" i="30"/>
  <c r="D115" i="30"/>
  <c r="D116" i="29"/>
  <c r="D115" i="29"/>
  <c r="D117" i="29"/>
  <c r="D118" i="28"/>
  <c r="D119" i="28" s="1"/>
  <c r="D129" i="28" s="1"/>
  <c r="D130" i="28" s="1"/>
  <c r="D117" i="27"/>
  <c r="D116" i="27"/>
  <c r="D115" i="27"/>
  <c r="D117" i="26"/>
  <c r="D115" i="26"/>
  <c r="D116" i="26"/>
  <c r="D116" i="25"/>
  <c r="D115" i="25"/>
  <c r="D117" i="25"/>
  <c r="D116" i="24"/>
  <c r="D115" i="24"/>
  <c r="D117" i="24"/>
  <c r="D117" i="23"/>
  <c r="D116" i="23"/>
  <c r="D115" i="23"/>
  <c r="D116" i="22"/>
  <c r="D115" i="22"/>
  <c r="D117" i="22"/>
  <c r="D135" i="19"/>
  <c r="D137" i="19" s="1"/>
  <c r="D138" i="19" s="1"/>
  <c r="D9" i="13"/>
  <c r="D116" i="21"/>
  <c r="D115" i="21"/>
  <c r="D117" i="21"/>
  <c r="D116" i="20"/>
  <c r="D115" i="20"/>
  <c r="C67" i="16"/>
  <c r="D65" i="16"/>
  <c r="D46" i="16"/>
  <c r="D44" i="16"/>
  <c r="D49" i="16"/>
  <c r="D51" i="16"/>
  <c r="D50" i="16"/>
  <c r="D45" i="16"/>
  <c r="D47" i="16"/>
  <c r="D48" i="16"/>
  <c r="D65" i="17"/>
  <c r="D67" i="17" s="1"/>
  <c r="D65" i="15"/>
  <c r="D67" i="15" s="1"/>
  <c r="D73" i="16" l="1"/>
  <c r="D77" i="16" s="1"/>
  <c r="D92" i="15"/>
  <c r="D65" i="14"/>
  <c r="D67" i="14" s="1"/>
  <c r="D80" i="14"/>
  <c r="D81" i="14" s="1"/>
  <c r="D82" i="14" s="1"/>
  <c r="D92" i="17"/>
  <c r="D91" i="17"/>
  <c r="D125" i="15"/>
  <c r="D87" i="15"/>
  <c r="D125" i="17"/>
  <c r="D91" i="15"/>
  <c r="D90" i="15"/>
  <c r="D88" i="15"/>
  <c r="D89" i="15"/>
  <c r="D93" i="15"/>
  <c r="D133" i="28"/>
  <c r="D135" i="28" s="1"/>
  <c r="D136" i="28" s="1"/>
  <c r="D18" i="13"/>
  <c r="D118" i="30"/>
  <c r="D119" i="30" s="1"/>
  <c r="D129" i="30" s="1"/>
  <c r="D130" i="30" s="1"/>
  <c r="D118" i="29"/>
  <c r="D119" i="29" s="1"/>
  <c r="D129" i="29" s="1"/>
  <c r="D130" i="29" s="1"/>
  <c r="D118" i="27"/>
  <c r="D119" i="27" s="1"/>
  <c r="D129" i="27" s="1"/>
  <c r="D130" i="27" s="1"/>
  <c r="D118" i="26"/>
  <c r="D119" i="26" s="1"/>
  <c r="D129" i="26" s="1"/>
  <c r="D130" i="26" s="1"/>
  <c r="D118" i="25"/>
  <c r="D119" i="25" s="1"/>
  <c r="D129" i="25" s="1"/>
  <c r="D130" i="25" s="1"/>
  <c r="D118" i="24"/>
  <c r="D119" i="24" s="1"/>
  <c r="D129" i="24" s="1"/>
  <c r="D130" i="24" s="1"/>
  <c r="D118" i="23"/>
  <c r="D119" i="23" s="1"/>
  <c r="D129" i="23" s="1"/>
  <c r="D130" i="23" s="1"/>
  <c r="D118" i="22"/>
  <c r="D119" i="22" s="1"/>
  <c r="D129" i="22" s="1"/>
  <c r="D130" i="22" s="1"/>
  <c r="D118" i="21"/>
  <c r="D119" i="21" s="1"/>
  <c r="D129" i="21" s="1"/>
  <c r="D130" i="21" s="1"/>
  <c r="D133" i="21" s="1"/>
  <c r="D118" i="20"/>
  <c r="D119" i="20" s="1"/>
  <c r="D129" i="20" s="1"/>
  <c r="D130" i="20" s="1"/>
  <c r="D87" i="17"/>
  <c r="D88" i="17"/>
  <c r="D93" i="17"/>
  <c r="D89" i="17"/>
  <c r="D90" i="17"/>
  <c r="D52" i="16"/>
  <c r="D81" i="16" s="1"/>
  <c r="D82" i="16" s="1"/>
  <c r="D124" i="17"/>
  <c r="D124" i="15"/>
  <c r="D124" i="14"/>
  <c r="D83" i="16" l="1"/>
  <c r="D125" i="14"/>
  <c r="D87" i="14"/>
  <c r="D90" i="14"/>
  <c r="D92" i="14"/>
  <c r="D91" i="14"/>
  <c r="D93" i="14"/>
  <c r="D89" i="14"/>
  <c r="D88" i="14"/>
  <c r="D94" i="15"/>
  <c r="D133" i="24"/>
  <c r="D135" i="24" s="1"/>
  <c r="D136" i="24" s="1"/>
  <c r="D14" i="13"/>
  <c r="D135" i="21"/>
  <c r="D136" i="21" s="1"/>
  <c r="D11" i="13"/>
  <c r="D133" i="30"/>
  <c r="D135" i="30" s="1"/>
  <c r="D136" i="30" s="1"/>
  <c r="D20" i="13"/>
  <c r="D133" i="22"/>
  <c r="D135" i="22" s="1"/>
  <c r="D136" i="22" s="1"/>
  <c r="D12" i="13"/>
  <c r="D133" i="26"/>
  <c r="D135" i="26" s="1"/>
  <c r="D136" i="26" s="1"/>
  <c r="D16" i="13"/>
  <c r="D133" i="29"/>
  <c r="D135" i="29" s="1"/>
  <c r="D136" i="29" s="1"/>
  <c r="D19" i="13"/>
  <c r="D133" i="27"/>
  <c r="D135" i="27" s="1"/>
  <c r="D136" i="27" s="1"/>
  <c r="D17" i="13"/>
  <c r="D133" i="25"/>
  <c r="D135" i="25" s="1"/>
  <c r="D136" i="25" s="1"/>
  <c r="D15" i="13"/>
  <c r="D133" i="23"/>
  <c r="D135" i="23" s="1"/>
  <c r="D136" i="23" s="1"/>
  <c r="D13" i="13"/>
  <c r="D133" i="20"/>
  <c r="D135" i="20" s="1"/>
  <c r="D136" i="20" s="1"/>
  <c r="D8" i="13"/>
  <c r="D94" i="17"/>
  <c r="D105" i="17" s="1"/>
  <c r="D66" i="16"/>
  <c r="D68" i="16" s="1"/>
  <c r="D88" i="16" l="1"/>
  <c r="D93" i="16"/>
  <c r="D92" i="16"/>
  <c r="D94" i="14"/>
  <c r="D105" i="14" s="1"/>
  <c r="D126" i="16"/>
  <c r="D126" i="17"/>
  <c r="D128" i="17" s="1"/>
  <c r="D126" i="15"/>
  <c r="D128" i="15" s="1"/>
  <c r="D105" i="15"/>
  <c r="D126" i="14" l="1"/>
  <c r="D128" i="14" s="1"/>
  <c r="D91" i="16"/>
  <c r="D94" i="16"/>
  <c r="D90" i="16"/>
  <c r="D89" i="16"/>
  <c r="D127" i="16"/>
  <c r="D110" i="17"/>
  <c r="D111" i="17" s="1"/>
  <c r="D112" i="17" s="1"/>
  <c r="D113" i="17" s="1"/>
  <c r="D110" i="15"/>
  <c r="D111" i="15" s="1"/>
  <c r="D112" i="15" s="1"/>
  <c r="D113" i="15" s="1"/>
  <c r="D110" i="14"/>
  <c r="D111" i="14" s="1"/>
  <c r="D112" i="14" s="1"/>
  <c r="D113" i="14" s="1"/>
  <c r="D95" i="16" l="1"/>
  <c r="D107" i="16" s="1"/>
  <c r="D112" i="16" s="1"/>
  <c r="D113" i="16" s="1"/>
  <c r="D114" i="16" s="1"/>
  <c r="D115" i="16" s="1"/>
  <c r="D119" i="16" s="1"/>
  <c r="D117" i="17"/>
  <c r="D115" i="17"/>
  <c r="D116" i="17"/>
  <c r="D117" i="15"/>
  <c r="D116" i="15"/>
  <c r="D115" i="15"/>
  <c r="D117" i="14"/>
  <c r="D115" i="14"/>
  <c r="D116" i="14"/>
  <c r="D128" i="16" l="1"/>
  <c r="D130" i="16" s="1"/>
  <c r="D117" i="16"/>
  <c r="D118" i="16"/>
  <c r="D118" i="17"/>
  <c r="D119" i="17" s="1"/>
  <c r="D129" i="17" s="1"/>
  <c r="D130" i="17" s="1"/>
  <c r="D118" i="15"/>
  <c r="D119" i="15" s="1"/>
  <c r="D129" i="15" s="1"/>
  <c r="D130" i="15" s="1"/>
  <c r="D118" i="14"/>
  <c r="D119" i="14" s="1"/>
  <c r="D129" i="14" s="1"/>
  <c r="D130" i="14" s="1"/>
  <c r="D133" i="14" l="1"/>
  <c r="D135" i="14" s="1"/>
  <c r="D136" i="14" s="1"/>
  <c r="D5" i="13"/>
  <c r="F5" i="13" s="1"/>
  <c r="D133" i="17"/>
  <c r="D135" i="17" s="1"/>
  <c r="D136" i="17" s="1"/>
  <c r="D10" i="13"/>
  <c r="D120" i="16"/>
  <c r="D121" i="16" s="1"/>
  <c r="D131" i="16" s="1"/>
  <c r="D132" i="16" s="1"/>
  <c r="D135" i="16" s="1"/>
  <c r="D137" i="16" s="1"/>
  <c r="D138" i="16" s="1"/>
  <c r="D133" i="15"/>
  <c r="D135" i="15" s="1"/>
  <c r="D136" i="15" s="1"/>
  <c r="D6" i="13"/>
  <c r="F6" i="13" s="1"/>
  <c r="D7" i="13" l="1"/>
  <c r="F7" i="13" s="1"/>
  <c r="F8" i="13" l="1"/>
  <c r="F9" i="13" l="1"/>
  <c r="F10" i="13" l="1"/>
  <c r="F11" i="13" l="1"/>
  <c r="F12" i="13" l="1"/>
  <c r="F13" i="13" l="1"/>
  <c r="F14" i="13" l="1"/>
  <c r="F15" i="13" l="1"/>
  <c r="F16" i="13" l="1"/>
  <c r="F17" i="13" l="1"/>
  <c r="F18" i="13" l="1"/>
  <c r="F20" i="13" l="1"/>
  <c r="F19" i="13"/>
  <c r="F21" i="13" l="1"/>
  <c r="F22" i="13" s="1"/>
</calcChain>
</file>

<file path=xl/comments1.xml><?xml version="1.0" encoding="utf-8"?>
<comments xmlns="http://schemas.openxmlformats.org/spreadsheetml/2006/main">
  <authors>
    <author>LUAN LUCIO DA SILVA</author>
  </authors>
  <commentList>
    <comment ref="F21" authorId="0" shapeId="0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</commentList>
</comments>
</file>

<file path=xl/comments10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C45" authorId="0" shapeId="0">
      <text>
        <r>
          <rPr>
            <b/>
            <sz val="9"/>
            <color indexed="81"/>
            <rFont val="Segoe UI"/>
            <family val="2"/>
          </rPr>
          <t>As alíquotas do GIIL-RAT ou Seguro de Acidente de Trabalho - SAT são de 1%, 2% ou 3%. Esta alíquota é estabelecida de acordo com as atividades preponderantes e
correspondentes ao grau de risco.</t>
        </r>
        <r>
          <rPr>
            <sz val="9"/>
            <color indexed="81"/>
            <rFont val="Segoe UI"/>
            <family val="2"/>
          </rPr>
          <t xml:space="preserve">
X
O Fator Acidentário de Prevenção - FAP é um índice aplicado sobre a contribuição GIILRAT, que tanto pode resultar em aumento como diminuição da respectiva contribuição.
O FAP é um multiplicador aplicado sobre a alíquota do seguro no qual varia num
intervalo de 0,05% a 2,00%.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C45" authorId="0" shapeId="0">
      <text>
        <r>
          <rPr>
            <b/>
            <sz val="9"/>
            <color indexed="81"/>
            <rFont val="Segoe UI"/>
            <family val="2"/>
          </rPr>
          <t>As alíquotas do GIIL-RAT ou Seguro de Acidente de Trabalho - SAT são de 1%, 2% ou 3%. Esta alíquota é estabelecida de acordo com as atividades preponderantes e
correspondentes ao grau de risco.</t>
        </r>
        <r>
          <rPr>
            <sz val="9"/>
            <color indexed="81"/>
            <rFont val="Segoe UI"/>
            <family val="2"/>
          </rPr>
          <t xml:space="preserve">
X
O Fator Acidentário de Prevenção - FAP é um índice aplicado sobre a contribuição GIILRAT, que tanto pode resultar em aumento como diminuição da respectiva contribuição.
O FAP é um multiplicador aplicado sobre a alíquota do seguro no qual varia num
intervalo de 0,05% a 2,00%.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C45" authorId="0" shapeId="0">
      <text>
        <r>
          <rPr>
            <b/>
            <sz val="9"/>
            <color indexed="81"/>
            <rFont val="Segoe UI"/>
            <family val="2"/>
          </rPr>
          <t>As alíquotas do GIIL-RAT ou Seguro de Acidente de Trabalho - SAT são de 1%, 2% ou 3%. Esta alíquota é estabelecida de acordo com as atividades preponderantes e
correspondentes ao grau de risco.</t>
        </r>
        <r>
          <rPr>
            <sz val="9"/>
            <color indexed="81"/>
            <rFont val="Segoe UI"/>
            <family val="2"/>
          </rPr>
          <t xml:space="preserve">
X
O Fator Acidentário de Prevenção - FAP é um índice aplicado sobre a contribuição GIILRAT, que tanto pode resultar em aumento como diminuição da respectiva contribuição.
O FAP é um multiplicador aplicado sobre a alíquota do seguro no qual varia num
intervalo de 0,05% a 2,00%.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C45" authorId="0" shapeId="0">
      <text>
        <r>
          <rPr>
            <b/>
            <sz val="9"/>
            <color indexed="81"/>
            <rFont val="Segoe UI"/>
            <family val="2"/>
          </rPr>
          <t>As alíquotas do GIIL-RAT ou Seguro de Acidente de Trabalho - SAT são de 1%, 2% ou 3%. Esta alíquota é estabelecida de acordo com as atividades preponderantes e
correspondentes ao grau de risco.</t>
        </r>
        <r>
          <rPr>
            <sz val="9"/>
            <color indexed="81"/>
            <rFont val="Segoe UI"/>
            <family val="2"/>
          </rPr>
          <t xml:space="preserve">
X
O Fator Acidentário de Prevenção - FAP é um índice aplicado sobre a contribuição GIILRAT, que tanto pode resultar em aumento como diminuição da respectiva contribuição.
O FAP é um multiplicador aplicado sobre a alíquota do seguro no qual varia num
intervalo de 0,05% a 2,00%.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LUAN LUCIO DA SILVA</author>
  </authors>
  <commentList>
    <comment ref="B39" authorId="0" shapeId="0">
      <text>
        <r>
          <rPr>
            <b/>
            <sz val="9"/>
            <color indexed="81"/>
            <rFont val="Segoe UI"/>
            <family val="2"/>
          </rPr>
          <t>Não será considerado o Valor de férias haja vista o valor pago ao funcionários já estar contemplado no Módulo 1</t>
        </r>
      </text>
    </comment>
    <comment ref="C39" authorId="0" shapeId="0">
      <text>
        <r>
          <rPr>
            <b/>
            <sz val="9"/>
            <color indexed="81"/>
            <rFont val="Segoe UI"/>
            <family val="2"/>
          </rPr>
          <t>1 salário x (1/11) = 0,09090 ≅ 9,075% IN 05/2017 SEGES
+
Adicional de Férias (1/3) = 3,025%
Utilizar: 1/12 = 8,33%, logo terço de férrias = 0,0833/3 = 0,0278</t>
        </r>
      </text>
    </comment>
    <comment ref="C45" authorId="0" shapeId="0">
      <text>
        <r>
          <rPr>
            <sz val="9"/>
            <color indexed="81"/>
            <rFont val="Segoe UI"/>
            <family val="2"/>
          </rPr>
          <t>As alíquotas do GIIL-RAT ou Seguro de Acidente de Trabalho -</t>
        </r>
        <r>
          <rPr>
            <b/>
            <sz val="9"/>
            <color indexed="81"/>
            <rFont val="Segoe UI"/>
            <family val="2"/>
          </rPr>
          <t xml:space="preserve"> SAT são de 1%, 2% ou 3%.</t>
        </r>
        <r>
          <rPr>
            <sz val="9"/>
            <color indexed="81"/>
            <rFont val="Segoe UI"/>
            <family val="2"/>
          </rPr>
          <t xml:space="preserve"> Esta alíquota é estabelecida de acordo com as atividades preponderantes e
correspondentes ao grau de risco.
X
O Fator Acidentário de Prevenção - FAP é um índice aplicado sobre a contribuição GIILRAT, que tanto pode resultar em aumento como diminuição da respectiva contribuição.
O </t>
        </r>
        <r>
          <rPr>
            <b/>
            <sz val="9"/>
            <color indexed="81"/>
            <rFont val="Segoe UI"/>
            <family val="2"/>
          </rPr>
          <t>FAP</t>
        </r>
        <r>
          <rPr>
            <sz val="9"/>
            <color indexed="81"/>
            <rFont val="Segoe UI"/>
            <family val="2"/>
          </rPr>
          <t xml:space="preserve"> é um multiplicador aplicado sobre a alíquota do seguro no qual varia num
intervalo de </t>
        </r>
        <r>
          <rPr>
            <b/>
            <sz val="9"/>
            <color indexed="81"/>
            <rFont val="Segoe UI"/>
            <family val="2"/>
          </rPr>
          <t>0,05% a 2,00% *(de acordo com o CNAE)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prorrogação, referente ao Percentual de desligamentos)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60 meses, considerando 1 indenizado
</t>
        </r>
        <r>
          <rPr>
            <sz val="9"/>
            <color indexed="81"/>
            <rFont val="Segoe UI"/>
            <family val="2"/>
          </rPr>
          <t xml:space="preserve">
+
13º e Remuneração Indenizada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LUAN LUCIO DA SILVA</author>
  </authors>
  <commentList>
    <comment ref="B39" authorId="0" shapeId="0">
      <text>
        <r>
          <rPr>
            <b/>
            <sz val="9"/>
            <color indexed="81"/>
            <rFont val="Segoe UI"/>
            <family val="2"/>
          </rPr>
          <t>Não será considerado o Valor de férias haja vista o valor pago ao funcionários já estar contemplado no Módulo 1</t>
        </r>
      </text>
    </commen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C45" authorId="0" shapeId="0">
      <text>
        <r>
          <rPr>
            <sz val="9"/>
            <color indexed="81"/>
            <rFont val="Segoe UI"/>
            <family val="2"/>
          </rPr>
          <t>As alíquotas do GIIL-RAT ou Seguro de Acidente de Trabalho -</t>
        </r>
        <r>
          <rPr>
            <b/>
            <sz val="9"/>
            <color indexed="81"/>
            <rFont val="Segoe UI"/>
            <family val="2"/>
          </rPr>
          <t xml:space="preserve"> SAT são de 1%, 2% ou 3%.</t>
        </r>
        <r>
          <rPr>
            <sz val="9"/>
            <color indexed="81"/>
            <rFont val="Segoe UI"/>
            <family val="2"/>
          </rPr>
          <t xml:space="preserve"> Esta alíquota é estabelecida de acordo com as atividades preponderantes e
correspondentes ao grau de risco.
X
O Fator Acidentário de Prevenção - FAP é um índice aplicado sobre a contribuição GIILRAT, que tanto pode resultar em aumento como diminuição da respectiva contribuição.
O </t>
        </r>
        <r>
          <rPr>
            <b/>
            <sz val="9"/>
            <color indexed="81"/>
            <rFont val="Segoe UI"/>
            <family val="2"/>
          </rPr>
          <t>FAP</t>
        </r>
        <r>
          <rPr>
            <sz val="9"/>
            <color indexed="81"/>
            <rFont val="Segoe UI"/>
            <family val="2"/>
          </rPr>
          <t xml:space="preserve"> é um multiplicador aplicado sobre a alíquota do seguro no qual varia num
intervalo de </t>
        </r>
        <r>
          <rPr>
            <b/>
            <sz val="9"/>
            <color indexed="81"/>
            <rFont val="Segoe UI"/>
            <family val="2"/>
          </rPr>
          <t>0,05% a 2,00% *(de acordo com o CNAE)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02" authorId="0" shapeId="0">
      <text>
        <r>
          <rPr>
            <b/>
            <sz val="9"/>
            <color indexed="81"/>
            <rFont val="Segoe UI"/>
            <family val="2"/>
          </rPr>
          <t>Valor Referência (Processo 08490.010064/2018-93 - Aparelhos Telefônicos da PF/SC):
Custo Unitário do Aparelho:
R$ 66,80 (Anual em 12x) x 24 meses
+
Custo Linha:
(1.400 minutos x R$ 0,11/ valor do minuto) mensais</t>
        </r>
      </text>
    </comment>
  </commentList>
</comments>
</file>

<file path=xl/comments4.xml><?xml version="1.0" encoding="utf-8"?>
<comments xmlns="http://schemas.openxmlformats.org/spreadsheetml/2006/main">
  <authors>
    <author>LUAN LUCIO DA SILVA</author>
  </authors>
  <commentList>
    <comment ref="C30" authorId="0" shapeId="0">
      <text>
        <r>
          <rPr>
            <b/>
            <sz val="9"/>
            <color indexed="81"/>
            <rFont val="Segoe UI"/>
            <family val="2"/>
          </rPr>
          <t>Nº de horas extras estimadas</t>
        </r>
      </text>
    </comment>
    <comment ref="C31" authorId="0" shapeId="0">
      <text>
        <r>
          <rPr>
            <b/>
            <sz val="9"/>
            <color indexed="81"/>
            <rFont val="Segoe UI"/>
            <family val="2"/>
          </rPr>
          <t xml:space="preserve">Proporção 16,25%= (0,2+0,125) x 0,5)
50% - Probabilidade histórica da hora extra ser em horário noturno
20% - Adicional Nortuno
12,5% - Hora deve ser computada como 52 (cinquenta e dois) minutos e 30 (trinta) segundos. Ou seja, cada hora noturna sofre a redução de 7 minutos e 30 segundos  (7,5/60)
</t>
        </r>
      </text>
    </comment>
    <comment ref="C32" authorId="0" shapeId="0">
      <text>
        <r>
          <rPr>
            <b/>
            <sz val="9"/>
            <color indexed="81"/>
            <rFont val="Segoe UI"/>
            <family val="2"/>
          </rPr>
          <t xml:space="preserve">Proporção 2,973 % + (100% - adicional)
2,973 % = </t>
        </r>
        <r>
          <rPr>
            <b/>
            <u/>
            <sz val="9"/>
            <color indexed="81"/>
            <rFont val="Segoe UI"/>
            <family val="2"/>
          </rPr>
          <t>((11 x 71,429%) + 3) x 100</t>
        </r>
        <r>
          <rPr>
            <b/>
            <sz val="9"/>
            <color indexed="81"/>
            <rFont val="Segoe UI"/>
            <family val="2"/>
          </rPr>
          <t xml:space="preserve">
                         365,25
11 : nº de feriados no ano 
3 : número de feriados móveis
71,429% = 5/7 (probabilidade de o feriado ocorrer em dia de expediente na semana).
365,25 – número de dias no ano considerando o ano bissexto.</t>
        </r>
      </text>
    </comment>
    <comment ref="B40" authorId="0" shapeId="0">
      <text>
        <r>
          <rPr>
            <b/>
            <sz val="9"/>
            <color indexed="81"/>
            <rFont val="Segoe UI"/>
            <family val="2"/>
          </rPr>
          <t>Não será considerado o Valor de férias haja vista o valor pago ao funcionários já estar contemplado no Módulo 1</t>
        </r>
      </text>
    </comment>
    <comment ref="C46" authorId="0" shapeId="0">
      <text>
        <r>
          <rPr>
            <sz val="9"/>
            <color indexed="81"/>
            <rFont val="Segoe UI"/>
            <family val="2"/>
          </rPr>
          <t>As alíquotas do GIIL-RAT ou Seguro de Acidente de Trabalho -</t>
        </r>
        <r>
          <rPr>
            <b/>
            <sz val="9"/>
            <color indexed="81"/>
            <rFont val="Segoe UI"/>
            <family val="2"/>
          </rPr>
          <t xml:space="preserve"> SAT são de 1%, 2% ou 3%.</t>
        </r>
        <r>
          <rPr>
            <sz val="9"/>
            <color indexed="81"/>
            <rFont val="Segoe UI"/>
            <family val="2"/>
          </rPr>
          <t xml:space="preserve"> Esta alíquota é estabelecida de acordo com as atividades preponderantes e
correspondentes ao grau de risco.
X
O Fator Acidentário de Prevenção - FAP é um índice aplicado sobre a contribuição GIILRAT, que tanto pode resultar em aumento como diminuição da respectiva contribuição.
O </t>
        </r>
        <r>
          <rPr>
            <b/>
            <sz val="9"/>
            <color indexed="81"/>
            <rFont val="Segoe UI"/>
            <family val="2"/>
          </rPr>
          <t>FAP</t>
        </r>
        <r>
          <rPr>
            <sz val="9"/>
            <color indexed="81"/>
            <rFont val="Segoe UI"/>
            <family val="2"/>
          </rPr>
          <t xml:space="preserve"> é um multiplicador aplicado sobre a alíquota do seguro no qual varia num
intervalo de </t>
        </r>
        <r>
          <rPr>
            <b/>
            <sz val="9"/>
            <color indexed="81"/>
            <rFont val="Segoe UI"/>
            <family val="2"/>
          </rPr>
          <t>0,05% a 2,00% *(de acordo com o CNAE)</t>
        </r>
      </text>
    </comment>
    <comment ref="D55" authorId="0" shapeId="0">
      <text>
        <r>
          <rPr>
            <b/>
            <sz val="9"/>
            <color indexed="81"/>
            <rFont val="Segoe UI"/>
            <family val="2"/>
          </rPr>
          <t>Multiplicado por 11/12 ou 91,66%, tendo em vista que no mês de férias não receberá VT</t>
        </r>
      </text>
    </comment>
    <comment ref="A71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1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1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4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4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7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8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1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8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03" authorId="0" shapeId="0">
      <text>
        <r>
          <rPr>
            <b/>
            <sz val="9"/>
            <color indexed="81"/>
            <rFont val="Segoe UI"/>
            <family val="2"/>
          </rPr>
          <t xml:space="preserve">Incluso neste Módulo pois deve incidir tão apenas o Módulo 6.
</t>
        </r>
        <r>
          <rPr>
            <sz val="9"/>
            <color indexed="81"/>
            <rFont val="Segoe UI"/>
            <family val="2"/>
          </rPr>
          <t xml:space="preserve">Enunciado TST 101 - Diárias de Viagem. Salário - Res. 129/2005 - DJ 20.04.2005:
   Não integram remuneração: 
 - diárias para viagem que não excedam de 50% cinquenta por cento) do salário percebido pelo empregado, além de outras verbas que não dizem respeito a este trabalho.
</t>
        </r>
      </text>
    </comment>
  </commentList>
</comments>
</file>

<file path=xl/comments5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C45" authorId="0" shapeId="0">
      <text>
        <r>
          <rPr>
            <sz val="9"/>
            <color indexed="81"/>
            <rFont val="Segoe UI"/>
            <family val="2"/>
          </rPr>
          <t>As alíquotas do GIIL-RAT ou Seguro de Acidente de Trabalho -</t>
        </r>
        <r>
          <rPr>
            <b/>
            <sz val="9"/>
            <color indexed="81"/>
            <rFont val="Segoe UI"/>
            <family val="2"/>
          </rPr>
          <t xml:space="preserve"> SAT são de 1%, 2% ou 3%.</t>
        </r>
        <r>
          <rPr>
            <sz val="9"/>
            <color indexed="81"/>
            <rFont val="Segoe UI"/>
            <family val="2"/>
          </rPr>
          <t xml:space="preserve"> Esta alíquota é estabelecida de acordo com as atividades preponderantes e
correspondentes ao grau de risco.
X
O Fator Acidentário de Prevenção - FAP é um índice aplicado sobre a contribuição GIILRAT, que tanto pode resultar em aumento como diminuição da respectiva contribuição.
O </t>
        </r>
        <r>
          <rPr>
            <b/>
            <sz val="9"/>
            <color indexed="81"/>
            <rFont val="Segoe UI"/>
            <family val="2"/>
          </rPr>
          <t>FAP</t>
        </r>
        <r>
          <rPr>
            <sz val="9"/>
            <color indexed="81"/>
            <rFont val="Segoe UI"/>
            <family val="2"/>
          </rPr>
          <t xml:space="preserve"> é um multiplicador aplicado sobre a alíquota do seguro no qual varia num
intervalo de </t>
        </r>
        <r>
          <rPr>
            <b/>
            <sz val="9"/>
            <color indexed="81"/>
            <rFont val="Segoe UI"/>
            <family val="2"/>
          </rPr>
          <t>0,05% a 2,00% *(de acordo com o CNAE)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LUAN LUCIO DA SILVA</author>
  </authors>
  <commentList>
    <comment ref="C30" authorId="0" shapeId="0">
      <text>
        <r>
          <rPr>
            <b/>
            <sz val="9"/>
            <color indexed="81"/>
            <rFont val="Segoe UI"/>
            <family val="2"/>
          </rPr>
          <t>Nº de horas extras estimadas</t>
        </r>
      </text>
    </comment>
    <comment ref="C31" authorId="0" shapeId="0">
      <text>
        <r>
          <rPr>
            <b/>
            <sz val="9"/>
            <color indexed="81"/>
            <rFont val="Segoe UI"/>
            <family val="2"/>
          </rPr>
          <t xml:space="preserve">Proporção 16,25%= (0,2+0,125) x 0,5)
50% - Probabilidade histórica da hora extra ser em horário noturno
20% - Adicional Nortuno
12,5% - Hora deve ser computada como 52 (cinquenta e dois) minutos e 30 (trinta) segundos. Ou seja, cada hora noturna sofre a redução de 7 minutos e 30 segundos  (7,5/60)
</t>
        </r>
      </text>
    </comment>
    <comment ref="C32" authorId="0" shapeId="0">
      <text>
        <r>
          <rPr>
            <b/>
            <sz val="9"/>
            <color indexed="81"/>
            <rFont val="Segoe UI"/>
            <family val="2"/>
          </rPr>
          <t xml:space="preserve">Proporção 2,973 % + (100% - adicional)
2,973 % = </t>
        </r>
        <r>
          <rPr>
            <b/>
            <u/>
            <sz val="9"/>
            <color indexed="81"/>
            <rFont val="Segoe UI"/>
            <family val="2"/>
          </rPr>
          <t>((11 x 71,429%) + 3) x 100</t>
        </r>
        <r>
          <rPr>
            <b/>
            <sz val="9"/>
            <color indexed="81"/>
            <rFont val="Segoe UI"/>
            <family val="2"/>
          </rPr>
          <t xml:space="preserve">
                         365,25
11 : nº de feriados no ano 
3 : número de feriados móveis
71,429% = 5/7 (probabilidade de o feriado ocorrer em dia de expediente na semana).
365,25 – número de dias no ano considerando o ano bissexto.</t>
        </r>
      </text>
    </comment>
    <comment ref="B40" authorId="0" shapeId="0">
      <text>
        <r>
          <rPr>
            <b/>
            <sz val="9"/>
            <color indexed="81"/>
            <rFont val="Segoe UI"/>
            <family val="2"/>
          </rPr>
          <t>Não será considerado o Valor de férias haja vista o valor pago ao funcionários já estar contemplado no Módulo 1</t>
        </r>
      </text>
    </comment>
    <comment ref="C46" authorId="0" shapeId="0">
      <text>
        <r>
          <rPr>
            <b/>
            <sz val="9"/>
            <color indexed="81"/>
            <rFont val="Segoe UI"/>
            <family val="2"/>
          </rPr>
          <t>As alíquotas do GIIL-RAT ou Seguro de Acidente de Trabalho - SAT são de 1%, 2% ou 3%. Esta alíquota é estabelecida de acordo com as atividades preponderantes e
correspondentes ao grau de risco.</t>
        </r>
        <r>
          <rPr>
            <sz val="9"/>
            <color indexed="81"/>
            <rFont val="Segoe UI"/>
            <family val="2"/>
          </rPr>
          <t xml:space="preserve">
X
O Fator Acidentário de Prevenção - FAP é um índice aplicado sobre a contribuição GIILRAT, que tanto pode resultar em aumento como diminuição da respectiva contribuição.
O FAP é um multiplicador aplicado sobre a alíquota do seguro no qual varia num
intervalo de 0,05% a 2,00%.</t>
        </r>
      </text>
    </comment>
    <comment ref="D55" authorId="0" shapeId="0">
      <text>
        <r>
          <rPr>
            <b/>
            <sz val="9"/>
            <color indexed="81"/>
            <rFont val="Segoe UI"/>
            <family val="2"/>
          </rPr>
          <t>Multiplicado por 11/12 ou 91,66%, tendo em vista que no mês de férias não receberá VT</t>
        </r>
      </text>
    </comment>
    <comment ref="A71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1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1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4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4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7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8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1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8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03" authorId="0" shapeId="0">
      <text>
        <r>
          <rPr>
            <b/>
            <sz val="9"/>
            <color indexed="81"/>
            <rFont val="Segoe UI"/>
            <family val="2"/>
          </rPr>
          <t xml:space="preserve">Incluso neste Módulo pois deve incidir tão apenas o Módulo 6.
</t>
        </r>
        <r>
          <rPr>
            <sz val="9"/>
            <color indexed="81"/>
            <rFont val="Segoe UI"/>
            <family val="2"/>
          </rPr>
          <t xml:space="preserve">Enunciado TST 101 - Diárias de Viagem. Salário - Res. 129/2005 - DJ 20.04.2005:
   Não integram remuneração: 
 - diárias para viagem que não excedam de 50% cinquenta por cento) do salário percebido pelo empregado, além de outras verbas que não dizem respeito a este trabalho.
</t>
        </r>
      </text>
    </comment>
  </commentList>
</comments>
</file>

<file path=xl/comments7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C45" authorId="0" shapeId="0">
      <text>
        <r>
          <rPr>
            <b/>
            <sz val="9"/>
            <color indexed="81"/>
            <rFont val="Segoe UI"/>
            <family val="2"/>
          </rPr>
          <t>As alíquotas do GIIL-RAT ou Seguro de Acidente de Trabalho - SAT são de 1%, 2% ou 3%. Esta alíquota é estabelecida de acordo com as atividades preponderantes e
correspondentes ao grau de risco.</t>
        </r>
        <r>
          <rPr>
            <sz val="9"/>
            <color indexed="81"/>
            <rFont val="Segoe UI"/>
            <family val="2"/>
          </rPr>
          <t xml:space="preserve">
X
O Fator Acidentário de Prevenção - FAP é um índice aplicado sobre a contribuição GIILRAT, que tanto pode resultar em aumento como diminuição da respectiva contribuição.
O FAP é um multiplicador aplicado sobre a alíquota do seguro no qual varia num
intervalo de 0,05% a 2,00%.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LUAN LUCIO DA SILVA</author>
  </authors>
  <commentList>
    <comment ref="C39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A70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0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0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6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0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<sst xmlns="http://schemas.openxmlformats.org/spreadsheetml/2006/main" count="3478" uniqueCount="228">
  <si>
    <t>Total Mensal</t>
  </si>
  <si>
    <t>Quantidade</t>
  </si>
  <si>
    <t>Valor Unitário</t>
  </si>
  <si>
    <t>RESUMO GERAL</t>
  </si>
  <si>
    <t>Subtotal</t>
  </si>
  <si>
    <t>Data base da categoria (dia/mês/ano)</t>
  </si>
  <si>
    <t>Salário Normativo da Categoria Profissional</t>
  </si>
  <si>
    <t>Município/UF</t>
  </si>
  <si>
    <t>Data de apresentação da proposta (dia/mês/ano)</t>
  </si>
  <si>
    <t>PLANILHA DE CUSTOS E FORMAÇÃO DE PREÇOS</t>
  </si>
  <si>
    <t>Discriminação dos Materiais</t>
  </si>
  <si>
    <t>Valor Total</t>
  </si>
  <si>
    <t>Durabilidade (meses)</t>
  </si>
  <si>
    <t>Depreciação mensal</t>
  </si>
  <si>
    <t>Sapato social</t>
  </si>
  <si>
    <t>Total</t>
  </si>
  <si>
    <t>Crachá</t>
  </si>
  <si>
    <t>Quantidade Auxiliar</t>
  </si>
  <si>
    <t>08490.009245/2019-58</t>
  </si>
  <si>
    <t>Valor unitário do Posto de Auxiliar Administrativo</t>
  </si>
  <si>
    <t xml:space="preserve">Nº Processo </t>
  </si>
  <si>
    <t xml:space="preserve">Licitação </t>
  </si>
  <si>
    <t>Discriminação dos Serviços (dados referentes à contratação)</t>
  </si>
  <si>
    <t xml:space="preserve">A </t>
  </si>
  <si>
    <t>B</t>
  </si>
  <si>
    <t>Florianópolis - Santa Catarina</t>
  </si>
  <si>
    <t>C</t>
  </si>
  <si>
    <t>Ano Acordo, Convenção ou Sentença Normativa em Dissídio Coletivo</t>
  </si>
  <si>
    <t>D</t>
  </si>
  <si>
    <t>Tipo de serviço</t>
  </si>
  <si>
    <t>Continuado</t>
  </si>
  <si>
    <t>E</t>
  </si>
  <si>
    <t>Unidade de medida</t>
  </si>
  <si>
    <t>HOMEM-MÊS</t>
  </si>
  <si>
    <t>F</t>
  </si>
  <si>
    <t>Quantidade (total) a contratar (em função da unidade de medida)</t>
  </si>
  <si>
    <t>G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</si>
  <si>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</si>
  <si>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</si>
  <si>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</si>
  <si>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</si>
  <si>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Classificação Brasileira de Ocupações</t>
  </si>
  <si>
    <t>4101-05</t>
  </si>
  <si>
    <t>Dados complementares para composição dos custos referente à mão-de-obra</t>
  </si>
  <si>
    <t>Categoria profissional (vinculada à execução contratual)</t>
  </si>
  <si>
    <t>MÓDULO 1: COMPOSIÇÃO DA REMUNERAÇÃO</t>
  </si>
  <si>
    <t>Composição da remuneração</t>
  </si>
  <si>
    <t>Valor (R$)</t>
  </si>
  <si>
    <t>A</t>
  </si>
  <si>
    <t>Salário Base (Quantidade horas mensais)</t>
  </si>
  <si>
    <t>Adicional de periculosidade</t>
  </si>
  <si>
    <t>Adicional de insalubridade</t>
  </si>
  <si>
    <t>Adicional noturno</t>
  </si>
  <si>
    <t>Adicional Hora Noturna Reduzida</t>
  </si>
  <si>
    <t>Outros (especificar)</t>
  </si>
  <si>
    <t>Total da Remuneração</t>
  </si>
  <si>
    <t>MÓDULO 2: ENCARGOS E BENEFÍCIOS ANUAIS, MENSAIS E DIÁRIOS</t>
  </si>
  <si>
    <t xml:space="preserve">2.1 </t>
  </si>
  <si>
    <t>13º (décimo terceiro) Salário, Férias e Adicional de Férias</t>
  </si>
  <si>
    <t>%</t>
  </si>
  <si>
    <t>13º (décimo terceiro) Salário</t>
  </si>
  <si>
    <t>Férias e Adicional de Férias</t>
  </si>
  <si>
    <t>2.2</t>
  </si>
  <si>
    <t>GPS, FGTS e outras contribuições</t>
  </si>
  <si>
    <t>INSS</t>
  </si>
  <si>
    <t>Salário Educação</t>
  </si>
  <si>
    <t>SAT</t>
  </si>
  <si>
    <t>SESC ou SESI</t>
  </si>
  <si>
    <t>SENAI - SENAC</t>
  </si>
  <si>
    <t>SEBRAE</t>
  </si>
  <si>
    <t>INCRA</t>
  </si>
  <si>
    <t>H</t>
  </si>
  <si>
    <t>FGTS</t>
  </si>
  <si>
    <t xml:space="preserve">2.3 </t>
  </si>
  <si>
    <t>Benefícios Mensais e Diários</t>
  </si>
  <si>
    <t>Valor unitário</t>
  </si>
  <si>
    <t>Transporte</t>
  </si>
  <si>
    <t>Auxílio-Refeição/Alimentação</t>
  </si>
  <si>
    <t>Assistência Médica e Familiar</t>
  </si>
  <si>
    <t>Total de Encargos e Benefícios</t>
  </si>
  <si>
    <t>Quadro-Resumo - Módulo 2 - Encargos e Benefícios Anuais, Mensais e Diários</t>
  </si>
  <si>
    <t>2.1</t>
  </si>
  <si>
    <t>2.3</t>
  </si>
  <si>
    <t>Provisão para Rescisão</t>
  </si>
  <si>
    <t>Incidência do FGTS sobre o Aviso Prévio Indenizado</t>
  </si>
  <si>
    <t>Incidência dos encargos do submódulo 2.2 sobre o Aviso Prévio Trabalhado</t>
  </si>
  <si>
    <t>Total de Provisão para Rescisão</t>
  </si>
  <si>
    <t>MÓDULO 4 - CUSTO DE REPOSIÇÃO DO PROFISSIONAL AUSENTE</t>
  </si>
  <si>
    <t>4.1</t>
  </si>
  <si>
    <t>Ausências Legais</t>
  </si>
  <si>
    <t>Substituto - Cobertura Férias</t>
  </si>
  <si>
    <t>Substituto - Cobertura Licença-Paternidade</t>
  </si>
  <si>
    <t>Substituto - Cobertura Afastamento Maternidade</t>
  </si>
  <si>
    <t>MÓDULO 5 - INSUMOS DIVERSOS</t>
  </si>
  <si>
    <t>Insumos Diversos</t>
  </si>
  <si>
    <t>Total de Insumos Diversos</t>
  </si>
  <si>
    <t>TOTAL PARCIAL: MÓDULO 1 + 2 + 3 + 4+ 5</t>
  </si>
  <si>
    <t>MÓDULO 6 - CUSTOS 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</si>
  <si>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</si>
  <si>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</si>
  <si>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</si>
  <si>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</si>
  <si>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</si>
  <si>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</si>
  <si>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</si>
  <si>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</si>
  <si>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de Custos Indiretos, Tributos e Lucro</t>
  </si>
  <si>
    <t>QUADRO-RESUMO DO CUSTO MENSAL POR EMPREGADO</t>
  </si>
  <si>
    <t xml:space="preserve">Mão de obra vinculada à execução contratual 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</si>
  <si>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</si>
  <si>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</si>
  <si>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</si>
  <si>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</si>
  <si>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</si>
  <si>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</si>
  <si>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 xml:space="preserve">F </t>
  </si>
  <si>
    <t>Módulo 6 – Custos Indiretos, Tributos e Lucro</t>
  </si>
  <si>
    <t>Valor Total Mensal por Empregado</t>
  </si>
  <si>
    <t>xx/2020-200370</t>
  </si>
  <si>
    <t>xx/xx/xxxx</t>
  </si>
  <si>
    <t>Auxiliar de Escritório (44 horas semanais)</t>
  </si>
  <si>
    <t xml:space="preserve"> 4110-05</t>
  </si>
  <si>
    <t>B1</t>
  </si>
  <si>
    <t>Desconto empregado</t>
  </si>
  <si>
    <t>Materiais/Ferramentas - Ponto Biométrico</t>
  </si>
  <si>
    <t xml:space="preserve">ANEXO IV  </t>
  </si>
  <si>
    <t>Quadro-resumo – VALOR MENSAL DOS SERVIÇOS</t>
  </si>
  <si>
    <t>Tipo de Serviço (A)</t>
  </si>
  <si>
    <t>Média proposta por posto               (D) = (B x C)</t>
  </si>
  <si>
    <t>Qtde de postos        (E)</t>
  </si>
  <si>
    <t>VALOR MENSAL DOS POSTOS</t>
  </si>
  <si>
    <t>VALOR TOTAL</t>
  </si>
  <si>
    <t>MÓDULO 4:   ENCARGOS SOCIAIS E TRABALHISTAS</t>
  </si>
  <si>
    <t>TOTAL</t>
  </si>
  <si>
    <t>Total para 24 meses</t>
  </si>
  <si>
    <t>SR Auxiliar de Escritório</t>
  </si>
  <si>
    <t>SR Encarregado</t>
  </si>
  <si>
    <t>SR Motorista</t>
  </si>
  <si>
    <t>ITAJAÍ Motorista</t>
  </si>
  <si>
    <t>ITAJAÍ Lider</t>
  </si>
  <si>
    <t>ITAJAÍ Auxiliar de Escritório</t>
  </si>
  <si>
    <t>JOINVILLE Auxiliar de Escritório</t>
  </si>
  <si>
    <t>JOINVILLE Lider</t>
  </si>
  <si>
    <t>CRICIÚMA Auxiliar de Escritório</t>
  </si>
  <si>
    <t>CRICIÚMA Lider</t>
  </si>
  <si>
    <t>LAGES Auxiliar de Escritório</t>
  </si>
  <si>
    <t>LAGES Lider</t>
  </si>
  <si>
    <t>CHAPECÓ Auxiliar de Escritório</t>
  </si>
  <si>
    <t>CHAPECÓ Lider</t>
  </si>
  <si>
    <t>DIONÍSIO CERQ. Auxiliar de Escritório</t>
  </si>
  <si>
    <t>DIONÍSIO CERQ. Lider</t>
  </si>
  <si>
    <r>
      <t xml:space="preserve">MÓDULO 3 - </t>
    </r>
    <r>
      <rPr>
        <b/>
        <sz val="11"/>
        <color rgb="FFFF0000"/>
        <rFont val="Franklin Gothic Book"/>
        <family val="2"/>
      </rPr>
      <t>CUSTOS COM</t>
    </r>
    <r>
      <rPr>
        <b/>
        <sz val="11"/>
        <color rgb="FF000000"/>
        <rFont val="Franklin Gothic Book"/>
        <family val="2"/>
      </rPr>
      <t xml:space="preserve"> RESCISÃO</t>
    </r>
  </si>
  <si>
    <t>A1</t>
  </si>
  <si>
    <t>Ajuda de Custo - Diária por deslocamento da cidade</t>
  </si>
  <si>
    <t xml:space="preserve"> </t>
  </si>
  <si>
    <t>Adicional Hora Extra com Adicional de 100% - feriados</t>
  </si>
  <si>
    <t>Adicional Hora Extra Normal - Adicional 50%</t>
  </si>
  <si>
    <t>D1</t>
  </si>
  <si>
    <t>D2</t>
  </si>
  <si>
    <t>D3</t>
  </si>
  <si>
    <t>Adicional de Férias</t>
  </si>
  <si>
    <t>A2</t>
  </si>
  <si>
    <t>A3</t>
  </si>
  <si>
    <t>B2</t>
  </si>
  <si>
    <t>B3</t>
  </si>
  <si>
    <t>Montante dos depósitos realizado nos meses de serviços prestados</t>
  </si>
  <si>
    <t>Substituto - Cobertura Ausências Legais</t>
  </si>
  <si>
    <t>Substituto - Cobertura ausência por doenças</t>
  </si>
  <si>
    <t>Substituto - Cobertura Acidente de trabalho</t>
  </si>
  <si>
    <t>Adicional Hora Noturna e Hora Extra Noturna</t>
  </si>
  <si>
    <t>B4</t>
  </si>
  <si>
    <t>MÓDULO 5 - INSUMOS DIVERSOS E AJUDAS DE CUSTOS</t>
  </si>
  <si>
    <t>Desligamentos com custos</t>
  </si>
  <si>
    <t>Meias sociais</t>
  </si>
  <si>
    <t>Cinto</t>
  </si>
  <si>
    <t>Valor Un.</t>
  </si>
  <si>
    <t>MÓDULO 5  - COMPOSIÇÃO VALOR MENSAL</t>
  </si>
  <si>
    <t>A - UNIFORMES</t>
  </si>
  <si>
    <t>B - PONTO BIOMÉTRICO</t>
  </si>
  <si>
    <t>Ponto biométrico com impressora</t>
  </si>
  <si>
    <t>Camisa - longa</t>
  </si>
  <si>
    <t>camiseta - curta</t>
  </si>
  <si>
    <t xml:space="preserve">Calça </t>
  </si>
  <si>
    <t>Nº de funcionários (uso do equip.) por localidade</t>
  </si>
  <si>
    <t>SR</t>
  </si>
  <si>
    <t>IJI</t>
  </si>
  <si>
    <t>JVE</t>
  </si>
  <si>
    <t>CCM</t>
  </si>
  <si>
    <t>LGE</t>
  </si>
  <si>
    <t>XAP</t>
  </si>
  <si>
    <t>DCQ</t>
  </si>
  <si>
    <t>Local</t>
  </si>
  <si>
    <t>Nº func.</t>
  </si>
  <si>
    <t>Deprec. / func.</t>
  </si>
  <si>
    <t>Uniformes</t>
  </si>
  <si>
    <t>Joinville - Santa Catarina</t>
  </si>
  <si>
    <t>Itajaí - Santa Catarina</t>
  </si>
  <si>
    <t>Criciúma - Santa Catarina</t>
  </si>
  <si>
    <t/>
  </si>
  <si>
    <t>Lages - Santa Catarina</t>
  </si>
  <si>
    <t>Chapecó - Santa Catarina</t>
  </si>
  <si>
    <t>Dionísio Cerqueira - Santa Catarina</t>
  </si>
  <si>
    <t>Jaqueta (inverno)</t>
  </si>
  <si>
    <t>Suéter ou Blazer</t>
  </si>
  <si>
    <t>Valor Mensal total do Serviço  (F) = (D x E)</t>
  </si>
  <si>
    <r>
      <t>Multa do FGTS</t>
    </r>
    <r>
      <rPr>
        <strike/>
        <sz val="11"/>
        <color rgb="FFFF0000"/>
        <rFont val="Franklin Gothic Book"/>
        <family val="2"/>
      </rPr>
      <t xml:space="preserve"> e contribuição social </t>
    </r>
    <r>
      <rPr>
        <sz val="11"/>
        <color theme="1"/>
        <rFont val="Franklin Gothic Book"/>
        <family val="2"/>
      </rPr>
      <t>sobre o Aviso Prévio Indenizado</t>
    </r>
  </si>
  <si>
    <r>
      <t>Multa do FGTS</t>
    </r>
    <r>
      <rPr>
        <strike/>
        <sz val="11"/>
        <color rgb="FFFF0000"/>
        <rFont val="Franklin Gothic Book"/>
        <family val="2"/>
      </rPr>
      <t xml:space="preserve"> e contribuição social</t>
    </r>
    <r>
      <rPr>
        <sz val="11"/>
        <color theme="1"/>
        <rFont val="Franklin Gothic Book"/>
        <family val="2"/>
      </rPr>
      <t xml:space="preserve"> sobre o Aviso Prévio Trabalhado</t>
    </r>
  </si>
  <si>
    <t>Aviso Prévio Trabalhado com Probabilidade</t>
  </si>
  <si>
    <t>Aviso Prévio Indenizado com Probabilidade</t>
  </si>
  <si>
    <t>A Subtotal</t>
  </si>
  <si>
    <t>Remuneração de um mês indenizado</t>
  </si>
  <si>
    <t>-</t>
  </si>
  <si>
    <t>MÓDULO 6 - CUSTOS INDIRETOS, TRIBUTOS E LUCRO</t>
  </si>
  <si>
    <t>Remuneração de um mês de serviço indenizado</t>
  </si>
  <si>
    <t>CAP - CONTRIBUIÇÃO ASSISTENCIAL PATRONAL</t>
  </si>
  <si>
    <t>CAS - Fundo de Assistência ao Empregado</t>
  </si>
  <si>
    <t>(meses)</t>
  </si>
  <si>
    <t>Discriminação do Serviçpo</t>
  </si>
  <si>
    <t>Valor Anual</t>
  </si>
  <si>
    <t>Amortização mensal</t>
  </si>
  <si>
    <t>Nº de funcionários por localidade</t>
  </si>
  <si>
    <t>LTCAT, PCMSO e PPRA</t>
  </si>
  <si>
    <t>C - LTCAT, PPRA e PCMSO</t>
  </si>
  <si>
    <t>GRUPO 1 (7 unidades)</t>
  </si>
  <si>
    <r>
      <t xml:space="preserve">Total de </t>
    </r>
    <r>
      <rPr>
        <b/>
        <sz val="11"/>
        <color rgb="FFFF0000"/>
        <rFont val="Franklin Gothic Book"/>
        <family val="2"/>
      </rPr>
      <t>Custo proporcional</t>
    </r>
    <r>
      <rPr>
        <b/>
        <sz val="11"/>
        <color rgb="FF000000"/>
        <rFont val="Franklin Gothic Book"/>
        <family val="2"/>
      </rPr>
      <t xml:space="preserve"> para Rescisão</t>
    </r>
  </si>
  <si>
    <t>LTCAT</t>
  </si>
  <si>
    <t>PPRA e PCMSO</t>
  </si>
  <si>
    <t>CELULAR (VALOR PARA 24 MESES: APARELHO + CUSTOS MENSAIS)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</si>
</sst>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#,##0.00_ ;[Red]\-#,##0.00\ "/>
    <numFmt numFmtId="166" formatCode="0.0000"/>
    <numFmt numFmtId="167" formatCode="&quot;R$&quot;\ #,##0.00"/>
    <numFmt numFmtId="168" formatCode="_(* #,##0.00_);_(* \(#,##0.00\);_(* &quot;-&quot;??_);_(@_)"/>
    <numFmt numFmtId="169" formatCode="0.000%"/>
    <numFmt numFmtId="170" formatCode="0.000000%"/>
    <numFmt numFmtId="171" formatCode="0.000000"/>
    <numFmt numFmtId="172" formatCode="0.00000"/>
    <numFmt numFmtId="173" formatCode="0.00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Franklin Gothic Book"/>
      <family val="2"/>
    </font>
    <font>
      <sz val="11"/>
      <color theme="1"/>
      <name val="Franklin Gothic Book"/>
      <family val="2"/>
    </font>
    <font>
      <sz val="11"/>
      <color rgb="FF000000"/>
      <name val="Franklin Gothic Book"/>
      <family val="2"/>
    </font>
    <font>
      <b/>
      <sz val="11"/>
      <color theme="1"/>
      <name val="Franklin Gothic Book"/>
      <family val="2"/>
    </font>
    <font>
      <sz val="11"/>
      <name val="Franklin Gothic Book"/>
      <family val="2"/>
    </font>
    <font>
      <sz val="11"/>
      <color rgb="FFFF0000"/>
      <name val="Franklin Gothic Book"/>
      <family val="2"/>
    </font>
    <font>
      <b/>
      <sz val="8"/>
      <color rgb="FF000000"/>
      <name val="Franklin Gothic Book"/>
      <family val="2"/>
    </font>
    <font>
      <b/>
      <sz val="11"/>
      <color rgb="FFFF0000"/>
      <name val="Franklin Gothic Book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b/>
      <u/>
      <sz val="9"/>
      <color indexed="81"/>
      <name val="Segoe UI"/>
      <family val="2"/>
    </font>
    <font>
      <sz val="11"/>
      <name val="Calibri"/>
      <family val="2"/>
      <scheme val="minor"/>
    </font>
    <font>
      <strike/>
      <sz val="11"/>
      <color rgb="FFFF0000"/>
      <name val="Franklin Gothic Book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293">
    <xf numFmtId="0" fontId="0" fillId="0" borderId="0" xfId="0"/>
    <xf numFmtId="0" fontId="4" fillId="5" borderId="0" xfId="0" applyFont="1" applyFill="1"/>
    <xf numFmtId="0" fontId="4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44" fontId="4" fillId="6" borderId="3" xfId="2" applyFont="1" applyFill="1" applyBorder="1" applyAlignment="1" applyProtection="1">
      <alignment horizontal="center"/>
      <protection locked="0"/>
    </xf>
    <xf numFmtId="0" fontId="4" fillId="6" borderId="3" xfId="0" applyFont="1" applyFill="1" applyBorder="1" applyAlignment="1" applyProtection="1">
      <alignment horizontal="center" vertical="justify"/>
      <protection locked="0"/>
    </xf>
    <xf numFmtId="14" fontId="7" fillId="6" borderId="3" xfId="0" applyNumberFormat="1" applyFont="1" applyFill="1" applyBorder="1" applyAlignment="1" applyProtection="1">
      <alignment horizontal="center" vertical="center"/>
      <protection locked="0"/>
    </xf>
    <xf numFmtId="165" fontId="4" fillId="0" borderId="3" xfId="0" applyNumberFormat="1" applyFont="1" applyBorder="1" applyAlignment="1">
      <alignment horizontal="center" vertical="center"/>
    </xf>
    <xf numFmtId="44" fontId="5" fillId="0" borderId="3" xfId="2" applyFont="1" applyBorder="1" applyAlignment="1">
      <alignment horizontal="right" vertical="center"/>
    </xf>
    <xf numFmtId="9" fontId="5" fillId="0" borderId="3" xfId="0" applyNumberFormat="1" applyFont="1" applyBorder="1" applyAlignment="1">
      <alignment horizontal="center" vertical="center"/>
    </xf>
    <xf numFmtId="44" fontId="5" fillId="0" borderId="3" xfId="2" applyFont="1" applyBorder="1" applyAlignment="1">
      <alignment vertical="center"/>
    </xf>
    <xf numFmtId="0" fontId="4" fillId="6" borderId="3" xfId="0" applyFont="1" applyFill="1" applyBorder="1" applyAlignment="1" applyProtection="1">
      <alignment horizontal="left" vertical="justify"/>
      <protection locked="0"/>
    </xf>
    <xf numFmtId="9" fontId="4" fillId="6" borderId="3" xfId="3" applyFont="1" applyFill="1" applyBorder="1" applyAlignment="1" applyProtection="1">
      <alignment horizontal="center" vertical="justify"/>
      <protection locked="0"/>
    </xf>
    <xf numFmtId="44" fontId="3" fillId="4" borderId="3" xfId="2" applyFont="1" applyFill="1" applyBorder="1" applyAlignment="1">
      <alignment vertical="center"/>
    </xf>
    <xf numFmtId="8" fontId="3" fillId="4" borderId="3" xfId="0" applyNumberFormat="1" applyFont="1" applyFill="1" applyBorder="1" applyAlignment="1">
      <alignment horizontal="center" vertical="center"/>
    </xf>
    <xf numFmtId="8" fontId="3" fillId="4" borderId="3" xfId="0" applyNumberFormat="1" applyFont="1" applyFill="1" applyBorder="1" applyAlignment="1">
      <alignment horizontal="left" vertical="center"/>
    </xf>
    <xf numFmtId="8" fontId="5" fillId="0" borderId="3" xfId="0" applyNumberFormat="1" applyFont="1" applyBorder="1" applyAlignment="1">
      <alignment horizontal="center" vertical="center"/>
    </xf>
    <xf numFmtId="8" fontId="5" fillId="0" borderId="3" xfId="0" applyNumberFormat="1" applyFont="1" applyBorder="1" applyAlignment="1">
      <alignment horizontal="left" vertical="center"/>
    </xf>
    <xf numFmtId="10" fontId="5" fillId="2" borderId="3" xfId="3" applyNumberFormat="1" applyFont="1" applyFill="1" applyBorder="1" applyAlignment="1">
      <alignment horizontal="center" vertical="center"/>
    </xf>
    <xf numFmtId="10" fontId="3" fillId="4" borderId="3" xfId="3" applyNumberFormat="1" applyFont="1" applyFill="1" applyBorder="1" applyAlignment="1">
      <alignment horizontal="center" vertical="center"/>
    </xf>
    <xf numFmtId="44" fontId="3" fillId="4" borderId="3" xfId="2" applyFont="1" applyFill="1" applyBorder="1" applyAlignment="1">
      <alignment horizontal="right" vertical="center"/>
    </xf>
    <xf numFmtId="8" fontId="3" fillId="4" borderId="6" xfId="0" applyNumberFormat="1" applyFont="1" applyFill="1" applyBorder="1" applyAlignment="1">
      <alignment horizontal="left" vertical="center"/>
    </xf>
    <xf numFmtId="8" fontId="3" fillId="4" borderId="3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10" fontId="7" fillId="2" borderId="8" xfId="5" applyNumberFormat="1" applyFont="1" applyFill="1" applyBorder="1" applyAlignment="1">
      <alignment horizontal="center" vertical="center"/>
    </xf>
    <xf numFmtId="10" fontId="7" fillId="6" borderId="8" xfId="3" applyNumberFormat="1" applyFont="1" applyFill="1" applyBorder="1" applyAlignment="1" applyProtection="1">
      <alignment horizontal="center" vertical="center"/>
      <protection locked="0"/>
    </xf>
    <xf numFmtId="10" fontId="3" fillId="4" borderId="4" xfId="3" applyNumberFormat="1" applyFont="1" applyFill="1" applyBorder="1" applyAlignment="1">
      <alignment horizontal="center" vertical="center"/>
    </xf>
    <xf numFmtId="44" fontId="3" fillId="4" borderId="3" xfId="2" applyFont="1" applyFill="1" applyBorder="1" applyAlignment="1">
      <alignment horizontal="center" vertical="center"/>
    </xf>
    <xf numFmtId="44" fontId="5" fillId="2" borderId="4" xfId="2" applyFont="1" applyFill="1" applyBorder="1" applyAlignment="1">
      <alignment horizontal="center" vertical="center"/>
    </xf>
    <xf numFmtId="44" fontId="6" fillId="0" borderId="3" xfId="2" applyFont="1" applyBorder="1" applyAlignment="1">
      <alignment horizontal="right" vertical="center"/>
    </xf>
    <xf numFmtId="44" fontId="5" fillId="6" borderId="4" xfId="2" applyFont="1" applyFill="1" applyBorder="1" applyAlignment="1" applyProtection="1">
      <alignment horizontal="center" vertical="center"/>
      <protection locked="0"/>
    </xf>
    <xf numFmtId="44" fontId="3" fillId="0" borderId="3" xfId="2" applyFont="1" applyBorder="1" applyAlignment="1">
      <alignment horizontal="right" vertical="center"/>
    </xf>
    <xf numFmtId="0" fontId="4" fillId="6" borderId="3" xfId="0" applyFont="1" applyFill="1" applyBorder="1" applyAlignment="1" applyProtection="1">
      <alignment vertical="center" wrapText="1"/>
      <protection locked="0"/>
    </xf>
    <xf numFmtId="10" fontId="5" fillId="0" borderId="4" xfId="3" applyNumberFormat="1" applyFont="1" applyBorder="1" applyAlignment="1">
      <alignment horizontal="center" vertical="center"/>
    </xf>
    <xf numFmtId="0" fontId="8" fillId="5" borderId="0" xfId="0" applyFont="1" applyFill="1"/>
    <xf numFmtId="44" fontId="5" fillId="2" borderId="3" xfId="2" applyFont="1" applyFill="1" applyBorder="1" applyAlignment="1">
      <alignment horizontal="right" vertical="center"/>
    </xf>
    <xf numFmtId="10" fontId="5" fillId="2" borderId="4" xfId="3" applyNumberFormat="1" applyFont="1" applyFill="1" applyBorder="1" applyAlignment="1">
      <alignment horizontal="center" vertical="center"/>
    </xf>
    <xf numFmtId="10" fontId="4" fillId="6" borderId="3" xfId="3" applyNumberFormat="1" applyFont="1" applyFill="1" applyBorder="1" applyAlignment="1" applyProtection="1">
      <alignment horizontal="center" vertical="justify"/>
      <protection locked="0"/>
    </xf>
    <xf numFmtId="44" fontId="5" fillId="6" borderId="3" xfId="2" applyFont="1" applyFill="1" applyBorder="1" applyAlignment="1" applyProtection="1">
      <alignment horizontal="right" vertical="center"/>
      <protection locked="0"/>
    </xf>
    <xf numFmtId="44" fontId="3" fillId="0" borderId="4" xfId="2" applyFont="1" applyBorder="1" applyAlignment="1">
      <alignment horizontal="right" vertical="center"/>
    </xf>
    <xf numFmtId="10" fontId="3" fillId="6" borderId="4" xfId="3" applyNumberFormat="1" applyFont="1" applyFill="1" applyBorder="1" applyAlignment="1" applyProtection="1">
      <alignment vertical="center"/>
      <protection locked="0"/>
    </xf>
    <xf numFmtId="44" fontId="3" fillId="0" borderId="3" xfId="2" applyFont="1" applyBorder="1" applyAlignment="1">
      <alignment vertical="center"/>
    </xf>
    <xf numFmtId="10" fontId="5" fillId="6" borderId="4" xfId="3" applyNumberFormat="1" applyFont="1" applyFill="1" applyBorder="1" applyAlignment="1" applyProtection="1">
      <alignment vertical="center"/>
      <protection locked="0"/>
    </xf>
    <xf numFmtId="10" fontId="5" fillId="2" borderId="4" xfId="3" applyNumberFormat="1" applyFont="1" applyFill="1" applyBorder="1" applyAlignment="1">
      <alignment vertical="center"/>
    </xf>
    <xf numFmtId="10" fontId="5" fillId="0" borderId="3" xfId="3" applyNumberFormat="1" applyFont="1" applyBorder="1" applyAlignment="1">
      <alignment vertical="center"/>
    </xf>
    <xf numFmtId="10" fontId="3" fillId="4" borderId="3" xfId="3" applyNumberFormat="1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44" fontId="3" fillId="9" borderId="12" xfId="2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164" fontId="5" fillId="6" borderId="4" xfId="2" applyNumberFormat="1" applyFont="1" applyFill="1" applyBorder="1" applyAlignment="1" applyProtection="1">
      <alignment horizontal="center" vertical="center"/>
      <protection locked="0"/>
    </xf>
    <xf numFmtId="44" fontId="4" fillId="5" borderId="0" xfId="0" applyNumberFormat="1" applyFont="1" applyFill="1"/>
    <xf numFmtId="0" fontId="3" fillId="8" borderId="3" xfId="0" applyFont="1" applyFill="1" applyBorder="1" applyAlignment="1">
      <alignment horizontal="center" vertical="center" wrapText="1"/>
    </xf>
    <xf numFmtId="44" fontId="5" fillId="2" borderId="12" xfId="2" applyFont="1" applyFill="1" applyBorder="1" applyAlignment="1">
      <alignment horizontal="center" vertical="center" wrapText="1"/>
    </xf>
    <xf numFmtId="1" fontId="5" fillId="2" borderId="13" xfId="1" applyNumberFormat="1" applyFont="1" applyFill="1" applyBorder="1" applyAlignment="1">
      <alignment horizontal="center" vertical="center" wrapText="1"/>
    </xf>
    <xf numFmtId="44" fontId="5" fillId="0" borderId="13" xfId="0" applyNumberFormat="1" applyFont="1" applyBorder="1" applyAlignment="1">
      <alignment horizontal="center" vertical="center" wrapText="1"/>
    </xf>
    <xf numFmtId="166" fontId="4" fillId="5" borderId="0" xfId="0" applyNumberFormat="1" applyFont="1" applyFill="1"/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8" fontId="5" fillId="0" borderId="5" xfId="0" applyNumberFormat="1" applyFont="1" applyBorder="1" applyAlignment="1">
      <alignment horizontal="center" vertical="center"/>
    </xf>
    <xf numFmtId="8" fontId="3" fillId="0" borderId="5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9" fontId="5" fillId="6" borderId="4" xfId="3" applyNumberFormat="1" applyFont="1" applyFill="1" applyBorder="1" applyAlignment="1" applyProtection="1">
      <alignment horizontal="center" vertical="center"/>
      <protection locked="0"/>
    </xf>
    <xf numFmtId="8" fontId="5" fillId="0" borderId="5" xfId="0" applyNumberFormat="1" applyFont="1" applyBorder="1" applyAlignment="1">
      <alignment horizontal="center" vertical="center"/>
    </xf>
    <xf numFmtId="0" fontId="0" fillId="11" borderId="0" xfId="0" applyFill="1"/>
    <xf numFmtId="0" fontId="17" fillId="12" borderId="7" xfId="0" applyFont="1" applyFill="1" applyBorder="1" applyAlignment="1">
      <alignment horizontal="center" vertical="center" wrapText="1"/>
    </xf>
    <xf numFmtId="0" fontId="17" fillId="12" borderId="21" xfId="0" applyFont="1" applyFill="1" applyBorder="1" applyAlignment="1">
      <alignment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9" fillId="0" borderId="7" xfId="0" applyFont="1" applyBorder="1"/>
    <xf numFmtId="167" fontId="18" fillId="2" borderId="24" xfId="0" applyNumberFormat="1" applyFont="1" applyFill="1" applyBorder="1" applyAlignment="1">
      <alignment vertical="center" wrapText="1"/>
    </xf>
    <xf numFmtId="0" fontId="18" fillId="2" borderId="7" xfId="0" applyNumberFormat="1" applyFont="1" applyFill="1" applyBorder="1" applyAlignment="1">
      <alignment horizontal="center" vertical="center" wrapText="1"/>
    </xf>
    <xf numFmtId="167" fontId="18" fillId="2" borderId="7" xfId="0" applyNumberFormat="1" applyFont="1" applyFill="1" applyBorder="1" applyAlignment="1">
      <alignment horizontal="center" vertical="center" wrapText="1"/>
    </xf>
    <xf numFmtId="167" fontId="13" fillId="11" borderId="0" xfId="0" applyNumberFormat="1" applyFont="1" applyFill="1"/>
    <xf numFmtId="44" fontId="1" fillId="0" borderId="0" xfId="2" applyFont="1"/>
    <xf numFmtId="168" fontId="0" fillId="0" borderId="0" xfId="0" applyNumberFormat="1"/>
    <xf numFmtId="0" fontId="19" fillId="0" borderId="0" xfId="0" applyFont="1"/>
    <xf numFmtId="167" fontId="0" fillId="11" borderId="0" xfId="0" applyNumberFormat="1" applyFill="1"/>
    <xf numFmtId="1" fontId="17" fillId="12" borderId="21" xfId="0" applyNumberFormat="1" applyFont="1" applyFill="1" applyBorder="1" applyAlignment="1">
      <alignment horizontal="center" vertical="center" wrapText="1"/>
    </xf>
    <xf numFmtId="167" fontId="17" fillId="12" borderId="7" xfId="0" applyNumberFormat="1" applyFont="1" applyFill="1" applyBorder="1" applyAlignment="1">
      <alignment horizontal="center" vertical="center" wrapText="1"/>
    </xf>
    <xf numFmtId="0" fontId="20" fillId="11" borderId="0" xfId="0" applyFont="1" applyFill="1" applyAlignment="1">
      <alignment vertical="center"/>
    </xf>
    <xf numFmtId="0" fontId="0" fillId="13" borderId="0" xfId="0" applyFill="1"/>
    <xf numFmtId="0" fontId="20" fillId="13" borderId="0" xfId="0" applyFont="1" applyFill="1" applyAlignment="1">
      <alignment vertical="center"/>
    </xf>
    <xf numFmtId="0" fontId="0" fillId="11" borderId="0" xfId="0" applyFill="1" applyProtection="1"/>
    <xf numFmtId="0" fontId="0" fillId="0" borderId="0" xfId="0" applyProtection="1"/>
    <xf numFmtId="8" fontId="5" fillId="9" borderId="5" xfId="0" applyNumberFormat="1" applyFont="1" applyFill="1" applyBorder="1" applyAlignment="1">
      <alignment horizontal="center" vertical="center"/>
    </xf>
    <xf numFmtId="167" fontId="21" fillId="2" borderId="24" xfId="0" applyNumberFormat="1" applyFont="1" applyFill="1" applyBorder="1" applyAlignment="1">
      <alignment vertical="center" wrapText="1"/>
    </xf>
    <xf numFmtId="44" fontId="5" fillId="10" borderId="3" xfId="2" applyFont="1" applyFill="1" applyBorder="1" applyAlignment="1">
      <alignment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vertical="center"/>
    </xf>
    <xf numFmtId="1" fontId="5" fillId="9" borderId="3" xfId="0" applyNumberFormat="1" applyFont="1" applyFill="1" applyBorder="1" applyAlignment="1">
      <alignment horizontal="center" vertical="center"/>
    </xf>
    <xf numFmtId="44" fontId="5" fillId="9" borderId="3" xfId="2" applyFont="1" applyFill="1" applyBorder="1" applyAlignment="1">
      <alignment vertical="center"/>
    </xf>
    <xf numFmtId="169" fontId="5" fillId="9" borderId="3" xfId="3" applyNumberFormat="1" applyFont="1" applyFill="1" applyBorder="1" applyAlignment="1">
      <alignment horizontal="center" vertical="center"/>
    </xf>
    <xf numFmtId="10" fontId="4" fillId="5" borderId="0" xfId="3" applyNumberFormat="1" applyFont="1" applyFill="1"/>
    <xf numFmtId="170" fontId="4" fillId="5" borderId="0" xfId="3" applyNumberFormat="1" applyFont="1" applyFill="1"/>
    <xf numFmtId="8" fontId="5" fillId="9" borderId="3" xfId="0" applyNumberFormat="1" applyFont="1" applyFill="1" applyBorder="1" applyAlignment="1">
      <alignment horizontal="left" vertical="center"/>
    </xf>
    <xf numFmtId="10" fontId="5" fillId="9" borderId="3" xfId="3" applyNumberFormat="1" applyFont="1" applyFill="1" applyBorder="1" applyAlignment="1">
      <alignment horizontal="center" vertical="center"/>
    </xf>
    <xf numFmtId="8" fontId="5" fillId="9" borderId="3" xfId="0" applyNumberFormat="1" applyFont="1" applyFill="1" applyBorder="1" applyAlignment="1">
      <alignment horizontal="center" vertical="center"/>
    </xf>
    <xf numFmtId="44" fontId="5" fillId="9" borderId="3" xfId="2" applyFont="1" applyFill="1" applyBorder="1" applyAlignment="1">
      <alignment horizontal="right" vertical="center"/>
    </xf>
    <xf numFmtId="10" fontId="5" fillId="9" borderId="4" xfId="3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vertical="center"/>
    </xf>
    <xf numFmtId="10" fontId="9" fillId="10" borderId="3" xfId="0" applyNumberFormat="1" applyFont="1" applyFill="1" applyBorder="1" applyAlignment="1">
      <alignment horizontal="center" vertical="center"/>
    </xf>
    <xf numFmtId="10" fontId="3" fillId="4" borderId="3" xfId="0" applyNumberFormat="1" applyFont="1" applyFill="1" applyBorder="1" applyAlignment="1">
      <alignment horizontal="center" vertical="center"/>
    </xf>
    <xf numFmtId="44" fontId="5" fillId="3" borderId="3" xfId="2" applyFont="1" applyFill="1" applyBorder="1" applyAlignment="1">
      <alignment horizontal="right" vertical="center"/>
    </xf>
    <xf numFmtId="43" fontId="4" fillId="5" borderId="0" xfId="1" applyFont="1" applyFill="1"/>
    <xf numFmtId="171" fontId="4" fillId="5" borderId="0" xfId="0" applyNumberFormat="1" applyFont="1" applyFill="1"/>
    <xf numFmtId="8" fontId="5" fillId="2" borderId="3" xfId="2" applyNumberFormat="1" applyFont="1" applyFill="1" applyBorder="1" applyAlignment="1">
      <alignment horizontal="right" vertical="center"/>
    </xf>
    <xf numFmtId="8" fontId="0" fillId="11" borderId="0" xfId="0" applyNumberFormat="1" applyFill="1" applyProtection="1"/>
    <xf numFmtId="44" fontId="0" fillId="11" borderId="0" xfId="0" applyNumberFormat="1" applyFill="1" applyProtection="1"/>
    <xf numFmtId="44" fontId="7" fillId="2" borderId="3" xfId="2" applyNumberFormat="1" applyFont="1" applyFill="1" applyBorder="1" applyAlignment="1">
      <alignment horizontal="right" vertical="center"/>
    </xf>
    <xf numFmtId="0" fontId="0" fillId="11" borderId="0" xfId="0" applyFill="1" applyAlignment="1" applyProtection="1">
      <alignment horizontal="center" vertical="center"/>
    </xf>
    <xf numFmtId="8" fontId="5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/>
    </xf>
    <xf numFmtId="172" fontId="4" fillId="5" borderId="0" xfId="0" applyNumberFormat="1" applyFont="1" applyFill="1"/>
    <xf numFmtId="173" fontId="4" fillId="5" borderId="0" xfId="0" applyNumberFormat="1" applyFont="1" applyFill="1"/>
    <xf numFmtId="169" fontId="4" fillId="5" borderId="0" xfId="3" applyNumberFormat="1" applyFont="1" applyFill="1"/>
    <xf numFmtId="2" fontId="4" fillId="5" borderId="0" xfId="0" applyNumberFormat="1" applyFont="1" applyFill="1"/>
    <xf numFmtId="10" fontId="5" fillId="9" borderId="4" xfId="3" quotePrefix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" fontId="5" fillId="2" borderId="4" xfId="1" applyNumberFormat="1" applyFont="1" applyFill="1" applyBorder="1" applyAlignment="1" applyProtection="1">
      <alignment horizontal="center" vertical="center"/>
      <protection locked="0"/>
    </xf>
    <xf numFmtId="2" fontId="5" fillId="2" borderId="4" xfId="3" applyNumberFormat="1" applyFont="1" applyFill="1" applyBorder="1" applyAlignment="1" applyProtection="1">
      <alignment horizontal="center" vertical="center"/>
      <protection locked="0"/>
    </xf>
    <xf numFmtId="1" fontId="5" fillId="2" borderId="4" xfId="3" applyNumberFormat="1" applyFont="1" applyFill="1" applyBorder="1" applyAlignment="1" applyProtection="1">
      <alignment horizontal="center" vertical="center"/>
      <protection locked="0"/>
    </xf>
    <xf numFmtId="44" fontId="6" fillId="2" borderId="3" xfId="2" applyFont="1" applyFill="1" applyBorder="1" applyAlignment="1">
      <alignment horizontal="right" vertical="center"/>
    </xf>
    <xf numFmtId="164" fontId="5" fillId="6" borderId="4" xfId="3" applyNumberFormat="1" applyFont="1" applyFill="1" applyBorder="1" applyAlignment="1" applyProtection="1">
      <alignment horizontal="center" vertical="center"/>
      <protection locked="0"/>
    </xf>
    <xf numFmtId="8" fontId="5" fillId="2" borderId="3" xfId="0" applyNumberFormat="1" applyFont="1" applyFill="1" applyBorder="1" applyAlignment="1">
      <alignment horizontal="center" vertical="center"/>
    </xf>
    <xf numFmtId="8" fontId="0" fillId="11" borderId="0" xfId="0" applyNumberFormat="1" applyFill="1" applyAlignment="1" applyProtection="1">
      <alignment horizontal="center" vertical="center"/>
    </xf>
    <xf numFmtId="44" fontId="0" fillId="11" borderId="0" xfId="0" applyNumberFormat="1" applyFill="1" applyAlignment="1" applyProtection="1">
      <alignment horizontal="center" vertical="center"/>
    </xf>
    <xf numFmtId="8" fontId="5" fillId="2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10" fontId="0" fillId="11" borderId="0" xfId="3" applyNumberFormat="1" applyFont="1" applyFill="1"/>
    <xf numFmtId="44" fontId="5" fillId="2" borderId="3" xfId="2" applyNumberFormat="1" applyFont="1" applyFill="1" applyBorder="1" applyAlignment="1">
      <alignment horizontal="right" vertical="center"/>
    </xf>
    <xf numFmtId="44" fontId="7" fillId="2" borderId="4" xfId="2" applyFont="1" applyFill="1" applyBorder="1" applyAlignment="1">
      <alignment horizontal="center" vertical="center"/>
    </xf>
    <xf numFmtId="0" fontId="0" fillId="0" borderId="38" xfId="0" applyBorder="1" applyAlignment="1" applyProtection="1">
      <alignment vertical="center" wrapText="1"/>
    </xf>
    <xf numFmtId="0" fontId="0" fillId="0" borderId="12" xfId="0" applyBorder="1" applyAlignment="1" applyProtection="1">
      <alignment vertical="center" wrapText="1"/>
    </xf>
    <xf numFmtId="8" fontId="0" fillId="0" borderId="12" xfId="0" applyNumberFormat="1" applyBorder="1" applyAlignment="1" applyProtection="1">
      <alignment vertical="center" wrapText="1"/>
    </xf>
    <xf numFmtId="8" fontId="0" fillId="0" borderId="39" xfId="0" applyNumberFormat="1" applyBorder="1" applyAlignment="1" applyProtection="1">
      <alignment vertical="center" wrapText="1"/>
    </xf>
    <xf numFmtId="0" fontId="0" fillId="0" borderId="43" xfId="0" applyBorder="1" applyAlignment="1" applyProtection="1">
      <alignment vertical="center" wrapText="1"/>
    </xf>
    <xf numFmtId="0" fontId="0" fillId="0" borderId="28" xfId="0" applyBorder="1" applyAlignment="1" applyProtection="1">
      <alignment vertical="center" wrapText="1"/>
    </xf>
    <xf numFmtId="8" fontId="0" fillId="0" borderId="28" xfId="0" applyNumberFormat="1" applyBorder="1" applyAlignment="1" applyProtection="1">
      <alignment vertical="center" wrapText="1"/>
    </xf>
    <xf numFmtId="8" fontId="0" fillId="0" borderId="35" xfId="0" applyNumberFormat="1" applyBorder="1" applyAlignment="1" applyProtection="1">
      <alignment vertical="center" wrapText="1"/>
    </xf>
    <xf numFmtId="8" fontId="0" fillId="9" borderId="7" xfId="0" applyNumberFormat="1" applyFill="1" applyBorder="1" applyAlignment="1" applyProtection="1">
      <alignment vertical="center" wrapText="1"/>
    </xf>
    <xf numFmtId="0" fontId="0" fillId="0" borderId="44" xfId="0" applyBorder="1" applyAlignment="1" applyProtection="1">
      <alignment vertical="center" wrapText="1"/>
    </xf>
    <xf numFmtId="0" fontId="0" fillId="0" borderId="45" xfId="0" applyBorder="1" applyAlignment="1" applyProtection="1">
      <alignment vertical="center" wrapText="1"/>
    </xf>
    <xf numFmtId="8" fontId="0" fillId="0" borderId="45" xfId="0" applyNumberFormat="1" applyBorder="1" applyAlignment="1" applyProtection="1">
      <alignment vertical="center" wrapText="1"/>
    </xf>
    <xf numFmtId="8" fontId="0" fillId="0" borderId="40" xfId="0" applyNumberFormat="1" applyBorder="1" applyAlignment="1" applyProtection="1">
      <alignment vertical="center" wrapText="1"/>
    </xf>
    <xf numFmtId="0" fontId="0" fillId="0" borderId="22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1" fontId="0" fillId="0" borderId="9" xfId="1" applyNumberFormat="1" applyFont="1" applyBorder="1" applyAlignment="1" applyProtection="1">
      <alignment horizontal="center" vertical="center" wrapText="1"/>
    </xf>
    <xf numFmtId="44" fontId="0" fillId="9" borderId="9" xfId="2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1" fontId="0" fillId="0" borderId="2" xfId="1" applyNumberFormat="1" applyFont="1" applyBorder="1" applyAlignment="1" applyProtection="1">
      <alignment horizontal="center" vertical="center" wrapText="1"/>
    </xf>
    <xf numFmtId="44" fontId="0" fillId="9" borderId="2" xfId="2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1" fontId="0" fillId="0" borderId="1" xfId="1" applyNumberFormat="1" applyFont="1" applyBorder="1" applyAlignment="1" applyProtection="1">
      <alignment horizontal="center" vertical="center" wrapText="1"/>
    </xf>
    <xf numFmtId="44" fontId="0" fillId="9" borderId="1" xfId="2" applyFont="1" applyFill="1" applyBorder="1" applyAlignment="1" applyProtection="1">
      <alignment horizontal="center" vertical="center" wrapText="1"/>
    </xf>
    <xf numFmtId="0" fontId="0" fillId="0" borderId="45" xfId="0" applyBorder="1" applyAlignment="1" applyProtection="1">
      <alignment horizontal="center" vertical="center" wrapText="1"/>
    </xf>
    <xf numFmtId="0" fontId="0" fillId="0" borderId="46" xfId="0" applyBorder="1" applyAlignment="1" applyProtection="1">
      <alignment horizontal="center" vertical="center" wrapText="1"/>
    </xf>
    <xf numFmtId="1" fontId="0" fillId="0" borderId="47" xfId="1" applyNumberFormat="1" applyFont="1" applyBorder="1" applyAlignment="1" applyProtection="1">
      <alignment horizontal="center" vertical="center" wrapText="1"/>
    </xf>
    <xf numFmtId="8" fontId="0" fillId="10" borderId="12" xfId="0" applyNumberFormat="1" applyFill="1" applyBorder="1" applyAlignment="1" applyProtection="1">
      <alignment vertical="center" wrapText="1"/>
      <protection locked="0"/>
    </xf>
    <xf numFmtId="8" fontId="23" fillId="10" borderId="28" xfId="0" applyNumberFormat="1" applyFont="1" applyFill="1" applyBorder="1" applyAlignment="1" applyProtection="1">
      <alignment vertical="center" wrapText="1"/>
      <protection locked="0"/>
    </xf>
    <xf numFmtId="8" fontId="0" fillId="10" borderId="45" xfId="0" applyNumberFormat="1" applyFill="1" applyBorder="1" applyAlignment="1" applyProtection="1">
      <alignment vertical="center" wrapText="1"/>
      <protection locked="0"/>
    </xf>
    <xf numFmtId="8" fontId="0" fillId="10" borderId="50" xfId="0" applyNumberFormat="1" applyFill="1" applyBorder="1" applyAlignment="1" applyProtection="1">
      <alignment vertical="center" wrapText="1"/>
      <protection locked="0"/>
    </xf>
    <xf numFmtId="8" fontId="0" fillId="9" borderId="47" xfId="2" applyNumberFormat="1" applyFont="1" applyFill="1" applyBorder="1" applyAlignment="1" applyProtection="1">
      <alignment horizontal="center" vertical="center" wrapText="1"/>
    </xf>
    <xf numFmtId="8" fontId="0" fillId="2" borderId="23" xfId="0" applyNumberFormat="1" applyFill="1" applyBorder="1" applyAlignment="1" applyProtection="1">
      <alignment horizontal="center" vertical="center" wrapText="1"/>
    </xf>
    <xf numFmtId="0" fontId="15" fillId="4" borderId="21" xfId="0" applyFont="1" applyFill="1" applyBorder="1" applyAlignment="1">
      <alignment horizontal="center" vertical="center"/>
    </xf>
    <xf numFmtId="0" fontId="15" fillId="4" borderId="22" xfId="0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horizontal="center" vertical="center"/>
    </xf>
    <xf numFmtId="0" fontId="16" fillId="7" borderId="21" xfId="0" applyFont="1" applyFill="1" applyBorder="1" applyAlignment="1">
      <alignment horizontal="center" vertical="center"/>
    </xf>
    <xf numFmtId="0" fontId="16" fillId="7" borderId="22" xfId="0" applyFont="1" applyFill="1" applyBorder="1" applyAlignment="1">
      <alignment horizontal="center" vertical="center"/>
    </xf>
    <xf numFmtId="0" fontId="16" fillId="7" borderId="23" xfId="0" applyFont="1" applyFill="1" applyBorder="1" applyAlignment="1">
      <alignment horizontal="center" vertical="center"/>
    </xf>
    <xf numFmtId="0" fontId="17" fillId="12" borderId="21" xfId="0" applyFont="1" applyFill="1" applyBorder="1" applyAlignment="1">
      <alignment horizontal="center" vertical="center" wrapText="1"/>
    </xf>
    <xf numFmtId="0" fontId="17" fillId="12" borderId="22" xfId="0" applyFont="1" applyFill="1" applyBorder="1" applyAlignment="1">
      <alignment horizontal="center" vertical="center" wrapText="1"/>
    </xf>
    <xf numFmtId="0" fontId="17" fillId="12" borderId="23" xfId="0" applyFont="1" applyFill="1" applyBorder="1" applyAlignment="1">
      <alignment horizontal="center" vertical="center" wrapText="1"/>
    </xf>
    <xf numFmtId="0" fontId="0" fillId="11" borderId="0" xfId="0" applyFill="1" applyAlignment="1" applyProtection="1">
      <alignment horizontal="center"/>
    </xf>
    <xf numFmtId="0" fontId="16" fillId="7" borderId="21" xfId="0" applyFont="1" applyFill="1" applyBorder="1" applyAlignment="1" applyProtection="1">
      <alignment horizontal="center" vertical="center"/>
    </xf>
    <xf numFmtId="0" fontId="16" fillId="7" borderId="22" xfId="0" applyFont="1" applyFill="1" applyBorder="1" applyAlignment="1" applyProtection="1">
      <alignment horizontal="center" vertical="center"/>
    </xf>
    <xf numFmtId="0" fontId="16" fillId="7" borderId="23" xfId="0" applyFont="1" applyFill="1" applyBorder="1" applyAlignment="1" applyProtection="1">
      <alignment horizontal="center" vertical="center"/>
    </xf>
    <xf numFmtId="0" fontId="14" fillId="0" borderId="41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29" xfId="0" applyFont="1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42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0" fontId="15" fillId="14" borderId="31" xfId="0" applyFont="1" applyFill="1" applyBorder="1" applyAlignment="1" applyProtection="1">
      <alignment horizontal="center" vertical="center"/>
    </xf>
    <xf numFmtId="0" fontId="15" fillId="14" borderId="32" xfId="0" applyFont="1" applyFill="1" applyBorder="1" applyAlignment="1" applyProtection="1">
      <alignment horizontal="center" vertical="center"/>
    </xf>
    <xf numFmtId="0" fontId="15" fillId="14" borderId="33" xfId="0" applyFont="1" applyFill="1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33" xfId="0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</xf>
    <xf numFmtId="0" fontId="0" fillId="0" borderId="27" xfId="0" applyBorder="1" applyAlignment="1" applyProtection="1">
      <alignment horizontal="center" vertical="center" wrapText="1"/>
    </xf>
    <xf numFmtId="0" fontId="14" fillId="0" borderId="31" xfId="0" applyFont="1" applyBorder="1" applyAlignment="1" applyProtection="1">
      <alignment horizontal="center" vertical="center" wrapText="1"/>
    </xf>
    <xf numFmtId="0" fontId="14" fillId="0" borderId="32" xfId="0" applyFont="1" applyBorder="1" applyAlignment="1" applyProtection="1">
      <alignment horizontal="center" vertical="center" wrapText="1"/>
    </xf>
    <xf numFmtId="0" fontId="14" fillId="0" borderId="48" xfId="0" applyFont="1" applyBorder="1" applyAlignment="1" applyProtection="1">
      <alignment horizontal="center" vertical="center" wrapText="1"/>
    </xf>
    <xf numFmtId="0" fontId="14" fillId="0" borderId="3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49" xfId="0" applyFont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0" fontId="0" fillId="0" borderId="54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14" fillId="0" borderId="51" xfId="0" applyFont="1" applyBorder="1" applyAlignment="1" applyProtection="1">
      <alignment horizontal="center" vertical="center" wrapText="1"/>
    </xf>
    <xf numFmtId="0" fontId="14" fillId="0" borderId="52" xfId="0" applyFont="1" applyBorder="1" applyAlignment="1" applyProtection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5" fillId="6" borderId="5" xfId="0" applyNumberFormat="1" applyFont="1" applyFill="1" applyBorder="1" applyAlignment="1" applyProtection="1">
      <alignment horizontal="center" vertical="center"/>
      <protection locked="0"/>
    </xf>
    <xf numFmtId="0" fontId="5" fillId="6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vertical="center"/>
    </xf>
    <xf numFmtId="0" fontId="5" fillId="6" borderId="15" xfId="0" applyFont="1" applyFill="1" applyBorder="1" applyAlignment="1" applyProtection="1">
      <alignment horizontal="center" vertical="center" wrapText="1"/>
      <protection locked="0"/>
    </xf>
    <xf numFmtId="0" fontId="5" fillId="6" borderId="16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6" borderId="5" xfId="0" applyFont="1" applyFill="1" applyBorder="1" applyAlignment="1" applyProtection="1">
      <alignment horizontal="center" vertical="center"/>
      <protection locked="0"/>
    </xf>
    <xf numFmtId="0" fontId="4" fillId="6" borderId="4" xfId="0" applyFont="1" applyFill="1" applyBorder="1" applyAlignment="1" applyProtection="1">
      <alignment horizontal="center" vertical="center"/>
      <protection locked="0"/>
    </xf>
    <xf numFmtId="8" fontId="3" fillId="0" borderId="5" xfId="0" applyNumberFormat="1" applyFont="1" applyBorder="1" applyAlignment="1">
      <alignment horizontal="center" vertical="center"/>
    </xf>
    <xf numFmtId="8" fontId="3" fillId="0" borderId="8" xfId="0" applyNumberFormat="1" applyFont="1" applyBorder="1" applyAlignment="1">
      <alignment horizontal="center" vertical="center"/>
    </xf>
    <xf numFmtId="8" fontId="3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7" borderId="3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8" fontId="3" fillId="0" borderId="3" xfId="0" applyNumberFormat="1" applyFont="1" applyBorder="1" applyAlignment="1">
      <alignment horizontal="center" vertical="center"/>
    </xf>
    <xf numFmtId="8" fontId="3" fillId="7" borderId="5" xfId="0" applyNumberFormat="1" applyFont="1" applyFill="1" applyBorder="1" applyAlignment="1">
      <alignment horizontal="left" vertical="center"/>
    </xf>
    <xf numFmtId="8" fontId="3" fillId="7" borderId="8" xfId="0" applyNumberFormat="1" applyFont="1" applyFill="1" applyBorder="1" applyAlignment="1">
      <alignment horizontal="left" vertical="center"/>
    </xf>
    <xf numFmtId="8" fontId="3" fillId="7" borderId="4" xfId="0" applyNumberFormat="1" applyFont="1" applyFill="1" applyBorder="1" applyAlignment="1">
      <alignment horizontal="left" vertical="center"/>
    </xf>
    <xf numFmtId="8" fontId="3" fillId="4" borderId="5" xfId="0" applyNumberFormat="1" applyFont="1" applyFill="1" applyBorder="1" applyAlignment="1">
      <alignment horizontal="left" vertical="center"/>
    </xf>
    <xf numFmtId="8" fontId="3" fillId="4" borderId="4" xfId="0" applyNumberFormat="1" applyFont="1" applyFill="1" applyBorder="1" applyAlignment="1">
      <alignment horizontal="left" vertical="center"/>
    </xf>
    <xf numFmtId="8" fontId="3" fillId="4" borderId="8" xfId="0" applyNumberFormat="1" applyFont="1" applyFill="1" applyBorder="1" applyAlignment="1">
      <alignment horizontal="left" vertical="center"/>
    </xf>
    <xf numFmtId="8" fontId="3" fillId="4" borderId="5" xfId="0" applyNumberFormat="1" applyFont="1" applyFill="1" applyBorder="1" applyAlignment="1">
      <alignment horizontal="center" vertical="center"/>
    </xf>
    <xf numFmtId="8" fontId="3" fillId="4" borderId="16" xfId="0" applyNumberFormat="1" applyFont="1" applyFill="1" applyBorder="1" applyAlignment="1">
      <alignment horizontal="center" vertical="center"/>
    </xf>
    <xf numFmtId="8" fontId="3" fillId="0" borderId="5" xfId="0" applyNumberFormat="1" applyFont="1" applyBorder="1" applyAlignment="1">
      <alignment horizontal="right" vertical="center"/>
    </xf>
    <xf numFmtId="8" fontId="3" fillId="0" borderId="8" xfId="0" applyNumberFormat="1" applyFont="1" applyBorder="1" applyAlignment="1">
      <alignment horizontal="right" vertical="center"/>
    </xf>
    <xf numFmtId="8" fontId="3" fillId="0" borderId="5" xfId="0" applyNumberFormat="1" applyFont="1" applyBorder="1" applyAlignment="1">
      <alignment horizontal="left" vertical="center"/>
    </xf>
    <xf numFmtId="8" fontId="3" fillId="0" borderId="8" xfId="0" applyNumberFormat="1" applyFont="1" applyBorder="1" applyAlignment="1">
      <alignment horizontal="left" vertical="center"/>
    </xf>
    <xf numFmtId="8" fontId="3" fillId="0" borderId="4" xfId="0" applyNumberFormat="1" applyFont="1" applyBorder="1" applyAlignment="1">
      <alignment horizontal="left" vertical="center"/>
    </xf>
    <xf numFmtId="8" fontId="3" fillId="7" borderId="3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6" borderId="5" xfId="0" applyFont="1" applyFill="1" applyBorder="1" applyAlignment="1" applyProtection="1">
      <alignment horizontal="left" vertical="justify"/>
      <protection locked="0"/>
    </xf>
    <xf numFmtId="0" fontId="4" fillId="6" borderId="4" xfId="0" applyFont="1" applyFill="1" applyBorder="1" applyAlignment="1" applyProtection="1">
      <alignment horizontal="left" vertical="justify"/>
      <protection locked="0"/>
    </xf>
    <xf numFmtId="8" fontId="3" fillId="0" borderId="3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8" fontId="3" fillId="0" borderId="18" xfId="0" applyNumberFormat="1" applyFont="1" applyBorder="1" applyAlignment="1">
      <alignment horizontal="left" vertical="center"/>
    </xf>
    <xf numFmtId="8" fontId="3" fillId="0" borderId="10" xfId="0" applyNumberFormat="1" applyFont="1" applyBorder="1" applyAlignment="1">
      <alignment horizontal="left" vertical="center"/>
    </xf>
    <xf numFmtId="8" fontId="3" fillId="0" borderId="17" xfId="0" applyNumberFormat="1" applyFont="1" applyBorder="1" applyAlignment="1">
      <alignment horizontal="left" vertical="center"/>
    </xf>
    <xf numFmtId="8" fontId="5" fillId="0" borderId="5" xfId="0" applyNumberFormat="1" applyFont="1" applyBorder="1" applyAlignment="1">
      <alignment horizontal="center" vertical="center"/>
    </xf>
    <xf numFmtId="8" fontId="5" fillId="0" borderId="8" xfId="0" applyNumberFormat="1" applyFont="1" applyBorder="1" applyAlignment="1">
      <alignment horizontal="center" vertical="center"/>
    </xf>
    <xf numFmtId="8" fontId="5" fillId="0" borderId="4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8" xfId="0" applyFont="1" applyBorder="1"/>
    <xf numFmtId="0" fontId="6" fillId="0" borderId="4" xfId="0" applyFont="1" applyBorder="1"/>
    <xf numFmtId="0" fontId="3" fillId="8" borderId="14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 applyProtection="1">
      <alignment horizontal="left" vertical="center"/>
      <protection locked="0"/>
    </xf>
    <xf numFmtId="0" fontId="4" fillId="6" borderId="4" xfId="0" applyFont="1" applyFill="1" applyBorder="1" applyAlignment="1" applyProtection="1">
      <alignment horizontal="left" vertical="center"/>
      <protection locked="0"/>
    </xf>
    <xf numFmtId="8" fontId="3" fillId="0" borderId="4" xfId="0" applyNumberFormat="1" applyFont="1" applyBorder="1" applyAlignment="1">
      <alignment horizontal="right" vertical="center"/>
    </xf>
    <xf numFmtId="0" fontId="4" fillId="9" borderId="5" xfId="0" applyFont="1" applyFill="1" applyBorder="1" applyAlignment="1">
      <alignment horizontal="left" vertical="center" wrapText="1"/>
    </xf>
    <xf numFmtId="0" fontId="4" fillId="9" borderId="4" xfId="0" applyFont="1" applyFill="1" applyBorder="1" applyAlignment="1">
      <alignment horizontal="left" vertical="center" wrapText="1"/>
    </xf>
    <xf numFmtId="0" fontId="4" fillId="0" borderId="5" xfId="0" quotePrefix="1" applyFont="1" applyBorder="1" applyAlignment="1">
      <alignment horizontal="center" vertical="center"/>
    </xf>
  </cellXfs>
  <cellStyles count="6">
    <cellStyle name="Moeda" xfId="2" builtinId="4"/>
    <cellStyle name="Normal" xfId="0" builtinId="0"/>
    <cellStyle name="Normal 2" xfId="4"/>
    <cellStyle name="Normal 2 2" xfId="5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FFF6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00B0F0"/>
  </sheetPr>
  <dimension ref="A1:XFC87"/>
  <sheetViews>
    <sheetView tabSelected="1" zoomScale="80" zoomScaleNormal="80" workbookViewId="0">
      <selection activeCell="G21" sqref="G21"/>
    </sheetView>
  </sheetViews>
  <sheetFormatPr defaultColWidth="0" defaultRowHeight="15" zeroHeight="1" x14ac:dyDescent="0.25"/>
  <cols>
    <col min="1" max="1" width="4.140625" style="68" customWidth="1"/>
    <col min="2" max="2" width="4.28515625" customWidth="1"/>
    <col min="3" max="3" width="40.7109375" style="84" customWidth="1"/>
    <col min="4" max="4" width="27.42578125" style="84" customWidth="1"/>
    <col min="5" max="5" width="15.28515625" style="84" customWidth="1"/>
    <col min="6" max="6" width="22.85546875" customWidth="1"/>
    <col min="7" max="7" width="20.5703125" style="68" customWidth="1"/>
    <col min="8" max="9" width="14.28515625" hidden="1"/>
    <col min="10" max="255" width="9.140625" hidden="1"/>
    <col min="256" max="256" width="7.42578125" hidden="1"/>
    <col min="257" max="257" width="47.42578125" hidden="1"/>
    <col min="258" max="258" width="19.140625" hidden="1"/>
    <col min="259" max="259" width="14.7109375" hidden="1"/>
    <col min="260" max="260" width="16.85546875" hidden="1"/>
    <col min="261" max="261" width="17.5703125" hidden="1"/>
    <col min="262" max="262" width="22" hidden="1"/>
    <col min="263" max="263" width="9.140625" hidden="1"/>
    <col min="264" max="264" width="14.28515625" hidden="1"/>
    <col min="265" max="511" width="9.140625" hidden="1"/>
    <col min="512" max="512" width="7.42578125" hidden="1"/>
    <col min="513" max="513" width="47.42578125" hidden="1"/>
    <col min="514" max="514" width="19.140625" hidden="1"/>
    <col min="515" max="515" width="14.7109375" hidden="1"/>
    <col min="516" max="516" width="16.85546875" hidden="1"/>
    <col min="517" max="517" width="17.5703125" hidden="1"/>
    <col min="518" max="518" width="22" hidden="1"/>
    <col min="519" max="519" width="9.140625" hidden="1"/>
    <col min="520" max="520" width="14.28515625" hidden="1"/>
    <col min="521" max="767" width="9.140625" hidden="1"/>
    <col min="768" max="768" width="7.42578125" hidden="1"/>
    <col min="769" max="769" width="47.42578125" hidden="1"/>
    <col min="770" max="770" width="19.140625" hidden="1"/>
    <col min="771" max="771" width="14.7109375" hidden="1"/>
    <col min="772" max="772" width="16.85546875" hidden="1"/>
    <col min="773" max="773" width="17.5703125" hidden="1"/>
    <col min="774" max="774" width="22" hidden="1"/>
    <col min="775" max="775" width="9.140625" hidden="1"/>
    <col min="776" max="776" width="14.28515625" hidden="1"/>
    <col min="777" max="1023" width="9.140625" hidden="1"/>
    <col min="1024" max="1024" width="7.42578125" hidden="1"/>
    <col min="1025" max="1025" width="47.42578125" hidden="1"/>
    <col min="1026" max="1026" width="19.140625" hidden="1"/>
    <col min="1027" max="1027" width="14.7109375" hidden="1"/>
    <col min="1028" max="1028" width="16.85546875" hidden="1"/>
    <col min="1029" max="1029" width="17.5703125" hidden="1"/>
    <col min="1030" max="1030" width="22" hidden="1"/>
    <col min="1031" max="1031" width="9.140625" hidden="1"/>
    <col min="1032" max="1032" width="14.28515625" hidden="1"/>
    <col min="1033" max="1279" width="9.140625" hidden="1"/>
    <col min="1280" max="1280" width="7.42578125" hidden="1"/>
    <col min="1281" max="1281" width="47.42578125" hidden="1"/>
    <col min="1282" max="1282" width="19.140625" hidden="1"/>
    <col min="1283" max="1283" width="14.7109375" hidden="1"/>
    <col min="1284" max="1284" width="16.85546875" hidden="1"/>
    <col min="1285" max="1285" width="17.5703125" hidden="1"/>
    <col min="1286" max="1286" width="22" hidden="1"/>
    <col min="1287" max="1287" width="9.140625" hidden="1"/>
    <col min="1288" max="1288" width="14.28515625" hidden="1"/>
    <col min="1289" max="1535" width="9.140625" hidden="1"/>
    <col min="1536" max="1536" width="7.42578125" hidden="1"/>
    <col min="1537" max="1537" width="47.42578125" hidden="1"/>
    <col min="1538" max="1538" width="19.140625" hidden="1"/>
    <col min="1539" max="1539" width="14.7109375" hidden="1"/>
    <col min="1540" max="1540" width="16.85546875" hidden="1"/>
    <col min="1541" max="1541" width="17.5703125" hidden="1"/>
    <col min="1542" max="1542" width="22" hidden="1"/>
    <col min="1543" max="1543" width="9.140625" hidden="1"/>
    <col min="1544" max="1544" width="14.28515625" hidden="1"/>
    <col min="1545" max="1791" width="9.140625" hidden="1"/>
    <col min="1792" max="1792" width="7.42578125" hidden="1"/>
    <col min="1793" max="1793" width="47.42578125" hidden="1"/>
    <col min="1794" max="1794" width="19.140625" hidden="1"/>
    <col min="1795" max="1795" width="14.7109375" hidden="1"/>
    <col min="1796" max="1796" width="16.85546875" hidden="1"/>
    <col min="1797" max="1797" width="17.5703125" hidden="1"/>
    <col min="1798" max="1798" width="22" hidden="1"/>
    <col min="1799" max="1799" width="9.140625" hidden="1"/>
    <col min="1800" max="1800" width="14.28515625" hidden="1"/>
    <col min="1801" max="2047" width="9.140625" hidden="1"/>
    <col min="2048" max="2048" width="7.42578125" hidden="1"/>
    <col min="2049" max="2049" width="47.42578125" hidden="1"/>
    <col min="2050" max="2050" width="19.140625" hidden="1"/>
    <col min="2051" max="2051" width="14.7109375" hidden="1"/>
    <col min="2052" max="2052" width="16.85546875" hidden="1"/>
    <col min="2053" max="2053" width="17.5703125" hidden="1"/>
    <col min="2054" max="2054" width="22" hidden="1"/>
    <col min="2055" max="2055" width="9.140625" hidden="1"/>
    <col min="2056" max="2056" width="14.28515625" hidden="1"/>
    <col min="2057" max="2303" width="9.140625" hidden="1"/>
    <col min="2304" max="2304" width="7.42578125" hidden="1"/>
    <col min="2305" max="2305" width="47.42578125" hidden="1"/>
    <col min="2306" max="2306" width="19.140625" hidden="1"/>
    <col min="2307" max="2307" width="14.7109375" hidden="1"/>
    <col min="2308" max="2308" width="16.85546875" hidden="1"/>
    <col min="2309" max="2309" width="17.5703125" hidden="1"/>
    <col min="2310" max="2310" width="22" hidden="1"/>
    <col min="2311" max="2311" width="9.140625" hidden="1"/>
    <col min="2312" max="2312" width="14.28515625" hidden="1"/>
    <col min="2313" max="2559" width="9.140625" hidden="1"/>
    <col min="2560" max="2560" width="7.42578125" hidden="1"/>
    <col min="2561" max="2561" width="47.42578125" hidden="1"/>
    <col min="2562" max="2562" width="19.140625" hidden="1"/>
    <col min="2563" max="2563" width="14.7109375" hidden="1"/>
    <col min="2564" max="2564" width="16.85546875" hidden="1"/>
    <col min="2565" max="2565" width="17.5703125" hidden="1"/>
    <col min="2566" max="2566" width="22" hidden="1"/>
    <col min="2567" max="2567" width="9.140625" hidden="1"/>
    <col min="2568" max="2568" width="14.28515625" hidden="1"/>
    <col min="2569" max="2815" width="9.140625" hidden="1"/>
    <col min="2816" max="2816" width="7.42578125" hidden="1"/>
    <col min="2817" max="2817" width="47.42578125" hidden="1"/>
    <col min="2818" max="2818" width="19.140625" hidden="1"/>
    <col min="2819" max="2819" width="14.7109375" hidden="1"/>
    <col min="2820" max="2820" width="16.85546875" hidden="1"/>
    <col min="2821" max="2821" width="17.5703125" hidden="1"/>
    <col min="2822" max="2822" width="22" hidden="1"/>
    <col min="2823" max="2823" width="9.140625" hidden="1"/>
    <col min="2824" max="2824" width="14.28515625" hidden="1"/>
    <col min="2825" max="3071" width="9.140625" hidden="1"/>
    <col min="3072" max="3072" width="7.42578125" hidden="1"/>
    <col min="3073" max="3073" width="47.42578125" hidden="1"/>
    <col min="3074" max="3074" width="19.140625" hidden="1"/>
    <col min="3075" max="3075" width="14.7109375" hidden="1"/>
    <col min="3076" max="3076" width="16.85546875" hidden="1"/>
    <col min="3077" max="3077" width="17.5703125" hidden="1"/>
    <col min="3078" max="3078" width="22" hidden="1"/>
    <col min="3079" max="3079" width="9.140625" hidden="1"/>
    <col min="3080" max="3080" width="14.28515625" hidden="1"/>
    <col min="3081" max="3327" width="9.140625" hidden="1"/>
    <col min="3328" max="3328" width="7.42578125" hidden="1"/>
    <col min="3329" max="3329" width="47.42578125" hidden="1"/>
    <col min="3330" max="3330" width="19.140625" hidden="1"/>
    <col min="3331" max="3331" width="14.7109375" hidden="1"/>
    <col min="3332" max="3332" width="16.85546875" hidden="1"/>
    <col min="3333" max="3333" width="17.5703125" hidden="1"/>
    <col min="3334" max="3334" width="22" hidden="1"/>
    <col min="3335" max="3335" width="9.140625" hidden="1"/>
    <col min="3336" max="3336" width="14.28515625" hidden="1"/>
    <col min="3337" max="3583" width="9.140625" hidden="1"/>
    <col min="3584" max="3584" width="7.42578125" hidden="1"/>
    <col min="3585" max="3585" width="47.42578125" hidden="1"/>
    <col min="3586" max="3586" width="19.140625" hidden="1"/>
    <col min="3587" max="3587" width="14.7109375" hidden="1"/>
    <col min="3588" max="3588" width="16.85546875" hidden="1"/>
    <col min="3589" max="3589" width="17.5703125" hidden="1"/>
    <col min="3590" max="3590" width="22" hidden="1"/>
    <col min="3591" max="3591" width="9.140625" hidden="1"/>
    <col min="3592" max="3592" width="14.28515625" hidden="1"/>
    <col min="3593" max="3839" width="9.140625" hidden="1"/>
    <col min="3840" max="3840" width="7.42578125" hidden="1"/>
    <col min="3841" max="3841" width="47.42578125" hidden="1"/>
    <col min="3842" max="3842" width="19.140625" hidden="1"/>
    <col min="3843" max="3843" width="14.7109375" hidden="1"/>
    <col min="3844" max="3844" width="16.85546875" hidden="1"/>
    <col min="3845" max="3845" width="17.5703125" hidden="1"/>
    <col min="3846" max="3846" width="22" hidden="1"/>
    <col min="3847" max="3847" width="9.140625" hidden="1"/>
    <col min="3848" max="3848" width="14.28515625" hidden="1"/>
    <col min="3849" max="4095" width="9.140625" hidden="1"/>
    <col min="4096" max="4096" width="7.42578125" hidden="1"/>
    <col min="4097" max="4097" width="47.42578125" hidden="1"/>
    <col min="4098" max="4098" width="19.140625" hidden="1"/>
    <col min="4099" max="4099" width="14.7109375" hidden="1"/>
    <col min="4100" max="4100" width="16.85546875" hidden="1"/>
    <col min="4101" max="4101" width="17.5703125" hidden="1"/>
    <col min="4102" max="4102" width="22" hidden="1"/>
    <col min="4103" max="4103" width="9.140625" hidden="1"/>
    <col min="4104" max="4104" width="14.28515625" hidden="1"/>
    <col min="4105" max="4351" width="9.140625" hidden="1"/>
    <col min="4352" max="4352" width="7.42578125" hidden="1"/>
    <col min="4353" max="4353" width="47.42578125" hidden="1"/>
    <col min="4354" max="4354" width="19.140625" hidden="1"/>
    <col min="4355" max="4355" width="14.7109375" hidden="1"/>
    <col min="4356" max="4356" width="16.85546875" hidden="1"/>
    <col min="4357" max="4357" width="17.5703125" hidden="1"/>
    <col min="4358" max="4358" width="22" hidden="1"/>
    <col min="4359" max="4359" width="9.140625" hidden="1"/>
    <col min="4360" max="4360" width="14.28515625" hidden="1"/>
    <col min="4361" max="4607" width="9.140625" hidden="1"/>
    <col min="4608" max="4608" width="7.42578125" hidden="1"/>
    <col min="4609" max="4609" width="47.42578125" hidden="1"/>
    <col min="4610" max="4610" width="19.140625" hidden="1"/>
    <col min="4611" max="4611" width="14.7109375" hidden="1"/>
    <col min="4612" max="4612" width="16.85546875" hidden="1"/>
    <col min="4613" max="4613" width="17.5703125" hidden="1"/>
    <col min="4614" max="4614" width="22" hidden="1"/>
    <col min="4615" max="4615" width="9.140625" hidden="1"/>
    <col min="4616" max="4616" width="14.28515625" hidden="1"/>
    <col min="4617" max="4863" width="9.140625" hidden="1"/>
    <col min="4864" max="4864" width="7.42578125" hidden="1"/>
    <col min="4865" max="4865" width="47.42578125" hidden="1"/>
    <col min="4866" max="4866" width="19.140625" hidden="1"/>
    <col min="4867" max="4867" width="14.7109375" hidden="1"/>
    <col min="4868" max="4868" width="16.85546875" hidden="1"/>
    <col min="4869" max="4869" width="17.5703125" hidden="1"/>
    <col min="4870" max="4870" width="22" hidden="1"/>
    <col min="4871" max="4871" width="9.140625" hidden="1"/>
    <col min="4872" max="4872" width="14.28515625" hidden="1"/>
    <col min="4873" max="5119" width="9.140625" hidden="1"/>
    <col min="5120" max="5120" width="7.42578125" hidden="1"/>
    <col min="5121" max="5121" width="47.42578125" hidden="1"/>
    <col min="5122" max="5122" width="19.140625" hidden="1"/>
    <col min="5123" max="5123" width="14.7109375" hidden="1"/>
    <col min="5124" max="5124" width="16.85546875" hidden="1"/>
    <col min="5125" max="5125" width="17.5703125" hidden="1"/>
    <col min="5126" max="5126" width="22" hidden="1"/>
    <col min="5127" max="5127" width="9.140625" hidden="1"/>
    <col min="5128" max="5128" width="14.28515625" hidden="1"/>
    <col min="5129" max="5375" width="9.140625" hidden="1"/>
    <col min="5376" max="5376" width="7.42578125" hidden="1"/>
    <col min="5377" max="5377" width="47.42578125" hidden="1"/>
    <col min="5378" max="5378" width="19.140625" hidden="1"/>
    <col min="5379" max="5379" width="14.7109375" hidden="1"/>
    <col min="5380" max="5380" width="16.85546875" hidden="1"/>
    <col min="5381" max="5381" width="17.5703125" hidden="1"/>
    <col min="5382" max="5382" width="22" hidden="1"/>
    <col min="5383" max="5383" width="9.140625" hidden="1"/>
    <col min="5384" max="5384" width="14.28515625" hidden="1"/>
    <col min="5385" max="5631" width="9.140625" hidden="1"/>
    <col min="5632" max="5632" width="7.42578125" hidden="1"/>
    <col min="5633" max="5633" width="47.42578125" hidden="1"/>
    <col min="5634" max="5634" width="19.140625" hidden="1"/>
    <col min="5635" max="5635" width="14.7109375" hidden="1"/>
    <col min="5636" max="5636" width="16.85546875" hidden="1"/>
    <col min="5637" max="5637" width="17.5703125" hidden="1"/>
    <col min="5638" max="5638" width="22" hidden="1"/>
    <col min="5639" max="5639" width="9.140625" hidden="1"/>
    <col min="5640" max="5640" width="14.28515625" hidden="1"/>
    <col min="5641" max="5887" width="9.140625" hidden="1"/>
    <col min="5888" max="5888" width="7.42578125" hidden="1"/>
    <col min="5889" max="5889" width="47.42578125" hidden="1"/>
    <col min="5890" max="5890" width="19.140625" hidden="1"/>
    <col min="5891" max="5891" width="14.7109375" hidden="1"/>
    <col min="5892" max="5892" width="16.85546875" hidden="1"/>
    <col min="5893" max="5893" width="17.5703125" hidden="1"/>
    <col min="5894" max="5894" width="22" hidden="1"/>
    <col min="5895" max="5895" width="9.140625" hidden="1"/>
    <col min="5896" max="5896" width="14.28515625" hidden="1"/>
    <col min="5897" max="6143" width="9.140625" hidden="1"/>
    <col min="6144" max="6144" width="7.42578125" hidden="1"/>
    <col min="6145" max="6145" width="47.42578125" hidden="1"/>
    <col min="6146" max="6146" width="19.140625" hidden="1"/>
    <col min="6147" max="6147" width="14.7109375" hidden="1"/>
    <col min="6148" max="6148" width="16.85546875" hidden="1"/>
    <col min="6149" max="6149" width="17.5703125" hidden="1"/>
    <col min="6150" max="6150" width="22" hidden="1"/>
    <col min="6151" max="6151" width="9.140625" hidden="1"/>
    <col min="6152" max="6152" width="14.28515625" hidden="1"/>
    <col min="6153" max="6399" width="9.140625" hidden="1"/>
    <col min="6400" max="6400" width="7.42578125" hidden="1"/>
    <col min="6401" max="6401" width="47.42578125" hidden="1"/>
    <col min="6402" max="6402" width="19.140625" hidden="1"/>
    <col min="6403" max="6403" width="14.7109375" hidden="1"/>
    <col min="6404" max="6404" width="16.85546875" hidden="1"/>
    <col min="6405" max="6405" width="17.5703125" hidden="1"/>
    <col min="6406" max="6406" width="22" hidden="1"/>
    <col min="6407" max="6407" width="9.140625" hidden="1"/>
    <col min="6408" max="6408" width="14.28515625" hidden="1"/>
    <col min="6409" max="6655" width="9.140625" hidden="1"/>
    <col min="6656" max="6656" width="7.42578125" hidden="1"/>
    <col min="6657" max="6657" width="47.42578125" hidden="1"/>
    <col min="6658" max="6658" width="19.140625" hidden="1"/>
    <col min="6659" max="6659" width="14.7109375" hidden="1"/>
    <col min="6660" max="6660" width="16.85546875" hidden="1"/>
    <col min="6661" max="6661" width="17.5703125" hidden="1"/>
    <col min="6662" max="6662" width="22" hidden="1"/>
    <col min="6663" max="6663" width="9.140625" hidden="1"/>
    <col min="6664" max="6664" width="14.28515625" hidden="1"/>
    <col min="6665" max="6911" width="9.140625" hidden="1"/>
    <col min="6912" max="6912" width="7.42578125" hidden="1"/>
    <col min="6913" max="6913" width="47.42578125" hidden="1"/>
    <col min="6914" max="6914" width="19.140625" hidden="1"/>
    <col min="6915" max="6915" width="14.7109375" hidden="1"/>
    <col min="6916" max="6916" width="16.85546875" hidden="1"/>
    <col min="6917" max="6917" width="17.5703125" hidden="1"/>
    <col min="6918" max="6918" width="22" hidden="1"/>
    <col min="6919" max="6919" width="9.140625" hidden="1"/>
    <col min="6920" max="6920" width="14.28515625" hidden="1"/>
    <col min="6921" max="7167" width="9.140625" hidden="1"/>
    <col min="7168" max="7168" width="7.42578125" hidden="1"/>
    <col min="7169" max="7169" width="47.42578125" hidden="1"/>
    <col min="7170" max="7170" width="19.140625" hidden="1"/>
    <col min="7171" max="7171" width="14.7109375" hidden="1"/>
    <col min="7172" max="7172" width="16.85546875" hidden="1"/>
    <col min="7173" max="7173" width="17.5703125" hidden="1"/>
    <col min="7174" max="7174" width="22" hidden="1"/>
    <col min="7175" max="7175" width="9.140625" hidden="1"/>
    <col min="7176" max="7176" width="14.28515625" hidden="1"/>
    <col min="7177" max="7423" width="9.140625" hidden="1"/>
    <col min="7424" max="7424" width="7.42578125" hidden="1"/>
    <col min="7425" max="7425" width="47.42578125" hidden="1"/>
    <col min="7426" max="7426" width="19.140625" hidden="1"/>
    <col min="7427" max="7427" width="14.7109375" hidden="1"/>
    <col min="7428" max="7428" width="16.85546875" hidden="1"/>
    <col min="7429" max="7429" width="17.5703125" hidden="1"/>
    <col min="7430" max="7430" width="22" hidden="1"/>
    <col min="7431" max="7431" width="9.140625" hidden="1"/>
    <col min="7432" max="7432" width="14.28515625" hidden="1"/>
    <col min="7433" max="7679" width="9.140625" hidden="1"/>
    <col min="7680" max="7680" width="7.42578125" hidden="1"/>
    <col min="7681" max="7681" width="47.42578125" hidden="1"/>
    <col min="7682" max="7682" width="19.140625" hidden="1"/>
    <col min="7683" max="7683" width="14.7109375" hidden="1"/>
    <col min="7684" max="7684" width="16.85546875" hidden="1"/>
    <col min="7685" max="7685" width="17.5703125" hidden="1"/>
    <col min="7686" max="7686" width="22" hidden="1"/>
    <col min="7687" max="7687" width="9.140625" hidden="1"/>
    <col min="7688" max="7688" width="14.28515625" hidden="1"/>
    <col min="7689" max="7935" width="9.140625" hidden="1"/>
    <col min="7936" max="7936" width="7.42578125" hidden="1"/>
    <col min="7937" max="7937" width="47.42578125" hidden="1"/>
    <col min="7938" max="7938" width="19.140625" hidden="1"/>
    <col min="7939" max="7939" width="14.7109375" hidden="1"/>
    <col min="7940" max="7940" width="16.85546875" hidden="1"/>
    <col min="7941" max="7941" width="17.5703125" hidden="1"/>
    <col min="7942" max="7942" width="22" hidden="1"/>
    <col min="7943" max="7943" width="9.140625" hidden="1"/>
    <col min="7944" max="7944" width="14.28515625" hidden="1"/>
    <col min="7945" max="8191" width="9.140625" hidden="1"/>
    <col min="8192" max="8192" width="7.42578125" hidden="1"/>
    <col min="8193" max="8193" width="47.42578125" hidden="1"/>
    <col min="8194" max="8194" width="19.140625" hidden="1"/>
    <col min="8195" max="8195" width="14.7109375" hidden="1"/>
    <col min="8196" max="8196" width="16.85546875" hidden="1"/>
    <col min="8197" max="8197" width="17.5703125" hidden="1"/>
    <col min="8198" max="8198" width="22" hidden="1"/>
    <col min="8199" max="8199" width="9.140625" hidden="1"/>
    <col min="8200" max="8200" width="14.28515625" hidden="1"/>
    <col min="8201" max="8447" width="9.140625" hidden="1"/>
    <col min="8448" max="8448" width="7.42578125" hidden="1"/>
    <col min="8449" max="8449" width="47.42578125" hidden="1"/>
    <col min="8450" max="8450" width="19.140625" hidden="1"/>
    <col min="8451" max="8451" width="14.7109375" hidden="1"/>
    <col min="8452" max="8452" width="16.85546875" hidden="1"/>
    <col min="8453" max="8453" width="17.5703125" hidden="1"/>
    <col min="8454" max="8454" width="22" hidden="1"/>
    <col min="8455" max="8455" width="9.140625" hidden="1"/>
    <col min="8456" max="8456" width="14.28515625" hidden="1"/>
    <col min="8457" max="8703" width="9.140625" hidden="1"/>
    <col min="8704" max="8704" width="7.42578125" hidden="1"/>
    <col min="8705" max="8705" width="47.42578125" hidden="1"/>
    <col min="8706" max="8706" width="19.140625" hidden="1"/>
    <col min="8707" max="8707" width="14.7109375" hidden="1"/>
    <col min="8708" max="8708" width="16.85546875" hidden="1"/>
    <col min="8709" max="8709" width="17.5703125" hidden="1"/>
    <col min="8710" max="8710" width="22" hidden="1"/>
    <col min="8711" max="8711" width="9.140625" hidden="1"/>
    <col min="8712" max="8712" width="14.28515625" hidden="1"/>
    <col min="8713" max="8959" width="9.140625" hidden="1"/>
    <col min="8960" max="8960" width="7.42578125" hidden="1"/>
    <col min="8961" max="8961" width="47.42578125" hidden="1"/>
    <col min="8962" max="8962" width="19.140625" hidden="1"/>
    <col min="8963" max="8963" width="14.7109375" hidden="1"/>
    <col min="8964" max="8964" width="16.85546875" hidden="1"/>
    <col min="8965" max="8965" width="17.5703125" hidden="1"/>
    <col min="8966" max="8966" width="22" hidden="1"/>
    <col min="8967" max="8967" width="9.140625" hidden="1"/>
    <col min="8968" max="8968" width="14.28515625" hidden="1"/>
    <col min="8969" max="9215" width="9.140625" hidden="1"/>
    <col min="9216" max="9216" width="7.42578125" hidden="1"/>
    <col min="9217" max="9217" width="47.42578125" hidden="1"/>
    <col min="9218" max="9218" width="19.140625" hidden="1"/>
    <col min="9219" max="9219" width="14.7109375" hidden="1"/>
    <col min="9220" max="9220" width="16.85546875" hidden="1"/>
    <col min="9221" max="9221" width="17.5703125" hidden="1"/>
    <col min="9222" max="9222" width="22" hidden="1"/>
    <col min="9223" max="9223" width="9.140625" hidden="1"/>
    <col min="9224" max="9224" width="14.28515625" hidden="1"/>
    <col min="9225" max="9471" width="9.140625" hidden="1"/>
    <col min="9472" max="9472" width="7.42578125" hidden="1"/>
    <col min="9473" max="9473" width="47.42578125" hidden="1"/>
    <col min="9474" max="9474" width="19.140625" hidden="1"/>
    <col min="9475" max="9475" width="14.7109375" hidden="1"/>
    <col min="9476" max="9476" width="16.85546875" hidden="1"/>
    <col min="9477" max="9477" width="17.5703125" hidden="1"/>
    <col min="9478" max="9478" width="22" hidden="1"/>
    <col min="9479" max="9479" width="9.140625" hidden="1"/>
    <col min="9480" max="9480" width="14.28515625" hidden="1"/>
    <col min="9481" max="9727" width="9.140625" hidden="1"/>
    <col min="9728" max="9728" width="7.42578125" hidden="1"/>
    <col min="9729" max="9729" width="47.42578125" hidden="1"/>
    <col min="9730" max="9730" width="19.140625" hidden="1"/>
    <col min="9731" max="9731" width="14.7109375" hidden="1"/>
    <col min="9732" max="9732" width="16.85546875" hidden="1"/>
    <col min="9733" max="9733" width="17.5703125" hidden="1"/>
    <col min="9734" max="9734" width="22" hidden="1"/>
    <col min="9735" max="9735" width="9.140625" hidden="1"/>
    <col min="9736" max="9736" width="14.28515625" hidden="1"/>
    <col min="9737" max="9983" width="9.140625" hidden="1"/>
    <col min="9984" max="9984" width="7.42578125" hidden="1"/>
    <col min="9985" max="9985" width="47.42578125" hidden="1"/>
    <col min="9986" max="9986" width="19.140625" hidden="1"/>
    <col min="9987" max="9987" width="14.7109375" hidden="1"/>
    <col min="9988" max="9988" width="16.85546875" hidden="1"/>
    <col min="9989" max="9989" width="17.5703125" hidden="1"/>
    <col min="9990" max="9990" width="22" hidden="1"/>
    <col min="9991" max="9991" width="9.140625" hidden="1"/>
    <col min="9992" max="9992" width="14.28515625" hidden="1"/>
    <col min="9993" max="10239" width="9.140625" hidden="1"/>
    <col min="10240" max="10240" width="7.42578125" hidden="1"/>
    <col min="10241" max="10241" width="47.42578125" hidden="1"/>
    <col min="10242" max="10242" width="19.140625" hidden="1"/>
    <col min="10243" max="10243" width="14.7109375" hidden="1"/>
    <col min="10244" max="10244" width="16.85546875" hidden="1"/>
    <col min="10245" max="10245" width="17.5703125" hidden="1"/>
    <col min="10246" max="10246" width="22" hidden="1"/>
    <col min="10247" max="10247" width="9.140625" hidden="1"/>
    <col min="10248" max="10248" width="14.28515625" hidden="1"/>
    <col min="10249" max="10495" width="9.140625" hidden="1"/>
    <col min="10496" max="10496" width="7.42578125" hidden="1"/>
    <col min="10497" max="10497" width="47.42578125" hidden="1"/>
    <col min="10498" max="10498" width="19.140625" hidden="1"/>
    <col min="10499" max="10499" width="14.7109375" hidden="1"/>
    <col min="10500" max="10500" width="16.85546875" hidden="1"/>
    <col min="10501" max="10501" width="17.5703125" hidden="1"/>
    <col min="10502" max="10502" width="22" hidden="1"/>
    <col min="10503" max="10503" width="9.140625" hidden="1"/>
    <col min="10504" max="10504" width="14.28515625" hidden="1"/>
    <col min="10505" max="10751" width="9.140625" hidden="1"/>
    <col min="10752" max="10752" width="7.42578125" hidden="1"/>
    <col min="10753" max="10753" width="47.42578125" hidden="1"/>
    <col min="10754" max="10754" width="19.140625" hidden="1"/>
    <col min="10755" max="10755" width="14.7109375" hidden="1"/>
    <col min="10756" max="10756" width="16.85546875" hidden="1"/>
    <col min="10757" max="10757" width="17.5703125" hidden="1"/>
    <col min="10758" max="10758" width="22" hidden="1"/>
    <col min="10759" max="10759" width="9.140625" hidden="1"/>
    <col min="10760" max="10760" width="14.28515625" hidden="1"/>
    <col min="10761" max="11007" width="9.140625" hidden="1"/>
    <col min="11008" max="11008" width="7.42578125" hidden="1"/>
    <col min="11009" max="11009" width="47.42578125" hidden="1"/>
    <col min="11010" max="11010" width="19.140625" hidden="1"/>
    <col min="11011" max="11011" width="14.7109375" hidden="1"/>
    <col min="11012" max="11012" width="16.85546875" hidden="1"/>
    <col min="11013" max="11013" width="17.5703125" hidden="1"/>
    <col min="11014" max="11014" width="22" hidden="1"/>
    <col min="11015" max="11015" width="9.140625" hidden="1"/>
    <col min="11016" max="11016" width="14.28515625" hidden="1"/>
    <col min="11017" max="11263" width="9.140625" hidden="1"/>
    <col min="11264" max="11264" width="7.42578125" hidden="1"/>
    <col min="11265" max="11265" width="47.42578125" hidden="1"/>
    <col min="11266" max="11266" width="19.140625" hidden="1"/>
    <col min="11267" max="11267" width="14.7109375" hidden="1"/>
    <col min="11268" max="11268" width="16.85546875" hidden="1"/>
    <col min="11269" max="11269" width="17.5703125" hidden="1"/>
    <col min="11270" max="11270" width="22" hidden="1"/>
    <col min="11271" max="11271" width="9.140625" hidden="1"/>
    <col min="11272" max="11272" width="14.28515625" hidden="1"/>
    <col min="11273" max="11519" width="9.140625" hidden="1"/>
    <col min="11520" max="11520" width="7.42578125" hidden="1"/>
    <col min="11521" max="11521" width="47.42578125" hidden="1"/>
    <col min="11522" max="11522" width="19.140625" hidden="1"/>
    <col min="11523" max="11523" width="14.7109375" hidden="1"/>
    <col min="11524" max="11524" width="16.85546875" hidden="1"/>
    <col min="11525" max="11525" width="17.5703125" hidden="1"/>
    <col min="11526" max="11526" width="22" hidden="1"/>
    <col min="11527" max="11527" width="9.140625" hidden="1"/>
    <col min="11528" max="11528" width="14.28515625" hidden="1"/>
    <col min="11529" max="11775" width="9.140625" hidden="1"/>
    <col min="11776" max="11776" width="7.42578125" hidden="1"/>
    <col min="11777" max="11777" width="47.42578125" hidden="1"/>
    <col min="11778" max="11778" width="19.140625" hidden="1"/>
    <col min="11779" max="11779" width="14.7109375" hidden="1"/>
    <col min="11780" max="11780" width="16.85546875" hidden="1"/>
    <col min="11781" max="11781" width="17.5703125" hidden="1"/>
    <col min="11782" max="11782" width="22" hidden="1"/>
    <col min="11783" max="11783" width="9.140625" hidden="1"/>
    <col min="11784" max="11784" width="14.28515625" hidden="1"/>
    <col min="11785" max="12031" width="9.140625" hidden="1"/>
    <col min="12032" max="12032" width="7.42578125" hidden="1"/>
    <col min="12033" max="12033" width="47.42578125" hidden="1"/>
    <col min="12034" max="12034" width="19.140625" hidden="1"/>
    <col min="12035" max="12035" width="14.7109375" hidden="1"/>
    <col min="12036" max="12036" width="16.85546875" hidden="1"/>
    <col min="12037" max="12037" width="17.5703125" hidden="1"/>
    <col min="12038" max="12038" width="22" hidden="1"/>
    <col min="12039" max="12039" width="9.140625" hidden="1"/>
    <col min="12040" max="12040" width="14.28515625" hidden="1"/>
    <col min="12041" max="12287" width="9.140625" hidden="1"/>
    <col min="12288" max="12288" width="7.42578125" hidden="1"/>
    <col min="12289" max="12289" width="47.42578125" hidden="1"/>
    <col min="12290" max="12290" width="19.140625" hidden="1"/>
    <col min="12291" max="12291" width="14.7109375" hidden="1"/>
    <col min="12292" max="12292" width="16.85546875" hidden="1"/>
    <col min="12293" max="12293" width="17.5703125" hidden="1"/>
    <col min="12294" max="12294" width="22" hidden="1"/>
    <col min="12295" max="12295" width="9.140625" hidden="1"/>
    <col min="12296" max="12296" width="14.28515625" hidden="1"/>
    <col min="12297" max="12543" width="9.140625" hidden="1"/>
    <col min="12544" max="12544" width="7.42578125" hidden="1"/>
    <col min="12545" max="12545" width="47.42578125" hidden="1"/>
    <col min="12546" max="12546" width="19.140625" hidden="1"/>
    <col min="12547" max="12547" width="14.7109375" hidden="1"/>
    <col min="12548" max="12548" width="16.85546875" hidden="1"/>
    <col min="12549" max="12549" width="17.5703125" hidden="1"/>
    <col min="12550" max="12550" width="22" hidden="1"/>
    <col min="12551" max="12551" width="9.140625" hidden="1"/>
    <col min="12552" max="12552" width="14.28515625" hidden="1"/>
    <col min="12553" max="12799" width="9.140625" hidden="1"/>
    <col min="12800" max="12800" width="7.42578125" hidden="1"/>
    <col min="12801" max="12801" width="47.42578125" hidden="1"/>
    <col min="12802" max="12802" width="19.140625" hidden="1"/>
    <col min="12803" max="12803" width="14.7109375" hidden="1"/>
    <col min="12804" max="12804" width="16.85546875" hidden="1"/>
    <col min="12805" max="12805" width="17.5703125" hidden="1"/>
    <col min="12806" max="12806" width="22" hidden="1"/>
    <col min="12807" max="12807" width="9.140625" hidden="1"/>
    <col min="12808" max="12808" width="14.28515625" hidden="1"/>
    <col min="12809" max="13055" width="9.140625" hidden="1"/>
    <col min="13056" max="13056" width="7.42578125" hidden="1"/>
    <col min="13057" max="13057" width="47.42578125" hidden="1"/>
    <col min="13058" max="13058" width="19.140625" hidden="1"/>
    <col min="13059" max="13059" width="14.7109375" hidden="1"/>
    <col min="13060" max="13060" width="16.85546875" hidden="1"/>
    <col min="13061" max="13061" width="17.5703125" hidden="1"/>
    <col min="13062" max="13062" width="22" hidden="1"/>
    <col min="13063" max="13063" width="9.140625" hidden="1"/>
    <col min="13064" max="13064" width="14.28515625" hidden="1"/>
    <col min="13065" max="13311" width="9.140625" hidden="1"/>
    <col min="13312" max="13312" width="7.42578125" hidden="1"/>
    <col min="13313" max="13313" width="47.42578125" hidden="1"/>
    <col min="13314" max="13314" width="19.140625" hidden="1"/>
    <col min="13315" max="13315" width="14.7109375" hidden="1"/>
    <col min="13316" max="13316" width="16.85546875" hidden="1"/>
    <col min="13317" max="13317" width="17.5703125" hidden="1"/>
    <col min="13318" max="13318" width="22" hidden="1"/>
    <col min="13319" max="13319" width="9.140625" hidden="1"/>
    <col min="13320" max="13320" width="14.28515625" hidden="1"/>
    <col min="13321" max="13567" width="9.140625" hidden="1"/>
    <col min="13568" max="13568" width="7.42578125" hidden="1"/>
    <col min="13569" max="13569" width="47.42578125" hidden="1"/>
    <col min="13570" max="13570" width="19.140625" hidden="1"/>
    <col min="13571" max="13571" width="14.7109375" hidden="1"/>
    <col min="13572" max="13572" width="16.85546875" hidden="1"/>
    <col min="13573" max="13573" width="17.5703125" hidden="1"/>
    <col min="13574" max="13574" width="22" hidden="1"/>
    <col min="13575" max="13575" width="9.140625" hidden="1"/>
    <col min="13576" max="13576" width="14.28515625" hidden="1"/>
    <col min="13577" max="13823" width="9.140625" hidden="1"/>
    <col min="13824" max="13824" width="7.42578125" hidden="1"/>
    <col min="13825" max="13825" width="47.42578125" hidden="1"/>
    <col min="13826" max="13826" width="19.140625" hidden="1"/>
    <col min="13827" max="13827" width="14.7109375" hidden="1"/>
    <col min="13828" max="13828" width="16.85546875" hidden="1"/>
    <col min="13829" max="13829" width="17.5703125" hidden="1"/>
    <col min="13830" max="13830" width="22" hidden="1"/>
    <col min="13831" max="13831" width="9.140625" hidden="1"/>
    <col min="13832" max="13832" width="14.28515625" hidden="1"/>
    <col min="13833" max="14079" width="9.140625" hidden="1"/>
    <col min="14080" max="14080" width="7.42578125" hidden="1"/>
    <col min="14081" max="14081" width="47.42578125" hidden="1"/>
    <col min="14082" max="14082" width="19.140625" hidden="1"/>
    <col min="14083" max="14083" width="14.7109375" hidden="1"/>
    <col min="14084" max="14084" width="16.85546875" hidden="1"/>
    <col min="14085" max="14085" width="17.5703125" hidden="1"/>
    <col min="14086" max="14086" width="22" hidden="1"/>
    <col min="14087" max="14087" width="9.140625" hidden="1"/>
    <col min="14088" max="14088" width="14.28515625" hidden="1"/>
    <col min="14089" max="14335" width="9.140625" hidden="1"/>
    <col min="14336" max="14336" width="7.42578125" hidden="1"/>
    <col min="14337" max="14337" width="47.42578125" hidden="1"/>
    <col min="14338" max="14338" width="19.140625" hidden="1"/>
    <col min="14339" max="14339" width="14.7109375" hidden="1"/>
    <col min="14340" max="14340" width="16.85546875" hidden="1"/>
    <col min="14341" max="14341" width="17.5703125" hidden="1"/>
    <col min="14342" max="14342" width="22" hidden="1"/>
    <col min="14343" max="14343" width="9.140625" hidden="1"/>
    <col min="14344" max="14344" width="14.28515625" hidden="1"/>
    <col min="14345" max="14591" width="9.140625" hidden="1"/>
    <col min="14592" max="14592" width="7.42578125" hidden="1"/>
    <col min="14593" max="14593" width="47.42578125" hidden="1"/>
    <col min="14594" max="14594" width="19.140625" hidden="1"/>
    <col min="14595" max="14595" width="14.7109375" hidden="1"/>
    <col min="14596" max="14596" width="16.85546875" hidden="1"/>
    <col min="14597" max="14597" width="17.5703125" hidden="1"/>
    <col min="14598" max="14598" width="22" hidden="1"/>
    <col min="14599" max="14599" width="9.140625" hidden="1"/>
    <col min="14600" max="14600" width="14.28515625" hidden="1"/>
    <col min="14601" max="14847" width="9.140625" hidden="1"/>
    <col min="14848" max="14848" width="7.42578125" hidden="1"/>
    <col min="14849" max="14849" width="47.42578125" hidden="1"/>
    <col min="14850" max="14850" width="19.140625" hidden="1"/>
    <col min="14851" max="14851" width="14.7109375" hidden="1"/>
    <col min="14852" max="14852" width="16.85546875" hidden="1"/>
    <col min="14853" max="14853" width="17.5703125" hidden="1"/>
    <col min="14854" max="14854" width="22" hidden="1"/>
    <col min="14855" max="14855" width="9.140625" hidden="1"/>
    <col min="14856" max="14856" width="14.28515625" hidden="1"/>
    <col min="14857" max="15103" width="9.140625" hidden="1"/>
    <col min="15104" max="15104" width="7.42578125" hidden="1"/>
    <col min="15105" max="15105" width="47.42578125" hidden="1"/>
    <col min="15106" max="15106" width="19.140625" hidden="1"/>
    <col min="15107" max="15107" width="14.7109375" hidden="1"/>
    <col min="15108" max="15108" width="16.85546875" hidden="1"/>
    <col min="15109" max="15109" width="17.5703125" hidden="1"/>
    <col min="15110" max="15110" width="22" hidden="1"/>
    <col min="15111" max="15111" width="9.140625" hidden="1"/>
    <col min="15112" max="15112" width="14.28515625" hidden="1"/>
    <col min="15113" max="15359" width="9.140625" hidden="1"/>
    <col min="15360" max="15360" width="7.42578125" hidden="1"/>
    <col min="15361" max="15361" width="47.42578125" hidden="1"/>
    <col min="15362" max="15362" width="19.140625" hidden="1"/>
    <col min="15363" max="15363" width="14.7109375" hidden="1"/>
    <col min="15364" max="15364" width="16.85546875" hidden="1"/>
    <col min="15365" max="15365" width="17.5703125" hidden="1"/>
    <col min="15366" max="15366" width="22" hidden="1"/>
    <col min="15367" max="15367" width="9.140625" hidden="1"/>
    <col min="15368" max="15368" width="14.28515625" hidden="1"/>
    <col min="15369" max="15615" width="9.140625" hidden="1"/>
    <col min="15616" max="15616" width="7.42578125" hidden="1"/>
    <col min="15617" max="15617" width="47.42578125" hidden="1"/>
    <col min="15618" max="15618" width="19.140625" hidden="1"/>
    <col min="15619" max="15619" width="14.7109375" hidden="1"/>
    <col min="15620" max="15620" width="16.85546875" hidden="1"/>
    <col min="15621" max="15621" width="17.5703125" hidden="1"/>
    <col min="15622" max="15622" width="22" hidden="1"/>
    <col min="15623" max="15623" width="9.140625" hidden="1"/>
    <col min="15624" max="15624" width="14.28515625" hidden="1"/>
    <col min="15625" max="15871" width="9.140625" hidden="1"/>
    <col min="15872" max="15872" width="7.42578125" hidden="1"/>
    <col min="15873" max="15873" width="47.42578125" hidden="1"/>
    <col min="15874" max="15874" width="19.140625" hidden="1"/>
    <col min="15875" max="15875" width="14.7109375" hidden="1"/>
    <col min="15876" max="15876" width="16.85546875" hidden="1"/>
    <col min="15877" max="15877" width="17.5703125" hidden="1"/>
    <col min="15878" max="15878" width="22" hidden="1"/>
    <col min="15879" max="15879" width="9.140625" hidden="1"/>
    <col min="15880" max="15880" width="14.28515625" hidden="1"/>
    <col min="15881" max="16127" width="9.140625" hidden="1"/>
    <col min="16128" max="16128" width="7.42578125" hidden="1"/>
    <col min="16129" max="16129" width="47.42578125" hidden="1"/>
    <col min="16130" max="16130" width="19.140625" hidden="1"/>
    <col min="16131" max="16131" width="14.7109375" hidden="1"/>
    <col min="16132" max="16132" width="16.85546875" hidden="1"/>
    <col min="16133" max="16133" width="17.5703125" hidden="1"/>
    <col min="16134" max="16134" width="22" hidden="1"/>
    <col min="16135" max="16135" width="9.140625" hidden="1"/>
    <col min="16136" max="16138" width="14.28515625" hidden="1"/>
    <col min="16139" max="16383" width="9.140625" hidden="1"/>
    <col min="16384" max="16384" width="0.28515625" customWidth="1"/>
  </cols>
  <sheetData>
    <row r="1" spans="2:10" ht="15.75" thickBot="1" x14ac:dyDescent="0.3">
      <c r="B1" s="68"/>
      <c r="C1" s="68"/>
      <c r="D1" s="68"/>
      <c r="E1" s="68"/>
      <c r="F1" s="68"/>
    </row>
    <row r="2" spans="2:10" ht="21" thickBot="1" x14ac:dyDescent="0.3">
      <c r="B2" s="171" t="s">
        <v>125</v>
      </c>
      <c r="C2" s="172"/>
      <c r="D2" s="172"/>
      <c r="E2" s="172"/>
      <c r="F2" s="173"/>
    </row>
    <row r="3" spans="2:10" ht="19.5" thickBot="1" x14ac:dyDescent="0.3">
      <c r="B3" s="174" t="s">
        <v>126</v>
      </c>
      <c r="C3" s="175"/>
      <c r="D3" s="175"/>
      <c r="E3" s="175"/>
      <c r="F3" s="176"/>
    </row>
    <row r="4" spans="2:10" ht="33" customHeight="1" thickBot="1" x14ac:dyDescent="0.3">
      <c r="B4" s="69"/>
      <c r="C4" s="70" t="s">
        <v>127</v>
      </c>
      <c r="D4" s="69" t="s">
        <v>128</v>
      </c>
      <c r="E4" s="69" t="s">
        <v>129</v>
      </c>
      <c r="F4" s="69" t="s">
        <v>204</v>
      </c>
    </row>
    <row r="5" spans="2:10" ht="16.5" thickBot="1" x14ac:dyDescent="0.3">
      <c r="B5" s="71">
        <v>1</v>
      </c>
      <c r="C5" s="72" t="s">
        <v>135</v>
      </c>
      <c r="D5" s="73">
        <f>'SR - Aux. Esc.'!D130</f>
        <v>5912.9052200989681</v>
      </c>
      <c r="E5" s="74">
        <v>15</v>
      </c>
      <c r="F5" s="75">
        <f>E5*D5</f>
        <v>88693.578301484522</v>
      </c>
      <c r="G5" s="76"/>
      <c r="H5" s="77"/>
      <c r="I5" s="78"/>
      <c r="J5" s="78"/>
    </row>
    <row r="6" spans="2:10" ht="16.5" thickBot="1" x14ac:dyDescent="0.3">
      <c r="B6" s="71">
        <v>2</v>
      </c>
      <c r="C6" s="72" t="s">
        <v>136</v>
      </c>
      <c r="D6" s="73">
        <f>'SR - Encarregado'!D130</f>
        <v>5871.9544911517296</v>
      </c>
      <c r="E6" s="74">
        <v>1</v>
      </c>
      <c r="F6" s="75">
        <f t="shared" ref="F6:F20" si="0">E6*D6</f>
        <v>5871.9544911517296</v>
      </c>
      <c r="G6" s="76"/>
      <c r="H6" s="77"/>
      <c r="I6" s="78"/>
      <c r="J6" s="78"/>
    </row>
    <row r="7" spans="2:10" ht="16.5" thickBot="1" x14ac:dyDescent="0.3">
      <c r="B7" s="71">
        <v>3</v>
      </c>
      <c r="C7" s="79" t="s">
        <v>137</v>
      </c>
      <c r="D7" s="73">
        <f>'SR - Motorista'!D132</f>
        <v>5957.1981306709731</v>
      </c>
      <c r="E7" s="74">
        <v>2</v>
      </c>
      <c r="F7" s="75">
        <f t="shared" si="0"/>
        <v>11914.396261341946</v>
      </c>
      <c r="G7" s="76"/>
      <c r="H7" s="77"/>
      <c r="I7" s="78"/>
      <c r="J7" s="78"/>
    </row>
    <row r="8" spans="2:10" ht="16.5" thickBot="1" x14ac:dyDescent="0.3">
      <c r="B8" s="71">
        <v>4</v>
      </c>
      <c r="C8" s="72" t="s">
        <v>140</v>
      </c>
      <c r="D8" s="89">
        <f>'ITAJAÍ - Aux. Esc.'!D130</f>
        <v>4603.1937826486792</v>
      </c>
      <c r="E8" s="74">
        <v>3</v>
      </c>
      <c r="F8" s="75">
        <f t="shared" si="0"/>
        <v>13809.581347946038</v>
      </c>
      <c r="G8" s="76"/>
      <c r="H8" s="77"/>
      <c r="I8" s="78"/>
      <c r="J8" s="78"/>
    </row>
    <row r="9" spans="2:10" ht="16.5" thickBot="1" x14ac:dyDescent="0.3">
      <c r="B9" s="71">
        <v>5</v>
      </c>
      <c r="C9" s="72" t="s">
        <v>138</v>
      </c>
      <c r="D9" s="89">
        <f>'ITAJAÍ - Motorista'!D132</f>
        <v>4649.8733312388949</v>
      </c>
      <c r="E9" s="74">
        <v>1</v>
      </c>
      <c r="F9" s="75">
        <f t="shared" si="0"/>
        <v>4649.8733312388949</v>
      </c>
      <c r="G9" s="76"/>
      <c r="H9" s="77"/>
      <c r="I9" s="78"/>
      <c r="J9" s="78"/>
    </row>
    <row r="10" spans="2:10" ht="16.5" thickBot="1" x14ac:dyDescent="0.3">
      <c r="B10" s="71">
        <v>6</v>
      </c>
      <c r="C10" s="72" t="s">
        <v>139</v>
      </c>
      <c r="D10" s="89">
        <f>'ITAJAÍ - Líder'!D130</f>
        <v>5361.4728704945001</v>
      </c>
      <c r="E10" s="74">
        <v>1</v>
      </c>
      <c r="F10" s="75">
        <f t="shared" si="0"/>
        <v>5361.4728704945001</v>
      </c>
      <c r="G10" s="76"/>
      <c r="H10" s="77"/>
      <c r="I10" s="78"/>
      <c r="J10" s="78"/>
    </row>
    <row r="11" spans="2:10" ht="16.5" thickBot="1" x14ac:dyDescent="0.3">
      <c r="B11" s="71">
        <v>7</v>
      </c>
      <c r="C11" s="72" t="s">
        <v>141</v>
      </c>
      <c r="D11" s="89">
        <f>'JOINVILLE - Aux. Esc.'!D130</f>
        <v>4724.1784178706475</v>
      </c>
      <c r="E11" s="74">
        <v>4</v>
      </c>
      <c r="F11" s="75">
        <f t="shared" si="0"/>
        <v>18896.71367148259</v>
      </c>
      <c r="G11" s="76"/>
      <c r="H11" s="77"/>
      <c r="I11" s="78"/>
      <c r="J11" s="78"/>
    </row>
    <row r="12" spans="2:10" ht="16.5" thickBot="1" x14ac:dyDescent="0.3">
      <c r="B12" s="71">
        <v>8</v>
      </c>
      <c r="C12" s="72" t="s">
        <v>142</v>
      </c>
      <c r="D12" s="89">
        <f>'JOINVILLE - Líder'!D130</f>
        <v>5470.8764288654402</v>
      </c>
      <c r="E12" s="74">
        <v>1</v>
      </c>
      <c r="F12" s="75">
        <f t="shared" si="0"/>
        <v>5470.8764288654402</v>
      </c>
      <c r="G12" s="76"/>
      <c r="H12" s="77"/>
      <c r="I12" s="78"/>
      <c r="J12" s="78"/>
    </row>
    <row r="13" spans="2:10" ht="16.5" thickBot="1" x14ac:dyDescent="0.3">
      <c r="B13" s="71">
        <v>9</v>
      </c>
      <c r="C13" s="72" t="s">
        <v>143</v>
      </c>
      <c r="D13" s="89">
        <f>'CRICIÚMA - Aux. Esc.'!D130</f>
        <v>4693.1408578383125</v>
      </c>
      <c r="E13" s="74">
        <v>4</v>
      </c>
      <c r="F13" s="75">
        <f t="shared" si="0"/>
        <v>18772.56343135325</v>
      </c>
      <c r="G13" s="76"/>
      <c r="H13" s="77"/>
      <c r="I13" s="78"/>
      <c r="J13" s="78"/>
    </row>
    <row r="14" spans="2:10" ht="16.5" thickBot="1" x14ac:dyDescent="0.3">
      <c r="B14" s="71">
        <v>10</v>
      </c>
      <c r="C14" s="72" t="s">
        <v>144</v>
      </c>
      <c r="D14" s="89">
        <f>'CRICIÚMA - Líder'!D130</f>
        <v>5439.8614282772387</v>
      </c>
      <c r="E14" s="74">
        <v>1</v>
      </c>
      <c r="F14" s="75">
        <f t="shared" si="0"/>
        <v>5439.8614282772387</v>
      </c>
      <c r="G14" s="76"/>
      <c r="H14" s="77"/>
      <c r="I14" s="78"/>
      <c r="J14" s="78"/>
    </row>
    <row r="15" spans="2:10" ht="16.5" thickBot="1" x14ac:dyDescent="0.3">
      <c r="B15" s="71">
        <v>11</v>
      </c>
      <c r="C15" s="72" t="s">
        <v>145</v>
      </c>
      <c r="D15" s="89">
        <f>'LAGES - Aux. Esc.'!D130</f>
        <v>4687.5194713997817</v>
      </c>
      <c r="E15" s="74">
        <v>5</v>
      </c>
      <c r="F15" s="75">
        <f t="shared" si="0"/>
        <v>23437.597356998907</v>
      </c>
      <c r="G15" s="76"/>
      <c r="H15" s="77"/>
      <c r="I15" s="78"/>
      <c r="J15" s="78"/>
    </row>
    <row r="16" spans="2:10" ht="16.5" thickBot="1" x14ac:dyDescent="0.3">
      <c r="B16" s="71">
        <v>12</v>
      </c>
      <c r="C16" s="72" t="s">
        <v>146</v>
      </c>
      <c r="D16" s="89">
        <f>'LAGES - Líder'!D130</f>
        <v>5434.2457189045663</v>
      </c>
      <c r="E16" s="74">
        <v>1</v>
      </c>
      <c r="F16" s="75">
        <f t="shared" si="0"/>
        <v>5434.2457189045663</v>
      </c>
      <c r="G16" s="76"/>
      <c r="H16" s="77"/>
      <c r="I16" s="78"/>
      <c r="J16" s="78"/>
    </row>
    <row r="17" spans="2:10" ht="16.5" thickBot="1" x14ac:dyDescent="0.3">
      <c r="B17" s="71">
        <v>13</v>
      </c>
      <c r="C17" s="72" t="s">
        <v>147</v>
      </c>
      <c r="D17" s="89">
        <f>'CHAPECÓ - Aux. Esc.'!D130</f>
        <v>4477.8940401404816</v>
      </c>
      <c r="E17" s="74">
        <v>7</v>
      </c>
      <c r="F17" s="75">
        <f t="shared" si="0"/>
        <v>31345.258280983369</v>
      </c>
      <c r="G17" s="76"/>
      <c r="H17" s="77"/>
      <c r="I17" s="78"/>
      <c r="J17" s="78"/>
    </row>
    <row r="18" spans="2:10" ht="16.5" thickBot="1" x14ac:dyDescent="0.3">
      <c r="B18" s="71">
        <v>14</v>
      </c>
      <c r="C18" s="72" t="s">
        <v>148</v>
      </c>
      <c r="D18" s="89">
        <f>'CHAPECÓ - Líder'!D130</f>
        <v>5197.2758902119367</v>
      </c>
      <c r="E18" s="74">
        <v>1</v>
      </c>
      <c r="F18" s="75">
        <f t="shared" si="0"/>
        <v>5197.2758902119367</v>
      </c>
      <c r="G18" s="76"/>
      <c r="H18" s="77"/>
      <c r="I18" s="78"/>
      <c r="J18" s="78"/>
    </row>
    <row r="19" spans="2:10" ht="16.5" thickBot="1" x14ac:dyDescent="0.3">
      <c r="B19" s="71">
        <v>15</v>
      </c>
      <c r="C19" s="72" t="s">
        <v>149</v>
      </c>
      <c r="D19" s="89">
        <f>'Dionísio Cerq. - Aux. Esc.'!D130</f>
        <v>4591.2721212973383</v>
      </c>
      <c r="E19" s="74">
        <v>5</v>
      </c>
      <c r="F19" s="75">
        <f t="shared" si="0"/>
        <v>22956.360606486691</v>
      </c>
      <c r="G19" s="76"/>
      <c r="H19" s="77"/>
      <c r="I19" s="78"/>
      <c r="J19" s="78"/>
    </row>
    <row r="20" spans="2:10" ht="16.5" thickBot="1" x14ac:dyDescent="0.3">
      <c r="B20" s="71">
        <v>16</v>
      </c>
      <c r="C20" s="72" t="s">
        <v>150</v>
      </c>
      <c r="D20" s="89">
        <f>'Dionísio Cerq. - Líder'!D130</f>
        <v>5338.0743806535975</v>
      </c>
      <c r="E20" s="71">
        <v>1</v>
      </c>
      <c r="F20" s="75">
        <f t="shared" si="0"/>
        <v>5338.0743806535975</v>
      </c>
      <c r="G20" s="76"/>
      <c r="H20" s="77"/>
      <c r="I20" s="78"/>
      <c r="J20" s="78"/>
    </row>
    <row r="21" spans="2:10" ht="16.5" customHeight="1" thickBot="1" x14ac:dyDescent="0.3">
      <c r="B21" s="177" t="s">
        <v>130</v>
      </c>
      <c r="C21" s="178"/>
      <c r="D21" s="179"/>
      <c r="E21" s="81">
        <f>SUM(E5:E20)</f>
        <v>53</v>
      </c>
      <c r="F21" s="82">
        <f>ROUND((+SUM(F5:F20)),2)</f>
        <v>272589.68</v>
      </c>
      <c r="G21" s="76"/>
    </row>
    <row r="22" spans="2:10" ht="16.5" customHeight="1" thickBot="1" x14ac:dyDescent="0.3">
      <c r="B22" s="177" t="s">
        <v>131</v>
      </c>
      <c r="C22" s="178"/>
      <c r="D22" s="178"/>
      <c r="E22" s="179"/>
      <c r="F22" s="82">
        <f>F21*24</f>
        <v>6542152.3200000003</v>
      </c>
    </row>
    <row r="23" spans="2:10" s="68" customFormat="1" ht="15.75" x14ac:dyDescent="0.25">
      <c r="C23" s="83"/>
    </row>
    <row r="24" spans="2:10" s="68" customFormat="1" x14ac:dyDescent="0.25">
      <c r="F24" s="80"/>
    </row>
    <row r="25" spans="2:10" hidden="1" x14ac:dyDescent="0.25"/>
    <row r="26" spans="2:10" hidden="1" x14ac:dyDescent="0.25"/>
    <row r="27" spans="2:10" hidden="1" x14ac:dyDescent="0.25"/>
    <row r="28" spans="2:10" ht="15.75" hidden="1" x14ac:dyDescent="0.25">
      <c r="D28" s="85"/>
    </row>
    <row r="29" spans="2:10" hidden="1" x14ac:dyDescent="0.25"/>
    <row r="30" spans="2:10" hidden="1" x14ac:dyDescent="0.25"/>
    <row r="31" spans="2:10" hidden="1" x14ac:dyDescent="0.25"/>
    <row r="32" spans="2:10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spans="2:2" hidden="1" x14ac:dyDescent="0.25"/>
    <row r="66" spans="2:2" hidden="1" x14ac:dyDescent="0.25"/>
    <row r="67" spans="2:2" hidden="1" x14ac:dyDescent="0.25"/>
    <row r="68" spans="2:2" hidden="1" x14ac:dyDescent="0.25"/>
    <row r="69" spans="2:2" hidden="1" x14ac:dyDescent="0.25"/>
    <row r="70" spans="2:2" hidden="1" x14ac:dyDescent="0.25"/>
    <row r="71" spans="2:2" hidden="1" x14ac:dyDescent="0.25"/>
    <row r="72" spans="2:2" hidden="1" x14ac:dyDescent="0.25"/>
    <row r="73" spans="2:2" hidden="1" x14ac:dyDescent="0.25">
      <c r="B73" t="s">
        <v>132</v>
      </c>
    </row>
    <row r="74" spans="2:2" hidden="1" x14ac:dyDescent="0.25"/>
    <row r="75" spans="2:2" hidden="1" x14ac:dyDescent="0.25"/>
    <row r="76" spans="2:2" ht="15" hidden="1" customHeight="1" x14ac:dyDescent="0.25"/>
    <row r="77" spans="2:2" ht="15" hidden="1" customHeight="1" x14ac:dyDescent="0.25"/>
    <row r="78" spans="2:2" ht="15" hidden="1" customHeight="1" x14ac:dyDescent="0.25"/>
    <row r="79" spans="2:2" ht="15" hidden="1" customHeight="1" x14ac:dyDescent="0.25"/>
    <row r="80" spans="2:2" ht="15" hidden="1" customHeight="1" x14ac:dyDescent="0.25"/>
    <row r="81" spans="2:6" ht="15" hidden="1" customHeight="1" x14ac:dyDescent="0.25"/>
    <row r="82" spans="2:6" ht="15" hidden="1" customHeight="1" x14ac:dyDescent="0.25"/>
    <row r="83" spans="2:6" ht="15" hidden="1" customHeight="1" x14ac:dyDescent="0.25"/>
    <row r="84" spans="2:6" ht="15" hidden="1" customHeight="1" x14ac:dyDescent="0.25"/>
    <row r="85" spans="2:6" ht="15" hidden="1" customHeight="1" x14ac:dyDescent="0.25"/>
    <row r="86" spans="2:6" ht="15.75" hidden="1" x14ac:dyDescent="0.25">
      <c r="B86" s="68"/>
      <c r="C86" s="83"/>
      <c r="D86" s="68"/>
      <c r="E86" s="68"/>
      <c r="F86" s="134"/>
    </row>
    <row r="87" spans="2:6" hidden="1" x14ac:dyDescent="0.25">
      <c r="B87" s="68"/>
      <c r="C87" s="68"/>
      <c r="D87" s="68"/>
      <c r="E87" s="68"/>
      <c r="F87" s="68"/>
    </row>
  </sheetData>
  <sheetProtection sheet="1" objects="1" scenarios="1"/>
  <mergeCells count="4">
    <mergeCell ref="B2:F2"/>
    <mergeCell ref="B3:F3"/>
    <mergeCell ref="B21:D21"/>
    <mergeCell ref="B22:E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1"/>
  <dimension ref="A1:WVO147"/>
  <sheetViews>
    <sheetView topLeftCell="A38" zoomScale="80" zoomScaleNormal="80" workbookViewId="0">
      <selection activeCell="G113" sqref="G113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195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92" t="s">
        <v>198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 t="str">
        <f>C11</f>
        <v/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0.2</v>
      </c>
      <c r="D29" s="12">
        <f>C29*D27</f>
        <v>340.52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2043.12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170.26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56.75333333333333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227.01333333333332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454.02666666666664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56.75333333333333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68.103999999999999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34.052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22.701333333333334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13.620799999999999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4.5402666666666667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181.61066666666667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835.40906666666672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136">
        <v>4.75</v>
      </c>
      <c r="D54" s="31">
        <f>(21*2*C54)-(D27*6%)*(56/60)</f>
        <v>104.15440000000001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20.4312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102.15600000000001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558.09339999999997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227.01333333333332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835.40906666666672</v>
      </c>
    </row>
    <row r="66" spans="1:5" x14ac:dyDescent="0.3">
      <c r="A66" s="61" t="s">
        <v>82</v>
      </c>
      <c r="B66" s="25" t="s">
        <v>74</v>
      </c>
      <c r="C66" s="35">
        <f>D61/D33</f>
        <v>0.27315742589764674</v>
      </c>
      <c r="D66" s="10">
        <f>D61</f>
        <v>558.09339999999997</v>
      </c>
    </row>
    <row r="67" spans="1:5" x14ac:dyDescent="0.3">
      <c r="A67" s="253" t="s">
        <v>15</v>
      </c>
      <c r="B67" s="255"/>
      <c r="C67" s="254"/>
      <c r="D67" s="22">
        <f>SUM(D64:D66)</f>
        <v>1620.5157999999999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3009.8373999999994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138421.38</v>
      </c>
      <c r="E73" s="36"/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11073.7104</v>
      </c>
      <c r="E74" s="36"/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4429.48416</v>
      </c>
      <c r="E75" s="36"/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743.93215599999996</v>
      </c>
      <c r="E76" s="36"/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136208</v>
      </c>
      <c r="E77" s="36"/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10896.64</v>
      </c>
      <c r="E78" s="36"/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4358.6559999999999</v>
      </c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724.62655999999993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4574.9543039999999</v>
      </c>
      <c r="E81" s="36"/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63.472045089333328</v>
      </c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  <c r="G84" s="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248.47384878568366</v>
      </c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61.869990228482934</v>
      </c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10.0631911817412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10.435901966250134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0.74542156901786671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1.1181323535268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332.70648608470259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INSUMOS!G26</f>
        <v>2.8386666666666662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37.741612159329136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4097.5559433333647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8.4640512716645258E-2</v>
      </c>
      <c r="D110" s="43">
        <f>C110*D105</f>
        <v>346.81923592887301</v>
      </c>
    </row>
    <row r="111" spans="1:4" x14ac:dyDescent="0.3">
      <c r="A111" s="274" t="s">
        <v>4</v>
      </c>
      <c r="B111" s="275"/>
      <c r="C111" s="276"/>
      <c r="D111" s="43">
        <f>D105+D110</f>
        <v>4444.3751792622379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301.32863715397974</v>
      </c>
    </row>
    <row r="113" spans="1:4" x14ac:dyDescent="0.3">
      <c r="A113" s="274" t="s">
        <v>4</v>
      </c>
      <c r="B113" s="275"/>
      <c r="C113" s="275"/>
      <c r="D113" s="43">
        <f>D112+D111</f>
        <v>4745.7038164162177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91.316749820253762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420.61048402056275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276.71742369773864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788.64465753855507</v>
      </c>
    </row>
    <row r="119" spans="1:4" x14ac:dyDescent="0.3">
      <c r="A119" s="253" t="s">
        <v>106</v>
      </c>
      <c r="B119" s="254"/>
      <c r="C119" s="47">
        <f>SUM(C110+C112+C118)</f>
        <v>0.29494051271664529</v>
      </c>
      <c r="D119" s="15">
        <f>SUM(D118+D110+D112)</f>
        <v>1436.7925306214079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2043.12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1620.5157999999999</v>
      </c>
    </row>
    <row r="125" spans="1:4" x14ac:dyDescent="0.3">
      <c r="A125" s="64" t="s">
        <v>26</v>
      </c>
      <c r="B125" s="227" t="s">
        <v>111</v>
      </c>
      <c r="C125" s="228"/>
      <c r="D125" s="10">
        <f>D84</f>
        <v>0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332.70648608470259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37.741612159329136</v>
      </c>
    </row>
    <row r="128" spans="1:4" x14ac:dyDescent="0.3">
      <c r="A128" s="282" t="s">
        <v>114</v>
      </c>
      <c r="B128" s="283"/>
      <c r="C128" s="284"/>
      <c r="D128" s="10">
        <f>SUM(D123:D127)</f>
        <v>4034.0838982440318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1436.7925306214079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5470.8764288654402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5470.8764288654402</v>
      </c>
    </row>
    <row r="134" spans="1:4" x14ac:dyDescent="0.3">
      <c r="A134" s="279" t="s">
        <v>1</v>
      </c>
      <c r="B134" s="280"/>
      <c r="C134" s="281"/>
      <c r="D134" s="55">
        <v>1</v>
      </c>
    </row>
    <row r="135" spans="1:4" x14ac:dyDescent="0.3">
      <c r="A135" s="279" t="s">
        <v>0</v>
      </c>
      <c r="B135" s="280"/>
      <c r="C135" s="281"/>
      <c r="D135" s="56">
        <f>D134*D133</f>
        <v>5470.8764288654402</v>
      </c>
    </row>
    <row r="136" spans="1:4" x14ac:dyDescent="0.3">
      <c r="A136" s="279" t="s">
        <v>134</v>
      </c>
      <c r="B136" s="280"/>
      <c r="C136" s="281"/>
      <c r="D136" s="49">
        <f>D135*24</f>
        <v>131301.03429277055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hidden="1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2"/>
  <dimension ref="A1:WVO148"/>
  <sheetViews>
    <sheetView topLeftCell="A35" zoomScale="80" zoomScaleNormal="80" workbookViewId="0">
      <selection activeCell="F95" sqref="F95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197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Proposta!E13</f>
        <v>4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4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</v>
      </c>
      <c r="D29" s="12">
        <f>C29*724</f>
        <v>0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1702.6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141.88333333333333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47.294444444444437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189.17777777777775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378.35555555555555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47.294444444444444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56.753333333333323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28.376666666666662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18.917777777777776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11.350666666666665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3.7835555555555551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151.3422222222222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696.17422222222228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30">
        <v>3.9</v>
      </c>
      <c r="D54" s="31">
        <f>(21*2*C54)-(D27*6%)*(56/60)</f>
        <v>68.454399999999993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17.026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85.13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501.96219999999994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189.17777777777775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696.17422222222228</v>
      </c>
    </row>
    <row r="66" spans="1:5" x14ac:dyDescent="0.3">
      <c r="A66" s="61" t="s">
        <v>82</v>
      </c>
      <c r="B66" s="25" t="s">
        <v>74</v>
      </c>
      <c r="C66" s="35">
        <f>D61/D33</f>
        <v>0.29482097967813931</v>
      </c>
      <c r="D66" s="10">
        <f>D61</f>
        <v>501.96219999999994</v>
      </c>
    </row>
    <row r="67" spans="1:5" x14ac:dyDescent="0.3">
      <c r="A67" s="253" t="s">
        <v>15</v>
      </c>
      <c r="B67" s="255"/>
      <c r="C67" s="254"/>
      <c r="D67" s="22">
        <f>SUM(D64:D66)</f>
        <v>1387.3142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2545.0821999999994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115351.15</v>
      </c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9228.0920000000006</v>
      </c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3691.2368000000006</v>
      </c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623.63189999999997</v>
      </c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113506.66666666666</v>
      </c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9080.5333333333328</v>
      </c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3632.2133333333331</v>
      </c>
      <c r="E79" s="36"/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603.85546666666664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3812.4619200000002</v>
      </c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52.937386252000003</v>
      </c>
      <c r="G82" s="52"/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209.52343271395412</v>
      </c>
      <c r="G87" s="57"/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52.171336331783202</v>
      </c>
      <c r="G88" s="57"/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8.4856992828804021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8.7999844415056003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0.62857031725040013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0.94285547587560004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280.55187856324932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INSUMOS!G27</f>
        <v>2.8386666666666662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37.741612159329136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3461.1450769745788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8.8900000000000007E-2</v>
      </c>
      <c r="D110" s="43">
        <f>C110*D105</f>
        <v>307.69579734304006</v>
      </c>
    </row>
    <row r="111" spans="1:4" x14ac:dyDescent="0.3">
      <c r="A111" s="274" t="s">
        <v>4</v>
      </c>
      <c r="B111" s="275"/>
      <c r="C111" s="276"/>
      <c r="D111" s="43">
        <f>D105+D110</f>
        <v>3768.8408743176187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255.52741127873455</v>
      </c>
    </row>
    <row r="113" spans="1:4" x14ac:dyDescent="0.3">
      <c r="A113" s="274" t="s">
        <v>4</v>
      </c>
      <c r="B113" s="275"/>
      <c r="C113" s="275"/>
      <c r="D113" s="43">
        <f>D112+D111</f>
        <v>4024.3682855963534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77.436824154332172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356.67870519571181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234.65704289191569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668.77257224195967</v>
      </c>
    </row>
    <row r="119" spans="1:4" x14ac:dyDescent="0.3">
      <c r="A119" s="253" t="s">
        <v>106</v>
      </c>
      <c r="B119" s="254"/>
      <c r="C119" s="47">
        <f>SUM(C110+C112+C118)</f>
        <v>0.29920000000000002</v>
      </c>
      <c r="D119" s="15">
        <f>SUM(D118+D110+D112)</f>
        <v>1231.9957808637341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1702.6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1387.3142</v>
      </c>
    </row>
    <row r="125" spans="1:4" x14ac:dyDescent="0.3">
      <c r="A125" s="64" t="s">
        <v>26</v>
      </c>
      <c r="B125" s="227" t="s">
        <v>111</v>
      </c>
      <c r="C125" s="228"/>
      <c r="D125" s="10">
        <f>D82</f>
        <v>52.937386252000003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280.55187856324932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37.741612159329136</v>
      </c>
    </row>
    <row r="128" spans="1:4" x14ac:dyDescent="0.3">
      <c r="A128" s="282" t="s">
        <v>114</v>
      </c>
      <c r="B128" s="283"/>
      <c r="C128" s="284"/>
      <c r="D128" s="10">
        <f>SUM(D123:D127)</f>
        <v>3461.1450769745788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1231.9957808637341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4693.1408578383125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4693.1408578383125</v>
      </c>
    </row>
    <row r="134" spans="1:4" x14ac:dyDescent="0.3">
      <c r="A134" s="279" t="s">
        <v>17</v>
      </c>
      <c r="B134" s="280"/>
      <c r="C134" s="281"/>
      <c r="D134" s="55">
        <f>C11</f>
        <v>4</v>
      </c>
    </row>
    <row r="135" spans="1:4" x14ac:dyDescent="0.3">
      <c r="A135" s="279" t="s">
        <v>0</v>
      </c>
      <c r="B135" s="280"/>
      <c r="C135" s="281"/>
      <c r="D135" s="56">
        <f>D134*D133</f>
        <v>18772.56343135325</v>
      </c>
    </row>
    <row r="136" spans="1:4" x14ac:dyDescent="0.3">
      <c r="A136" s="279" t="s">
        <v>134</v>
      </c>
      <c r="B136" s="280"/>
      <c r="C136" s="281"/>
      <c r="D136" s="49">
        <f>D135*24</f>
        <v>450541.522352478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  <row r="148" spans="1:4" hidden="1" x14ac:dyDescent="0.3"/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3"/>
  <dimension ref="A1:WVO147"/>
  <sheetViews>
    <sheetView topLeftCell="A38" zoomScale="80" zoomScaleNormal="80" workbookViewId="0">
      <selection activeCell="C54" sqref="C54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197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Proposta!E14</f>
        <v>1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1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0.2</v>
      </c>
      <c r="D29" s="12">
        <f>C29*D27</f>
        <v>340.52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2043.12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170.26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56.75333333333333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227.01333333333332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454.02666666666664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56.75333333333333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68.103999999999999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34.052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22.701333333333334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13.620799999999999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4.5402666666666667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181.61066666666667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835.40906666666672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136">
        <v>3.9</v>
      </c>
      <c r="D54" s="31">
        <f>(21*2*C54)-(D27*6%)*(56/60)</f>
        <v>68.454399999999993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20.4312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102.15600000000001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522.39339999999993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227.01333333333332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835.40906666666672</v>
      </c>
    </row>
    <row r="66" spans="1:5" x14ac:dyDescent="0.3">
      <c r="A66" s="61" t="s">
        <v>82</v>
      </c>
      <c r="B66" s="25" t="s">
        <v>74</v>
      </c>
      <c r="C66" s="35">
        <f>D61/D33</f>
        <v>0.25568414973178272</v>
      </c>
      <c r="D66" s="10">
        <f>D61</f>
        <v>522.39339999999993</v>
      </c>
    </row>
    <row r="67" spans="1:5" x14ac:dyDescent="0.3">
      <c r="A67" s="253" t="s">
        <v>15</v>
      </c>
      <c r="B67" s="255"/>
      <c r="C67" s="254"/>
      <c r="D67" s="22">
        <f>SUM(D64:D66)</f>
        <v>1584.8157999999999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2974.1373999999996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138421.38</v>
      </c>
      <c r="E73" s="36"/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11073.7104</v>
      </c>
      <c r="E74" s="36"/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4429.48416</v>
      </c>
      <c r="E75" s="36"/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740.36215600000003</v>
      </c>
      <c r="E76" s="36"/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136208</v>
      </c>
      <c r="E77" s="36"/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10896.64</v>
      </c>
      <c r="E78" s="36"/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4358.6559999999999</v>
      </c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724.62655999999993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4574.9543039999999</v>
      </c>
      <c r="E81" s="36"/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63.429443089333326</v>
      </c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  <c r="G84" s="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246.09100872478862</v>
      </c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61.27666303528293</v>
      </c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9.9666861563412006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10.335822680650132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0.73827304861786669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1.1074095729267999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329.51586321860765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INSUMOS!G27</f>
        <v>2.8386666666666662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114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37.741612159329136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4058.6227184672698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8.8900000000000007E-2</v>
      </c>
      <c r="D110" s="43">
        <f>C110*D105</f>
        <v>360.81155967174033</v>
      </c>
    </row>
    <row r="111" spans="1:4" x14ac:dyDescent="0.3">
      <c r="A111" s="274" t="s">
        <v>4</v>
      </c>
      <c r="B111" s="275"/>
      <c r="C111" s="276"/>
      <c r="D111" s="43">
        <f>D105+D110</f>
        <v>4419.4342781390105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299.6376440578249</v>
      </c>
    </row>
    <row r="113" spans="1:4" x14ac:dyDescent="0.3">
      <c r="A113" s="274" t="s">
        <v>4</v>
      </c>
      <c r="B113" s="275"/>
      <c r="C113" s="275"/>
      <c r="D113" s="43">
        <f>D112+D111</f>
        <v>4719.0719221968357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90.80429937754846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418.25010622385952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275.16454356832867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784.21894916973667</v>
      </c>
    </row>
    <row r="119" spans="1:4" x14ac:dyDescent="0.3">
      <c r="A119" s="253" t="s">
        <v>106</v>
      </c>
      <c r="B119" s="254"/>
      <c r="C119" s="47">
        <f>SUM(C110+C112+C118)</f>
        <v>0.29920000000000002</v>
      </c>
      <c r="D119" s="15">
        <f>SUM(D118+D110+D112)</f>
        <v>1444.668152899302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2043.12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1584.8157999999999</v>
      </c>
    </row>
    <row r="125" spans="1:4" x14ac:dyDescent="0.3">
      <c r="A125" s="64" t="s">
        <v>26</v>
      </c>
      <c r="B125" s="227" t="s">
        <v>111</v>
      </c>
      <c r="C125" s="228"/>
      <c r="D125" s="10">
        <f>D84</f>
        <v>0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329.51586321860765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37.741612159329136</v>
      </c>
    </row>
    <row r="128" spans="1:4" x14ac:dyDescent="0.3">
      <c r="A128" s="282" t="s">
        <v>114</v>
      </c>
      <c r="B128" s="283"/>
      <c r="C128" s="284"/>
      <c r="D128" s="10">
        <f>SUM(D123:D127)</f>
        <v>3995.1932753779365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1444.668152899302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5439.8614282772387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5439.8614282772387</v>
      </c>
    </row>
    <row r="134" spans="1:4" x14ac:dyDescent="0.3">
      <c r="A134" s="279" t="s">
        <v>1</v>
      </c>
      <c r="B134" s="280"/>
      <c r="C134" s="281"/>
      <c r="D134" s="55">
        <f>C11</f>
        <v>1</v>
      </c>
    </row>
    <row r="135" spans="1:4" x14ac:dyDescent="0.3">
      <c r="A135" s="279" t="s">
        <v>0</v>
      </c>
      <c r="B135" s="280"/>
      <c r="C135" s="281"/>
      <c r="D135" s="56">
        <f>D134*D133</f>
        <v>5439.8614282772387</v>
      </c>
    </row>
    <row r="136" spans="1:4" x14ac:dyDescent="0.3">
      <c r="A136" s="279" t="s">
        <v>134</v>
      </c>
      <c r="B136" s="280"/>
      <c r="C136" s="281"/>
      <c r="D136" s="49">
        <f>D135*24</f>
        <v>130556.67427865372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hidden="1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4"/>
  <dimension ref="A1:WVO148"/>
  <sheetViews>
    <sheetView topLeftCell="A35" zoomScale="80" zoomScaleNormal="80" workbookViewId="0">
      <selection activeCell="F134" sqref="F134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199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Proposta!E15</f>
        <v>5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5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</v>
      </c>
      <c r="D29" s="12">
        <f>C29*724</f>
        <v>0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1702.6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141.88333333333333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47.294444444444437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189.17777777777775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378.35555555555555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47.294444444444444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56.753333333333323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28.376666666666662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18.917777777777776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11.350666666666665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3.7835555555555551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151.3422222222222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696.17422222222228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30">
        <v>4.0599999999999996</v>
      </c>
      <c r="D54" s="31">
        <f>(21*2*C54)-(D27*6%)*(56/60)</f>
        <v>75.174399999999991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17.026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85.13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508.68219999999997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189.17777777777775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696.17422222222228</v>
      </c>
    </row>
    <row r="66" spans="1:5" x14ac:dyDescent="0.3">
      <c r="A66" s="61" t="s">
        <v>82</v>
      </c>
      <c r="B66" s="25" t="s">
        <v>74</v>
      </c>
      <c r="C66" s="35">
        <f>D61/D33</f>
        <v>0.29876788441207563</v>
      </c>
      <c r="D66" s="10">
        <f>D61</f>
        <v>508.68219999999997</v>
      </c>
    </row>
    <row r="67" spans="1:5" x14ac:dyDescent="0.3">
      <c r="A67" s="253" t="s">
        <v>15</v>
      </c>
      <c r="B67" s="255"/>
      <c r="C67" s="254"/>
      <c r="D67" s="22">
        <f>SUM(D64:D66)</f>
        <v>1394.0342000000001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2551.8021999999996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115351.15</v>
      </c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9228.0920000000006</v>
      </c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3691.2368000000006</v>
      </c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624.30390000000011</v>
      </c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113506.66666666666</v>
      </c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9080.5333333333328</v>
      </c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3632.2133333333331</v>
      </c>
      <c r="E79" s="36"/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603.85546666666664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3812.4619200000002</v>
      </c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52.945405452000003</v>
      </c>
      <c r="G82" s="52"/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209.97196731365199</v>
      </c>
      <c r="G87" s="57"/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52.283021450503206</v>
      </c>
      <c r="G88" s="57"/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8.5038649347204007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8.8188228952655994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0.62991592109040007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0.94487388163559993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281.15246639686723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INSUMOS!G28</f>
        <v>2.3655555555555554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37.268501048218027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3468.0005728970855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8.5445784657014121E-2</v>
      </c>
      <c r="D110" s="43">
        <f>C110*D105</f>
        <v>296.32603014216596</v>
      </c>
    </row>
    <row r="111" spans="1:4" x14ac:dyDescent="0.3">
      <c r="A111" s="274" t="s">
        <v>4</v>
      </c>
      <c r="B111" s="275"/>
      <c r="C111" s="276"/>
      <c r="D111" s="43">
        <f>D105+D110</f>
        <v>3764.3266030392515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255.22134368606126</v>
      </c>
    </row>
    <row r="113" spans="1:4" x14ac:dyDescent="0.3">
      <c r="A113" s="274" t="s">
        <v>4</v>
      </c>
      <c r="B113" s="275"/>
      <c r="C113" s="275"/>
      <c r="D113" s="43">
        <f>D112+D111</f>
        <v>4019.5479467253126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77.344071278096408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356.25147982638339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234.3759735699891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667.97152467446892</v>
      </c>
    </row>
    <row r="119" spans="1:4" x14ac:dyDescent="0.3">
      <c r="A119" s="253" t="s">
        <v>106</v>
      </c>
      <c r="B119" s="254"/>
      <c r="C119" s="47">
        <f>SUM(C110+C112+C118)</f>
        <v>0.29574578465701412</v>
      </c>
      <c r="D119" s="15">
        <f>SUM(D118+D110+D112)</f>
        <v>1219.5188985026962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1702.6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1394.0342000000001</v>
      </c>
    </row>
    <row r="125" spans="1:4" x14ac:dyDescent="0.3">
      <c r="A125" s="64" t="s">
        <v>26</v>
      </c>
      <c r="B125" s="227" t="s">
        <v>111</v>
      </c>
      <c r="C125" s="228"/>
      <c r="D125" s="10">
        <f>D82</f>
        <v>52.945405452000003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281.15246639686723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37.268501048218027</v>
      </c>
    </row>
    <row r="128" spans="1:4" x14ac:dyDescent="0.3">
      <c r="A128" s="282" t="s">
        <v>114</v>
      </c>
      <c r="B128" s="283"/>
      <c r="C128" s="284"/>
      <c r="D128" s="10">
        <f>SUM(D123:D127)</f>
        <v>3468.0005728970855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1219.5188985026962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4687.5194713997817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4687.5194713997817</v>
      </c>
    </row>
    <row r="134" spans="1:4" x14ac:dyDescent="0.3">
      <c r="A134" s="279" t="s">
        <v>17</v>
      </c>
      <c r="B134" s="280"/>
      <c r="C134" s="281"/>
      <c r="D134" s="55">
        <f>C11</f>
        <v>5</v>
      </c>
    </row>
    <row r="135" spans="1:4" x14ac:dyDescent="0.3">
      <c r="A135" s="279" t="s">
        <v>0</v>
      </c>
      <c r="B135" s="280"/>
      <c r="C135" s="281"/>
      <c r="D135" s="56">
        <f>D134*D133</f>
        <v>23437.597356998907</v>
      </c>
    </row>
    <row r="136" spans="1:4" x14ac:dyDescent="0.3">
      <c r="A136" s="279" t="s">
        <v>134</v>
      </c>
      <c r="B136" s="280"/>
      <c r="C136" s="281"/>
      <c r="D136" s="49">
        <f>D135*24</f>
        <v>562502.33656797372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  <row r="148" spans="1:4" hidden="1" x14ac:dyDescent="0.3"/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5"/>
  <dimension ref="A1:WVO147"/>
  <sheetViews>
    <sheetView topLeftCell="A41" zoomScale="80" zoomScaleNormal="80" workbookViewId="0">
      <selection activeCell="C118" sqref="C118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199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Proposta!E16</f>
        <v>1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1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0.2</v>
      </c>
      <c r="D29" s="12">
        <f>C29*D27</f>
        <v>340.52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2043.12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170.26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56.75333333333333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227.01333333333332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454.02666666666664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56.75333333333333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68.103999999999999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34.052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22.701333333333334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13.620799999999999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4.5402666666666667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181.61066666666667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835.40906666666672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136">
        <v>4.0599999999999996</v>
      </c>
      <c r="D54" s="31">
        <f>(21*2*C54)-(D27*6%)*(56/60)</f>
        <v>75.174399999999991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20.4312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102.15600000000001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529.11339999999996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227.01333333333332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835.40906666666672</v>
      </c>
    </row>
    <row r="66" spans="1:5" x14ac:dyDescent="0.3">
      <c r="A66" s="61" t="s">
        <v>82</v>
      </c>
      <c r="B66" s="25" t="s">
        <v>74</v>
      </c>
      <c r="C66" s="35">
        <f>D61/D33</f>
        <v>0.25897323701006303</v>
      </c>
      <c r="D66" s="10">
        <f>D61</f>
        <v>529.11339999999996</v>
      </c>
    </row>
    <row r="67" spans="1:5" x14ac:dyDescent="0.3">
      <c r="A67" s="253" t="s">
        <v>15</v>
      </c>
      <c r="B67" s="255"/>
      <c r="C67" s="254"/>
      <c r="D67" s="22">
        <f>SUM(D64:D66)</f>
        <v>1591.5357999999999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2980.8573999999999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138421.38</v>
      </c>
      <c r="E73" s="36"/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11073.7104</v>
      </c>
      <c r="E74" s="36"/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4429.48416</v>
      </c>
      <c r="E75" s="36"/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741.03415600000005</v>
      </c>
      <c r="E76" s="36"/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136208</v>
      </c>
      <c r="E77" s="36"/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10896.64</v>
      </c>
      <c r="E78" s="36"/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4358.6559999999999</v>
      </c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724.62655999999993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4574.9543039999999</v>
      </c>
      <c r="E81" s="36"/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63.437462289333325</v>
      </c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  <c r="G84" s="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246.53954332448652</v>
      </c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61.388348154002927</v>
      </c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9.9848518081811992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10.354661134410131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0.73961865245786662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1.1094279786867998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330.11645105222544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INSUMOS!G28</f>
        <v>2.3655555555555554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37.268501048218027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4065.4782143897764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8.5956134277499902E-2</v>
      </c>
      <c r="D110" s="43">
        <f>C110*D105</f>
        <v>349.45279129833818</v>
      </c>
    </row>
    <row r="111" spans="1:4" x14ac:dyDescent="0.3">
      <c r="A111" s="274" t="s">
        <v>4</v>
      </c>
      <c r="B111" s="275"/>
      <c r="C111" s="276"/>
      <c r="D111" s="43">
        <f>D105+D110</f>
        <v>4414.931005688115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299.33232218565416</v>
      </c>
    </row>
    <row r="113" spans="1:4" x14ac:dyDescent="0.3">
      <c r="A113" s="274" t="s">
        <v>4</v>
      </c>
      <c r="B113" s="275"/>
      <c r="C113" s="275"/>
      <c r="D113" s="43">
        <f>D112+D111</f>
        <v>4714.2633278737694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90.711772489699371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417.82392177073649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274.88415905969504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783.41985332013087</v>
      </c>
    </row>
    <row r="119" spans="1:4" x14ac:dyDescent="0.3">
      <c r="A119" s="253" t="s">
        <v>106</v>
      </c>
      <c r="B119" s="254"/>
      <c r="C119" s="47">
        <f>SUM(C110+C112+C118)</f>
        <v>0.29625613427749992</v>
      </c>
      <c r="D119" s="15">
        <f>SUM(D118+D110+D112)</f>
        <v>1432.2049668041234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2043.12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1591.5357999999999</v>
      </c>
    </row>
    <row r="125" spans="1:4" x14ac:dyDescent="0.3">
      <c r="A125" s="64" t="s">
        <v>26</v>
      </c>
      <c r="B125" s="227" t="s">
        <v>111</v>
      </c>
      <c r="C125" s="228"/>
      <c r="D125" s="10">
        <f>D84</f>
        <v>0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330.11645105222544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37.268501048218027</v>
      </c>
    </row>
    <row r="128" spans="1:4" x14ac:dyDescent="0.3">
      <c r="A128" s="282" t="s">
        <v>114</v>
      </c>
      <c r="B128" s="283"/>
      <c r="C128" s="284"/>
      <c r="D128" s="10">
        <f>SUM(D123:D127)</f>
        <v>4002.0407521004431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1432.2049668041234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5434.2457189045663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5434.2457189045663</v>
      </c>
    </row>
    <row r="134" spans="1:4" x14ac:dyDescent="0.3">
      <c r="A134" s="279" t="s">
        <v>1</v>
      </c>
      <c r="B134" s="280"/>
      <c r="C134" s="281"/>
      <c r="D134" s="55">
        <f>C11</f>
        <v>1</v>
      </c>
    </row>
    <row r="135" spans="1:4" x14ac:dyDescent="0.3">
      <c r="A135" s="279" t="s">
        <v>0</v>
      </c>
      <c r="B135" s="280"/>
      <c r="C135" s="281"/>
      <c r="D135" s="56">
        <f>D134*D133</f>
        <v>5434.2457189045663</v>
      </c>
    </row>
    <row r="136" spans="1:4" x14ac:dyDescent="0.3">
      <c r="A136" s="279" t="s">
        <v>134</v>
      </c>
      <c r="B136" s="280"/>
      <c r="C136" s="281"/>
      <c r="D136" s="49">
        <f>D135*24</f>
        <v>130421.89725370958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hidden="1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6"/>
  <dimension ref="A1:WVO148"/>
  <sheetViews>
    <sheetView topLeftCell="A23" zoomScale="80" zoomScaleNormal="80" workbookViewId="0">
      <selection activeCell="G122" sqref="G122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200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Proposta!E17</f>
        <v>7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7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</v>
      </c>
      <c r="D29" s="12">
        <f>C29*724</f>
        <v>0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1702.6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141.88333333333333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47.294444444444437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189.17777777777775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378.35555555555555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47.294444444444444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56.753333333333323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28.376666666666662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18.917777777777776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11.350666666666665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3.7835555555555551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151.3422222222222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696.17422222222228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30">
        <v>3.05</v>
      </c>
      <c r="D54" s="31">
        <f>(21*2*C54)-(D27*6%)*(56/60)</f>
        <v>32.754400000000004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17.026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85.13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466.26220000000001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189.17777777777775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696.17422222222228</v>
      </c>
    </row>
    <row r="66" spans="1:5" x14ac:dyDescent="0.3">
      <c r="A66" s="61" t="s">
        <v>82</v>
      </c>
      <c r="B66" s="25" t="s">
        <v>74</v>
      </c>
      <c r="C66" s="35">
        <f>D61/D33</f>
        <v>0.27385304827910256</v>
      </c>
      <c r="D66" s="10">
        <f>D61</f>
        <v>466.26220000000001</v>
      </c>
    </row>
    <row r="67" spans="1:5" x14ac:dyDescent="0.3">
      <c r="A67" s="253" t="s">
        <v>15</v>
      </c>
      <c r="B67" s="255"/>
      <c r="C67" s="254"/>
      <c r="D67" s="22">
        <f>SUM(D64:D66)</f>
        <v>1351.6142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2509.3821999999996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115351.15</v>
      </c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9228.0920000000006</v>
      </c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3691.2368000000006</v>
      </c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620.06190000000015</v>
      </c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113506.66666666666</v>
      </c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9080.5333333333328</v>
      </c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3632.2133333333331</v>
      </c>
      <c r="E79" s="36"/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603.85546666666664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3812.4619200000002</v>
      </c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52.894784252000001</v>
      </c>
      <c r="G82" s="52"/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207.14059265305912</v>
      </c>
      <c r="G87" s="57"/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51.578009138583198</v>
      </c>
      <c r="G88" s="57"/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8.3891942574804013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8.6999051559056007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0.6214217968504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0.93213269527559994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277.36125569715432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INSUMOS!G29</f>
        <v>1.7741666666666664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36.677112159329141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3421.1473521084836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8.787871058406696E-2</v>
      </c>
      <c r="D110" s="43">
        <f>C110*D105</f>
        <v>300.64601802138844</v>
      </c>
    </row>
    <row r="111" spans="1:4" x14ac:dyDescent="0.3">
      <c r="A111" s="274" t="s">
        <v>4</v>
      </c>
      <c r="B111" s="275"/>
      <c r="C111" s="276"/>
      <c r="D111" s="43">
        <f>D105+D110</f>
        <v>3721.7933701298721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252.33759049480531</v>
      </c>
    </row>
    <row r="113" spans="1:4" x14ac:dyDescent="0.3">
      <c r="A113" s="274" t="s">
        <v>4</v>
      </c>
      <c r="B113" s="275"/>
      <c r="C113" s="275"/>
      <c r="D113" s="43">
        <f>D112+D111</f>
        <v>3974.1309606246773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73.885251662317955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340.3199470506766</v>
      </c>
    </row>
    <row r="117" spans="1:4" x14ac:dyDescent="0.3">
      <c r="A117" s="62"/>
      <c r="B117" s="63" t="s">
        <v>104</v>
      </c>
      <c r="C117" s="45">
        <v>0.02</v>
      </c>
      <c r="D117" s="43">
        <f>(D113/(1-C118)*C117)</f>
        <v>89.557880802809635</v>
      </c>
    </row>
    <row r="118" spans="1:4" x14ac:dyDescent="0.3">
      <c r="A118" s="240" t="s">
        <v>105</v>
      </c>
      <c r="B118" s="242"/>
      <c r="C118" s="46">
        <f>SUM(C115:C117)</f>
        <v>0.1125</v>
      </c>
      <c r="D118" s="43">
        <f>SUM(D115:D117)</f>
        <v>503.76307951580418</v>
      </c>
    </row>
    <row r="119" spans="1:4" x14ac:dyDescent="0.3">
      <c r="A119" s="253" t="s">
        <v>106</v>
      </c>
      <c r="B119" s="254"/>
      <c r="C119" s="47">
        <f>SUM(C110+C112+C118)</f>
        <v>0.26817871058406695</v>
      </c>
      <c r="D119" s="15">
        <f>SUM(D118+D110+D112)</f>
        <v>1056.7466880319978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1702.6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1351.6142</v>
      </c>
    </row>
    <row r="125" spans="1:4" x14ac:dyDescent="0.3">
      <c r="A125" s="64" t="s">
        <v>26</v>
      </c>
      <c r="B125" s="227" t="s">
        <v>111</v>
      </c>
      <c r="C125" s="228"/>
      <c r="D125" s="10">
        <f>D82</f>
        <v>52.894784252000001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277.36125569715432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36.677112159329141</v>
      </c>
    </row>
    <row r="128" spans="1:4" x14ac:dyDescent="0.3">
      <c r="A128" s="282" t="s">
        <v>114</v>
      </c>
      <c r="B128" s="283"/>
      <c r="C128" s="284"/>
      <c r="D128" s="10">
        <f>SUM(D123:D127)</f>
        <v>3421.1473521084836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1056.7466880319978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4477.8940401404816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4477.8940401404816</v>
      </c>
    </row>
    <row r="134" spans="1:4" x14ac:dyDescent="0.3">
      <c r="A134" s="279" t="s">
        <v>17</v>
      </c>
      <c r="B134" s="280"/>
      <c r="C134" s="281"/>
      <c r="D134" s="55">
        <f>C11</f>
        <v>7</v>
      </c>
    </row>
    <row r="135" spans="1:4" x14ac:dyDescent="0.3">
      <c r="A135" s="279" t="s">
        <v>0</v>
      </c>
      <c r="B135" s="280"/>
      <c r="C135" s="281"/>
      <c r="D135" s="56">
        <f>D134*D133</f>
        <v>31345.258280983369</v>
      </c>
    </row>
    <row r="136" spans="1:4" x14ac:dyDescent="0.3">
      <c r="A136" s="279" t="s">
        <v>134</v>
      </c>
      <c r="B136" s="280"/>
      <c r="C136" s="281"/>
      <c r="D136" s="49">
        <f>D135*24</f>
        <v>752286.19874360086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  <row r="148" spans="1:4" hidden="1" x14ac:dyDescent="0.3"/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7"/>
  <dimension ref="A1:WVO147"/>
  <sheetViews>
    <sheetView topLeftCell="A38" zoomScale="80" zoomScaleNormal="80" workbookViewId="0">
      <selection activeCell="G125" sqref="G125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200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Proposta!E18</f>
        <v>1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1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0.2</v>
      </c>
      <c r="D29" s="12">
        <f>C29*D27</f>
        <v>340.52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2043.12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170.26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56.75333333333333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227.01333333333332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454.02666666666664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56.75333333333333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68.103999999999999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34.052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22.701333333333334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13.620799999999999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4.5402666666666667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181.61066666666667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835.40906666666672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136">
        <v>3.05</v>
      </c>
      <c r="D54" s="31">
        <f>(21*2*C54)-(D27*6%)*(56/60)</f>
        <v>32.754400000000004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20.4312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102.15600000000001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486.6934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227.01333333333332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835.40906666666672</v>
      </c>
    </row>
    <row r="66" spans="1:5" x14ac:dyDescent="0.3">
      <c r="A66" s="61" t="s">
        <v>82</v>
      </c>
      <c r="B66" s="25" t="s">
        <v>74</v>
      </c>
      <c r="C66" s="35">
        <f>D61/D33</f>
        <v>0.2382108735659188</v>
      </c>
      <c r="D66" s="10">
        <f>D61</f>
        <v>486.6934</v>
      </c>
    </row>
    <row r="67" spans="1:5" x14ac:dyDescent="0.3">
      <c r="A67" s="253" t="s">
        <v>15</v>
      </c>
      <c r="B67" s="255"/>
      <c r="C67" s="254"/>
      <c r="D67" s="22">
        <f>SUM(D64:D66)</f>
        <v>1549.1158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2938.4373999999998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138421.38</v>
      </c>
      <c r="E73" s="36"/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11073.7104</v>
      </c>
      <c r="E74" s="36"/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4429.48416</v>
      </c>
      <c r="E75" s="36"/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736.79215599999998</v>
      </c>
      <c r="E76" s="36"/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136208</v>
      </c>
      <c r="E77" s="36"/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10896.64</v>
      </c>
      <c r="E78" s="36"/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4358.6559999999999</v>
      </c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724.62655999999993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4574.9543039999999</v>
      </c>
      <c r="E81" s="36"/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63.386841089333338</v>
      </c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  <c r="G84" s="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243.70816866389364</v>
      </c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60.683335842082933</v>
      </c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9.8701811309411998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10.235743395050132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0.73112452821786666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1.0966867923267998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326.32524035251259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INSUMOS!G29</f>
        <v>1.7741666666666664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36.677112159329141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4018.624993601175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8.8031386508758067E-2</v>
      </c>
      <c r="D110" s="43">
        <f>C110*D105</f>
        <v>353.76513004546047</v>
      </c>
    </row>
    <row r="111" spans="1:4" x14ac:dyDescent="0.3">
      <c r="A111" s="274" t="s">
        <v>4</v>
      </c>
      <c r="B111" s="275"/>
      <c r="C111" s="276"/>
      <c r="D111" s="43">
        <f>D105+D110</f>
        <v>4372.3901236466354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296.44805038324188</v>
      </c>
    </row>
    <row r="113" spans="1:4" x14ac:dyDescent="0.3">
      <c r="A113" s="274" t="s">
        <v>4</v>
      </c>
      <c r="B113" s="275"/>
      <c r="C113" s="275"/>
      <c r="D113" s="43">
        <f>D112+D111</f>
        <v>4668.8381740298773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86.80093506647097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399.81036757889655</v>
      </c>
    </row>
    <row r="117" spans="1:4" x14ac:dyDescent="0.3">
      <c r="A117" s="62"/>
      <c r="B117" s="63" t="s">
        <v>104</v>
      </c>
      <c r="C117" s="45">
        <v>0.02</v>
      </c>
      <c r="D117" s="43">
        <f>(D113/(1-C118)*C117)</f>
        <v>105.21325462602542</v>
      </c>
    </row>
    <row r="118" spans="1:4" x14ac:dyDescent="0.3">
      <c r="A118" s="240" t="s">
        <v>105</v>
      </c>
      <c r="B118" s="242"/>
      <c r="C118" s="46">
        <f>SUM(C115:C117)</f>
        <v>0.1125</v>
      </c>
      <c r="D118" s="43">
        <f>SUM(D115:D117)</f>
        <v>591.82455727139291</v>
      </c>
    </row>
    <row r="119" spans="1:4" x14ac:dyDescent="0.3">
      <c r="A119" s="253" t="s">
        <v>106</v>
      </c>
      <c r="B119" s="254"/>
      <c r="C119" s="47">
        <f>SUM(C110+C112+C118)</f>
        <v>0.26833138650875804</v>
      </c>
      <c r="D119" s="15">
        <f>SUM(D118+D110+D112)</f>
        <v>1242.0377377000952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2043.12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1549.1158</v>
      </c>
    </row>
    <row r="125" spans="1:4" x14ac:dyDescent="0.3">
      <c r="A125" s="64" t="s">
        <v>26</v>
      </c>
      <c r="B125" s="227" t="s">
        <v>111</v>
      </c>
      <c r="C125" s="228"/>
      <c r="D125" s="10">
        <f>D84</f>
        <v>0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326.32524035251259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36.677112159329141</v>
      </c>
    </row>
    <row r="128" spans="1:4" x14ac:dyDescent="0.3">
      <c r="A128" s="282" t="s">
        <v>114</v>
      </c>
      <c r="B128" s="283"/>
      <c r="C128" s="284"/>
      <c r="D128" s="10">
        <f>SUM(D123:D127)</f>
        <v>3955.2381525118417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1242.0377377000952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5197.2758902119367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5197.2758902119367</v>
      </c>
    </row>
    <row r="134" spans="1:4" x14ac:dyDescent="0.3">
      <c r="A134" s="279" t="s">
        <v>1</v>
      </c>
      <c r="B134" s="280"/>
      <c r="C134" s="281"/>
      <c r="D134" s="55">
        <f>C11</f>
        <v>1</v>
      </c>
    </row>
    <row r="135" spans="1:4" x14ac:dyDescent="0.3">
      <c r="A135" s="279" t="s">
        <v>0</v>
      </c>
      <c r="B135" s="280"/>
      <c r="C135" s="281"/>
      <c r="D135" s="56">
        <f>D134*D133</f>
        <v>5197.2758902119367</v>
      </c>
    </row>
    <row r="136" spans="1:4" x14ac:dyDescent="0.3">
      <c r="A136" s="279" t="s">
        <v>134</v>
      </c>
      <c r="B136" s="280"/>
      <c r="C136" s="281"/>
      <c r="D136" s="49">
        <f>D135*24</f>
        <v>124734.62136508648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hidden="1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8"/>
  <dimension ref="A1:WVO148"/>
  <sheetViews>
    <sheetView topLeftCell="A37" zoomScale="80" zoomScaleNormal="80" workbookViewId="0">
      <selection activeCell="D74" sqref="D74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201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Proposta!E19</f>
        <v>5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5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</v>
      </c>
      <c r="D29" s="12">
        <f>C29*724</f>
        <v>0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1702.6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141.88333333333333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47.294444444444437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189.17777777777775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378.35555555555555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47.294444444444444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56.753333333333323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28.376666666666662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18.917777777777776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11.350666666666665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3.7835555555555551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151.3422222222222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696.17422222222228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30">
        <v>0</v>
      </c>
      <c r="D54" s="31">
        <f>IF(C54=0,0,(21*2*C54)-(D27*6%))</f>
        <v>0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17.026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85.13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433.50779999999997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189.17777777777775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696.17422222222228</v>
      </c>
    </row>
    <row r="66" spans="1:5" x14ac:dyDescent="0.3">
      <c r="A66" s="61" t="s">
        <v>82</v>
      </c>
      <c r="B66" s="25" t="s">
        <v>74</v>
      </c>
      <c r="C66" s="35">
        <f>D61/D33</f>
        <v>0.2546151767884412</v>
      </c>
      <c r="D66" s="10">
        <f>D61</f>
        <v>433.50779999999997</v>
      </c>
    </row>
    <row r="67" spans="1:5" x14ac:dyDescent="0.3">
      <c r="A67" s="253" t="s">
        <v>15</v>
      </c>
      <c r="B67" s="255"/>
      <c r="C67" s="254"/>
      <c r="D67" s="22">
        <f>SUM(D64:D66)</f>
        <v>1318.8598000000002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2476.6277999999998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115351.15</v>
      </c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9228.0920000000006</v>
      </c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3691.2368000000006</v>
      </c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616.78646000000015</v>
      </c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113506.66666666666</v>
      </c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9080.5333333333328</v>
      </c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3632.2133333333331</v>
      </c>
      <c r="E79" s="36"/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603.85546666666664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3812.4619200000002</v>
      </c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52.855697334666665</v>
      </c>
      <c r="G82" s="52"/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204.95436025836503</v>
      </c>
      <c r="G87" s="57"/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51.033637255755472</v>
      </c>
      <c r="G88" s="57"/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8.3006518428036014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8.6080833925370666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0.6148630994669334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0.92229464920039994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274.43389049812856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INSUMOS!G30</f>
        <v>2.3655555555555554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37.268501048218027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3386.0178888810137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8.8900000000000007E-2</v>
      </c>
      <c r="D110" s="43">
        <f>C110*D105</f>
        <v>301.01699032152214</v>
      </c>
    </row>
    <row r="111" spans="1:4" x14ac:dyDescent="0.3">
      <c r="A111" s="274" t="s">
        <v>4</v>
      </c>
      <c r="B111" s="275"/>
      <c r="C111" s="276"/>
      <c r="D111" s="43">
        <f>D105+D110</f>
        <v>3687.0348792025361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249.98096480993195</v>
      </c>
    </row>
    <row r="113" spans="1:4" x14ac:dyDescent="0.3">
      <c r="A113" s="274" t="s">
        <v>4</v>
      </c>
      <c r="B113" s="275"/>
      <c r="C113" s="275"/>
      <c r="D113" s="43">
        <f>D112+D111</f>
        <v>3937.0158440124678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75.755990001406104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348.93668121859776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229.56360606486697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654.25627728487075</v>
      </c>
    </row>
    <row r="119" spans="1:4" x14ac:dyDescent="0.3">
      <c r="A119" s="253" t="s">
        <v>106</v>
      </c>
      <c r="B119" s="254"/>
      <c r="C119" s="47">
        <f>SUM(C110+C112+C118)</f>
        <v>0.29920000000000002</v>
      </c>
      <c r="D119" s="15">
        <f>SUM(D118+D110+D112)</f>
        <v>1205.2542324163248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1702.6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1318.8598000000002</v>
      </c>
    </row>
    <row r="125" spans="1:4" x14ac:dyDescent="0.3">
      <c r="A125" s="64" t="s">
        <v>26</v>
      </c>
      <c r="B125" s="227" t="s">
        <v>111</v>
      </c>
      <c r="C125" s="228"/>
      <c r="D125" s="10">
        <f>D82</f>
        <v>52.855697334666665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274.43389049812856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37.268501048218027</v>
      </c>
    </row>
    <row r="128" spans="1:4" x14ac:dyDescent="0.3">
      <c r="A128" s="282" t="s">
        <v>114</v>
      </c>
      <c r="B128" s="283"/>
      <c r="C128" s="284"/>
      <c r="D128" s="10">
        <f>SUM(D123:D127)</f>
        <v>3386.0178888810137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1205.2542324163248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4591.2721212973383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4591.2721212973383</v>
      </c>
    </row>
    <row r="134" spans="1:4" x14ac:dyDescent="0.3">
      <c r="A134" s="279" t="s">
        <v>17</v>
      </c>
      <c r="B134" s="280"/>
      <c r="C134" s="281"/>
      <c r="D134" s="55">
        <f>Proposta!E8</f>
        <v>3</v>
      </c>
    </row>
    <row r="135" spans="1:4" x14ac:dyDescent="0.3">
      <c r="A135" s="279" t="s">
        <v>0</v>
      </c>
      <c r="B135" s="280"/>
      <c r="C135" s="281"/>
      <c r="D135" s="56">
        <f>D134*D133</f>
        <v>13773.816363892016</v>
      </c>
    </row>
    <row r="136" spans="1:4" x14ac:dyDescent="0.3">
      <c r="A136" s="279" t="s">
        <v>134</v>
      </c>
      <c r="B136" s="280"/>
      <c r="C136" s="281"/>
      <c r="D136" s="49">
        <f>D135*24</f>
        <v>330571.59273340838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  <row r="148" spans="1:4" hidden="1" x14ac:dyDescent="0.3"/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9"/>
  <dimension ref="A1:WVO147"/>
  <sheetViews>
    <sheetView topLeftCell="A34" zoomScale="80" zoomScaleNormal="80" workbookViewId="0">
      <selection activeCell="D74" sqref="D74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201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Proposta!E20</f>
        <v>1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1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0.2</v>
      </c>
      <c r="D29" s="12">
        <f>C29*D27</f>
        <v>340.52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2043.12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170.26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56.75333333333333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227.01333333333332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454.02666666666664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56.75333333333333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68.103999999999999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34.052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22.701333333333334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13.620799999999999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4.5402666666666667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181.61066666666667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835.40906666666672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30">
        <v>0</v>
      </c>
      <c r="D54" s="31">
        <f>IF(C54=0,0,(21*2*C54)-(D27*6%))</f>
        <v>0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20.4312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102.15600000000001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453.93899999999996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227.01333333333332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835.40906666666672</v>
      </c>
    </row>
    <row r="66" spans="1:5" x14ac:dyDescent="0.3">
      <c r="A66" s="61" t="s">
        <v>82</v>
      </c>
      <c r="B66" s="25" t="s">
        <v>74</v>
      </c>
      <c r="C66" s="35">
        <f>D61/D33</f>
        <v>0.22217931399036767</v>
      </c>
      <c r="D66" s="10">
        <f>D61</f>
        <v>453.93899999999996</v>
      </c>
    </row>
    <row r="67" spans="1:5" x14ac:dyDescent="0.3">
      <c r="A67" s="253" t="s">
        <v>15</v>
      </c>
      <c r="B67" s="255"/>
      <c r="C67" s="254"/>
      <c r="D67" s="22">
        <f>SUM(D64:D66)</f>
        <v>1516.3613999999998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8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2905.6829999999995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138421.38</v>
      </c>
      <c r="E73" s="36"/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11073.7104</v>
      </c>
      <c r="E74" s="36"/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4429.48416</v>
      </c>
      <c r="E75" s="36"/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733.51671599999997</v>
      </c>
      <c r="E76" s="36"/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136208</v>
      </c>
      <c r="E77" s="36"/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10896.64</v>
      </c>
      <c r="E78" s="36"/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4358.6559999999999</v>
      </c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724.62655999999993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4574.9543039999999</v>
      </c>
      <c r="E81" s="36"/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63.347754171999995</v>
      </c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  <c r="G84" s="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241.52193626919956</v>
      </c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60.138963959255193</v>
      </c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9.7816387162643998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10.143921631681598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0.72456583083439996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1.0868487462515999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323.39787515348678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INSUMOS!G30</f>
        <v>2.3655555555555554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37.268501048218027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3983.4955303737047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8.8900000000000007E-2</v>
      </c>
      <c r="D110" s="43">
        <f>C110*D105</f>
        <v>354.13275265022236</v>
      </c>
    </row>
    <row r="111" spans="1:4" x14ac:dyDescent="0.3">
      <c r="A111" s="274" t="s">
        <v>4</v>
      </c>
      <c r="B111" s="275"/>
      <c r="C111" s="276"/>
      <c r="D111" s="43">
        <f>D105+D110</f>
        <v>4337.628283023927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294.09119758902227</v>
      </c>
    </row>
    <row r="113" spans="1:4" x14ac:dyDescent="0.3">
      <c r="A113" s="274" t="s">
        <v>4</v>
      </c>
      <c r="B113" s="275"/>
      <c r="C113" s="275"/>
      <c r="D113" s="43">
        <f>D112+D111</f>
        <v>4631.7194806129492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89.12346522462235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410.50808224674535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270.07110674127983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769.70265421264753</v>
      </c>
    </row>
    <row r="119" spans="1:4" x14ac:dyDescent="0.3">
      <c r="A119" s="253" t="s">
        <v>106</v>
      </c>
      <c r="B119" s="254"/>
      <c r="C119" s="47">
        <f>SUM(C110+C112+C118)</f>
        <v>0.29920000000000002</v>
      </c>
      <c r="D119" s="15">
        <f>SUM(D118+D110+D112)</f>
        <v>1417.9266044518922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2043.12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1516.3613999999998</v>
      </c>
    </row>
    <row r="125" spans="1:4" x14ac:dyDescent="0.3">
      <c r="A125" s="64" t="s">
        <v>26</v>
      </c>
      <c r="B125" s="227" t="s">
        <v>111</v>
      </c>
      <c r="C125" s="228"/>
      <c r="D125" s="10">
        <f>D84</f>
        <v>0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323.39787515348678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37.268501048218027</v>
      </c>
    </row>
    <row r="128" spans="1:4" x14ac:dyDescent="0.3">
      <c r="A128" s="282" t="s">
        <v>114</v>
      </c>
      <c r="B128" s="283"/>
      <c r="C128" s="284"/>
      <c r="D128" s="10">
        <f>SUM(D123:D127)</f>
        <v>3920.1477762017048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1417.9266044518922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5338.0743806535975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5338.0743806535975</v>
      </c>
    </row>
    <row r="134" spans="1:4" x14ac:dyDescent="0.3">
      <c r="A134" s="279" t="s">
        <v>1</v>
      </c>
      <c r="B134" s="280"/>
      <c r="C134" s="281"/>
      <c r="D134" s="55">
        <f>Proposta!E10</f>
        <v>1</v>
      </c>
    </row>
    <row r="135" spans="1:4" x14ac:dyDescent="0.3">
      <c r="A135" s="279" t="s">
        <v>0</v>
      </c>
      <c r="B135" s="280"/>
      <c r="C135" s="281"/>
      <c r="D135" s="56">
        <f>D134*D133</f>
        <v>5338.0743806535975</v>
      </c>
    </row>
    <row r="136" spans="1:4" x14ac:dyDescent="0.3">
      <c r="A136" s="279" t="s">
        <v>134</v>
      </c>
      <c r="B136" s="280"/>
      <c r="C136" s="281"/>
      <c r="D136" s="49">
        <f>D135*24</f>
        <v>128113.78513568634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hidden="1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">
    <tabColor rgb="FFFFFF00"/>
  </sheetPr>
  <dimension ref="A1:H79"/>
  <sheetViews>
    <sheetView topLeftCell="A20" zoomScale="90" zoomScaleNormal="90" workbookViewId="0">
      <selection activeCell="H30" sqref="H30"/>
    </sheetView>
  </sheetViews>
  <sheetFormatPr defaultColWidth="0" defaultRowHeight="0" customHeight="1" zeroHeight="1" x14ac:dyDescent="0.25"/>
  <cols>
    <col min="1" max="1" width="3.28515625" style="86" customWidth="1"/>
    <col min="2" max="2" width="24.5703125" style="87" customWidth="1"/>
    <col min="3" max="3" width="11.42578125" style="87" bestFit="1" customWidth="1"/>
    <col min="4" max="4" width="12.28515625" style="87" customWidth="1"/>
    <col min="5" max="5" width="15" style="87" customWidth="1"/>
    <col min="6" max="6" width="20.5703125" style="87" customWidth="1"/>
    <col min="7" max="7" width="20.85546875" style="87" customWidth="1"/>
    <col min="8" max="8" width="15.7109375" style="87" customWidth="1"/>
    <col min="9" max="16384" width="9.140625" style="87" hidden="1"/>
  </cols>
  <sheetData>
    <row r="1" spans="2:8" ht="15.75" thickBot="1" x14ac:dyDescent="0.3">
      <c r="B1" s="180"/>
      <c r="C1" s="180"/>
      <c r="D1" s="180"/>
      <c r="E1" s="180"/>
      <c r="F1" s="180"/>
      <c r="G1" s="180"/>
      <c r="H1" s="180"/>
    </row>
    <row r="2" spans="2:8" ht="21" thickBot="1" x14ac:dyDescent="0.3">
      <c r="B2" s="192" t="s">
        <v>176</v>
      </c>
      <c r="C2" s="193"/>
      <c r="D2" s="193"/>
      <c r="E2" s="193"/>
      <c r="F2" s="193"/>
      <c r="G2" s="194"/>
      <c r="H2" s="86"/>
    </row>
    <row r="3" spans="2:8" ht="19.5" thickBot="1" x14ac:dyDescent="0.3">
      <c r="B3" s="181" t="s">
        <v>177</v>
      </c>
      <c r="C3" s="182"/>
      <c r="D3" s="182"/>
      <c r="E3" s="182"/>
      <c r="F3" s="182"/>
      <c r="G3" s="183"/>
      <c r="H3" s="86"/>
    </row>
    <row r="4" spans="2:8" ht="15" customHeight="1" x14ac:dyDescent="0.25">
      <c r="B4" s="184" t="s">
        <v>10</v>
      </c>
      <c r="C4" s="186" t="s">
        <v>175</v>
      </c>
      <c r="D4" s="186" t="s">
        <v>1</v>
      </c>
      <c r="E4" s="186" t="s">
        <v>11</v>
      </c>
      <c r="F4" s="186" t="s">
        <v>12</v>
      </c>
      <c r="G4" s="188" t="s">
        <v>13</v>
      </c>
      <c r="H4" s="86"/>
    </row>
    <row r="5" spans="2:8" ht="15" x14ac:dyDescent="0.25">
      <c r="B5" s="185"/>
      <c r="C5" s="187"/>
      <c r="D5" s="187"/>
      <c r="E5" s="187"/>
      <c r="F5" s="187"/>
      <c r="G5" s="189"/>
      <c r="H5" s="86"/>
    </row>
    <row r="6" spans="2:8" ht="15" x14ac:dyDescent="0.25">
      <c r="B6" s="137" t="s">
        <v>202</v>
      </c>
      <c r="C6" s="165">
        <v>125</v>
      </c>
      <c r="D6" s="138">
        <v>1</v>
      </c>
      <c r="E6" s="139">
        <f>C6*D6</f>
        <v>125</v>
      </c>
      <c r="F6" s="138">
        <v>36</v>
      </c>
      <c r="G6" s="140">
        <f>E6/F6</f>
        <v>3.4722222222222223</v>
      </c>
      <c r="H6" s="86"/>
    </row>
    <row r="7" spans="2:8" ht="15" x14ac:dyDescent="0.25">
      <c r="B7" s="137" t="s">
        <v>203</v>
      </c>
      <c r="C7" s="165">
        <v>76.45</v>
      </c>
      <c r="D7" s="138">
        <v>1</v>
      </c>
      <c r="E7" s="139">
        <f>C7*D7</f>
        <v>76.45</v>
      </c>
      <c r="F7" s="138">
        <v>30</v>
      </c>
      <c r="G7" s="140">
        <f>E7/F7</f>
        <v>2.5483333333333333</v>
      </c>
      <c r="H7" s="86"/>
    </row>
    <row r="8" spans="2:8" ht="15" x14ac:dyDescent="0.25">
      <c r="B8" s="137" t="s">
        <v>182</v>
      </c>
      <c r="C8" s="165">
        <v>39.119999999999997</v>
      </c>
      <c r="D8" s="138">
        <v>2</v>
      </c>
      <c r="E8" s="139">
        <f t="shared" ref="E8:E14" si="0">C8*D8</f>
        <v>78.239999999999995</v>
      </c>
      <c r="F8" s="138">
        <v>12</v>
      </c>
      <c r="G8" s="140">
        <f t="shared" ref="G8:G14" si="1">E8/F8</f>
        <v>6.52</v>
      </c>
      <c r="H8" s="86"/>
    </row>
    <row r="9" spans="2:8" ht="15" x14ac:dyDescent="0.25">
      <c r="B9" s="137" t="s">
        <v>180</v>
      </c>
      <c r="C9" s="165">
        <v>30.98</v>
      </c>
      <c r="D9" s="138">
        <v>3</v>
      </c>
      <c r="E9" s="139">
        <f t="shared" si="0"/>
        <v>92.94</v>
      </c>
      <c r="F9" s="138">
        <v>20</v>
      </c>
      <c r="G9" s="140">
        <f t="shared" si="1"/>
        <v>4.6470000000000002</v>
      </c>
      <c r="H9" s="86"/>
    </row>
    <row r="10" spans="2:8" ht="16.5" customHeight="1" x14ac:dyDescent="0.25">
      <c r="B10" s="137" t="s">
        <v>181</v>
      </c>
      <c r="C10" s="165">
        <v>34.07</v>
      </c>
      <c r="D10" s="138">
        <v>3</v>
      </c>
      <c r="E10" s="139">
        <f t="shared" si="0"/>
        <v>102.21000000000001</v>
      </c>
      <c r="F10" s="138">
        <v>20</v>
      </c>
      <c r="G10" s="140">
        <f t="shared" si="1"/>
        <v>5.1105</v>
      </c>
      <c r="H10" s="86"/>
    </row>
    <row r="11" spans="2:8" ht="15" x14ac:dyDescent="0.25">
      <c r="B11" s="137" t="s">
        <v>14</v>
      </c>
      <c r="C11" s="165">
        <v>50.38</v>
      </c>
      <c r="D11" s="138">
        <v>1</v>
      </c>
      <c r="E11" s="139">
        <f t="shared" si="0"/>
        <v>50.38</v>
      </c>
      <c r="F11" s="138">
        <v>24</v>
      </c>
      <c r="G11" s="140">
        <f t="shared" si="1"/>
        <v>2.0991666666666666</v>
      </c>
      <c r="H11" s="86"/>
    </row>
    <row r="12" spans="2:8" ht="15" x14ac:dyDescent="0.25">
      <c r="B12" s="137" t="s">
        <v>173</v>
      </c>
      <c r="C12" s="165">
        <v>5.87</v>
      </c>
      <c r="D12" s="138">
        <v>3</v>
      </c>
      <c r="E12" s="139">
        <f t="shared" si="0"/>
        <v>17.61</v>
      </c>
      <c r="F12" s="138">
        <v>6</v>
      </c>
      <c r="G12" s="140">
        <f t="shared" si="1"/>
        <v>2.9350000000000001</v>
      </c>
      <c r="H12" s="86"/>
    </row>
    <row r="13" spans="2:8" ht="15" x14ac:dyDescent="0.25">
      <c r="B13" s="137" t="s">
        <v>174</v>
      </c>
      <c r="C13" s="165">
        <v>16.399999999999999</v>
      </c>
      <c r="D13" s="138">
        <v>1</v>
      </c>
      <c r="E13" s="139">
        <f t="shared" si="0"/>
        <v>16.399999999999999</v>
      </c>
      <c r="F13" s="138">
        <v>12</v>
      </c>
      <c r="G13" s="140">
        <f t="shared" si="1"/>
        <v>1.3666666666666665</v>
      </c>
      <c r="H13" s="86"/>
    </row>
    <row r="14" spans="2:8" ht="16.5" customHeight="1" thickBot="1" x14ac:dyDescent="0.3">
      <c r="B14" s="141" t="s">
        <v>16</v>
      </c>
      <c r="C14" s="166">
        <v>8.86</v>
      </c>
      <c r="D14" s="142">
        <v>1</v>
      </c>
      <c r="E14" s="143">
        <f t="shared" si="0"/>
        <v>8.86</v>
      </c>
      <c r="F14" s="142">
        <v>12</v>
      </c>
      <c r="G14" s="144">
        <f t="shared" si="1"/>
        <v>0.73833333333333329</v>
      </c>
      <c r="H14" s="113"/>
    </row>
    <row r="15" spans="2:8" ht="16.5" customHeight="1" thickBot="1" x14ac:dyDescent="0.3">
      <c r="B15" s="190" t="s">
        <v>133</v>
      </c>
      <c r="C15" s="191"/>
      <c r="D15" s="191"/>
      <c r="E15" s="191"/>
      <c r="F15" s="191"/>
      <c r="G15" s="145">
        <f>SUM(G6:G14)</f>
        <v>29.437222222222221</v>
      </c>
      <c r="H15" s="113"/>
    </row>
    <row r="16" spans="2:8" s="86" customFormat="1" ht="16.5" customHeight="1" x14ac:dyDescent="0.25">
      <c r="H16" s="113"/>
    </row>
    <row r="17" spans="2:8" s="86" customFormat="1" ht="16.5" customHeight="1" thickBot="1" x14ac:dyDescent="0.3">
      <c r="H17" s="113"/>
    </row>
    <row r="18" spans="2:8" ht="19.5" thickBot="1" x14ac:dyDescent="0.3">
      <c r="B18" s="181" t="s">
        <v>178</v>
      </c>
      <c r="C18" s="182"/>
      <c r="D18" s="182"/>
      <c r="E18" s="182"/>
      <c r="F18" s="182"/>
      <c r="G18" s="183"/>
      <c r="H18" s="113"/>
    </row>
    <row r="19" spans="2:8" ht="15" x14ac:dyDescent="0.25">
      <c r="B19" s="184" t="s">
        <v>10</v>
      </c>
      <c r="C19" s="186" t="s">
        <v>175</v>
      </c>
      <c r="D19" s="186" t="s">
        <v>1</v>
      </c>
      <c r="E19" s="186" t="s">
        <v>11</v>
      </c>
      <c r="F19" s="186" t="s">
        <v>12</v>
      </c>
      <c r="G19" s="188" t="s">
        <v>13</v>
      </c>
      <c r="H19" s="113"/>
    </row>
    <row r="20" spans="2:8" ht="15" x14ac:dyDescent="0.25">
      <c r="B20" s="185"/>
      <c r="C20" s="187"/>
      <c r="D20" s="187"/>
      <c r="E20" s="187"/>
      <c r="F20" s="187"/>
      <c r="G20" s="189"/>
      <c r="H20" s="113"/>
    </row>
    <row r="21" spans="2:8" ht="30.75" thickBot="1" x14ac:dyDescent="0.3">
      <c r="B21" s="146" t="s">
        <v>179</v>
      </c>
      <c r="C21" s="167">
        <v>1703.2</v>
      </c>
      <c r="D21" s="147">
        <v>7</v>
      </c>
      <c r="E21" s="148">
        <f>C21*D21</f>
        <v>11922.4</v>
      </c>
      <c r="F21" s="147">
        <v>120</v>
      </c>
      <c r="G21" s="149">
        <f>E21/F21</f>
        <v>99.353333333333325</v>
      </c>
      <c r="H21" s="113"/>
    </row>
    <row r="22" spans="2:8" ht="15.75" thickBot="1" x14ac:dyDescent="0.3">
      <c r="B22" s="195"/>
      <c r="C22" s="196"/>
      <c r="D22" s="196"/>
      <c r="E22" s="196"/>
      <c r="F22" s="196"/>
      <c r="G22" s="197"/>
      <c r="H22" s="113"/>
    </row>
    <row r="23" spans="2:8" ht="15.75" thickBot="1" x14ac:dyDescent="0.3">
      <c r="B23" s="198" t="s">
        <v>183</v>
      </c>
      <c r="C23" s="199"/>
      <c r="D23" s="200"/>
      <c r="E23" s="150" t="s">
        <v>191</v>
      </c>
      <c r="F23" s="151" t="s">
        <v>192</v>
      </c>
      <c r="G23" s="152" t="s">
        <v>193</v>
      </c>
      <c r="H23" s="113"/>
    </row>
    <row r="24" spans="2:8" ht="15.75" customHeight="1" x14ac:dyDescent="0.25">
      <c r="B24" s="195"/>
      <c r="C24" s="196"/>
      <c r="D24" s="197"/>
      <c r="E24" s="153" t="s">
        <v>184</v>
      </c>
      <c r="F24" s="154">
        <f>SUM(Proposta!E5:E7)</f>
        <v>18</v>
      </c>
      <c r="G24" s="155">
        <f>$G$21/F24/$D$21</f>
        <v>0.78851851851851851</v>
      </c>
      <c r="H24" s="113"/>
    </row>
    <row r="25" spans="2:8" ht="15" x14ac:dyDescent="0.25">
      <c r="B25" s="195"/>
      <c r="C25" s="196"/>
      <c r="D25" s="197"/>
      <c r="E25" s="156" t="s">
        <v>185</v>
      </c>
      <c r="F25" s="157">
        <f>SUM(Proposta!E8:E10)</f>
        <v>5</v>
      </c>
      <c r="G25" s="158">
        <f t="shared" ref="G25:G30" si="2">$G$21/F25/$D$21</f>
        <v>2.8386666666666662</v>
      </c>
      <c r="H25" s="113"/>
    </row>
    <row r="26" spans="2:8" ht="15" x14ac:dyDescent="0.25">
      <c r="B26" s="195"/>
      <c r="C26" s="196"/>
      <c r="D26" s="197"/>
      <c r="E26" s="156" t="s">
        <v>186</v>
      </c>
      <c r="F26" s="157">
        <f>SUM(Proposta!E11:E12)</f>
        <v>5</v>
      </c>
      <c r="G26" s="158">
        <f t="shared" si="2"/>
        <v>2.8386666666666662</v>
      </c>
      <c r="H26" s="113"/>
    </row>
    <row r="27" spans="2:8" ht="15" x14ac:dyDescent="0.25">
      <c r="B27" s="195"/>
      <c r="C27" s="196"/>
      <c r="D27" s="197"/>
      <c r="E27" s="156" t="s">
        <v>187</v>
      </c>
      <c r="F27" s="157">
        <f>SUM(Proposta!E13:E14)</f>
        <v>5</v>
      </c>
      <c r="G27" s="158">
        <f t="shared" si="2"/>
        <v>2.8386666666666662</v>
      </c>
      <c r="H27" s="113"/>
    </row>
    <row r="28" spans="2:8" ht="15" x14ac:dyDescent="0.25">
      <c r="B28" s="195"/>
      <c r="C28" s="196"/>
      <c r="D28" s="197"/>
      <c r="E28" s="156" t="s">
        <v>188</v>
      </c>
      <c r="F28" s="157">
        <f>SUM(Proposta!E15:E16)</f>
        <v>6</v>
      </c>
      <c r="G28" s="158">
        <f t="shared" si="2"/>
        <v>2.3655555555555554</v>
      </c>
      <c r="H28" s="113"/>
    </row>
    <row r="29" spans="2:8" ht="15" x14ac:dyDescent="0.25">
      <c r="B29" s="195"/>
      <c r="C29" s="196"/>
      <c r="D29" s="197"/>
      <c r="E29" s="156" t="s">
        <v>189</v>
      </c>
      <c r="F29" s="157">
        <f>SUM(Proposta!E17:E18)</f>
        <v>8</v>
      </c>
      <c r="G29" s="158">
        <f t="shared" si="2"/>
        <v>1.7741666666666664</v>
      </c>
      <c r="H29" s="86"/>
    </row>
    <row r="30" spans="2:8" ht="15.75" thickBot="1" x14ac:dyDescent="0.3">
      <c r="B30" s="201"/>
      <c r="C30" s="202"/>
      <c r="D30" s="203"/>
      <c r="E30" s="159" t="s">
        <v>190</v>
      </c>
      <c r="F30" s="160">
        <f>SUM(Proposta!E19:E20)</f>
        <v>6</v>
      </c>
      <c r="G30" s="161">
        <f t="shared" si="2"/>
        <v>2.3655555555555554</v>
      </c>
      <c r="H30" s="86"/>
    </row>
    <row r="31" spans="2:8" ht="15" x14ac:dyDescent="0.25">
      <c r="B31" s="86"/>
      <c r="C31" s="86"/>
      <c r="D31" s="86"/>
      <c r="E31" s="86"/>
      <c r="F31" s="86"/>
      <c r="G31" s="86"/>
      <c r="H31" s="86"/>
    </row>
    <row r="32" spans="2:8" ht="15.75" thickBot="1" x14ac:dyDescent="0.3">
      <c r="B32" s="86"/>
      <c r="C32" s="86"/>
      <c r="D32" s="86"/>
      <c r="E32" s="86"/>
      <c r="F32" s="111"/>
      <c r="G32" s="110"/>
      <c r="H32" s="86"/>
    </row>
    <row r="33" spans="2:8" ht="19.5" thickBot="1" x14ac:dyDescent="0.3">
      <c r="B33" s="181" t="s">
        <v>222</v>
      </c>
      <c r="C33" s="182"/>
      <c r="D33" s="182"/>
      <c r="E33" s="182"/>
      <c r="F33" s="182"/>
      <c r="G33" s="183"/>
      <c r="H33" s="86"/>
    </row>
    <row r="34" spans="2:8" ht="15" x14ac:dyDescent="0.25">
      <c r="B34" s="204" t="s">
        <v>217</v>
      </c>
      <c r="C34" s="205"/>
      <c r="D34" s="206"/>
      <c r="E34" s="213" t="s">
        <v>218</v>
      </c>
      <c r="F34" s="213" t="s">
        <v>216</v>
      </c>
      <c r="G34" s="214" t="s">
        <v>219</v>
      </c>
      <c r="H34" s="113"/>
    </row>
    <row r="35" spans="2:8" ht="15" x14ac:dyDescent="0.25">
      <c r="B35" s="207"/>
      <c r="C35" s="208"/>
      <c r="D35" s="209"/>
      <c r="E35" s="187"/>
      <c r="F35" s="187"/>
      <c r="G35" s="189"/>
      <c r="H35" s="113"/>
    </row>
    <row r="36" spans="2:8" ht="15.75" thickBot="1" x14ac:dyDescent="0.3">
      <c r="B36" s="210" t="s">
        <v>225</v>
      </c>
      <c r="C36" s="211"/>
      <c r="D36" s="212"/>
      <c r="E36" s="168">
        <v>5551.5</v>
      </c>
      <c r="F36" s="162">
        <v>24</v>
      </c>
      <c r="G36" s="149">
        <f>E36/F36</f>
        <v>231.3125</v>
      </c>
      <c r="H36" s="113"/>
    </row>
    <row r="37" spans="2:8" ht="15.75" thickBot="1" x14ac:dyDescent="0.3">
      <c r="B37" s="210" t="s">
        <v>226</v>
      </c>
      <c r="C37" s="211"/>
      <c r="D37" s="212"/>
      <c r="E37" s="168">
        <v>3502.25</v>
      </c>
      <c r="F37" s="162">
        <v>60</v>
      </c>
      <c r="G37" s="149">
        <f>E37/F37</f>
        <v>58.37083333333333</v>
      </c>
      <c r="H37" s="130"/>
    </row>
    <row r="38" spans="2:8" ht="15.75" thickBot="1" x14ac:dyDescent="0.3">
      <c r="B38" s="195"/>
      <c r="C38" s="196"/>
      <c r="D38" s="196"/>
      <c r="E38" s="196"/>
      <c r="F38" s="196"/>
      <c r="G38" s="197"/>
      <c r="H38" s="113"/>
    </row>
    <row r="39" spans="2:8" ht="15.75" customHeight="1" thickBot="1" x14ac:dyDescent="0.3">
      <c r="B39" s="198" t="s">
        <v>220</v>
      </c>
      <c r="C39" s="199"/>
      <c r="D39" s="200"/>
      <c r="E39" s="150" t="s">
        <v>191</v>
      </c>
      <c r="F39" s="151" t="s">
        <v>192</v>
      </c>
      <c r="G39" s="152" t="s">
        <v>193</v>
      </c>
      <c r="H39" s="113"/>
    </row>
    <row r="40" spans="2:8" ht="15.75" thickBot="1" x14ac:dyDescent="0.3">
      <c r="B40" s="195"/>
      <c r="C40" s="196"/>
      <c r="D40" s="197"/>
      <c r="E40" s="163" t="s">
        <v>225</v>
      </c>
      <c r="F40" s="164">
        <v>53</v>
      </c>
      <c r="G40" s="170">
        <f>$G$36/F40</f>
        <v>4.3643867924528301</v>
      </c>
      <c r="H40" s="113"/>
    </row>
    <row r="41" spans="2:8" ht="15.75" thickBot="1" x14ac:dyDescent="0.3">
      <c r="B41" s="195"/>
      <c r="C41" s="196"/>
      <c r="D41" s="197"/>
      <c r="E41" s="163" t="s">
        <v>226</v>
      </c>
      <c r="F41" s="164">
        <v>53</v>
      </c>
      <c r="G41" s="170">
        <f>$G$37/F41</f>
        <v>1.1013364779874213</v>
      </c>
      <c r="H41" s="113"/>
    </row>
    <row r="42" spans="2:8" ht="30.75" thickBot="1" x14ac:dyDescent="0.3">
      <c r="B42" s="201"/>
      <c r="C42" s="202"/>
      <c r="D42" s="203"/>
      <c r="E42" s="163" t="s">
        <v>223</v>
      </c>
      <c r="F42" s="164">
        <f>Proposta!E21</f>
        <v>53</v>
      </c>
      <c r="G42" s="169">
        <f>G40+G41</f>
        <v>5.4657232704402512</v>
      </c>
      <c r="H42" s="131"/>
    </row>
    <row r="43" spans="2:8" ht="15" x14ac:dyDescent="0.25">
      <c r="B43" s="113"/>
      <c r="C43" s="113"/>
      <c r="D43" s="113"/>
      <c r="E43" s="113"/>
      <c r="F43" s="113"/>
      <c r="G43" s="113"/>
      <c r="H43" s="113"/>
    </row>
    <row r="44" spans="2:8" ht="15" hidden="1" x14ac:dyDescent="0.25">
      <c r="B44" s="113"/>
      <c r="C44" s="113"/>
      <c r="D44" s="113"/>
      <c r="E44" s="113"/>
      <c r="F44" s="113"/>
      <c r="G44" s="113"/>
      <c r="H44" s="113"/>
    </row>
    <row r="45" spans="2:8" ht="15" hidden="1" x14ac:dyDescent="0.25">
      <c r="B45" s="113"/>
      <c r="C45" s="113"/>
      <c r="D45" s="113"/>
      <c r="E45" s="113"/>
      <c r="F45" s="113"/>
      <c r="G45" s="113"/>
      <c r="H45" s="113"/>
    </row>
    <row r="46" spans="2:8" ht="15" hidden="1" x14ac:dyDescent="0.25">
      <c r="B46" s="113"/>
      <c r="C46" s="113"/>
      <c r="D46" s="113"/>
      <c r="E46" s="113"/>
      <c r="F46" s="113"/>
      <c r="G46" s="113"/>
      <c r="H46" s="113"/>
    </row>
    <row r="47" spans="2:8" ht="15" hidden="1" x14ac:dyDescent="0.25">
      <c r="B47" s="113"/>
      <c r="C47" s="113"/>
      <c r="D47" s="113"/>
      <c r="E47" s="113"/>
      <c r="F47" s="113"/>
      <c r="G47" s="113"/>
      <c r="H47" s="113"/>
    </row>
    <row r="48" spans="2:8" ht="15" hidden="1" x14ac:dyDescent="0.25">
      <c r="B48" s="113"/>
      <c r="C48" s="113"/>
      <c r="D48" s="113"/>
      <c r="E48" s="113"/>
      <c r="F48" s="113"/>
      <c r="G48" s="113"/>
      <c r="H48" s="113"/>
    </row>
    <row r="49" spans="2:8" ht="15" hidden="1" x14ac:dyDescent="0.25">
      <c r="B49" s="113"/>
      <c r="C49" s="113"/>
      <c r="D49" s="113"/>
      <c r="E49" s="113"/>
      <c r="F49" s="113"/>
      <c r="G49" s="113"/>
      <c r="H49" s="113"/>
    </row>
    <row r="50" spans="2:8" ht="15" hidden="1" x14ac:dyDescent="0.25">
      <c r="B50" s="113"/>
      <c r="C50" s="113"/>
      <c r="D50" s="113"/>
      <c r="E50" s="113"/>
      <c r="F50" s="113"/>
      <c r="G50" s="113"/>
      <c r="H50" s="113"/>
    </row>
    <row r="51" spans="2:8" ht="15" hidden="1" x14ac:dyDescent="0.25">
      <c r="B51" s="113"/>
      <c r="C51" s="113"/>
      <c r="D51" s="113"/>
      <c r="E51" s="113"/>
      <c r="F51" s="113"/>
      <c r="G51" s="113"/>
      <c r="H51" s="113"/>
    </row>
    <row r="52" spans="2:8" ht="15" hidden="1" x14ac:dyDescent="0.25">
      <c r="B52" s="86"/>
      <c r="C52" s="86"/>
      <c r="D52" s="86"/>
      <c r="E52" s="86"/>
      <c r="F52" s="86"/>
      <c r="G52" s="86"/>
      <c r="H52" s="86"/>
    </row>
    <row r="53" spans="2:8" ht="15" hidden="1" x14ac:dyDescent="0.25">
      <c r="B53" s="86"/>
      <c r="C53" s="86"/>
      <c r="D53" s="86"/>
      <c r="E53" s="86"/>
      <c r="F53" s="86"/>
      <c r="G53" s="86"/>
      <c r="H53" s="86"/>
    </row>
    <row r="54" spans="2:8" ht="15" hidden="1" x14ac:dyDescent="0.25">
      <c r="B54" s="86"/>
      <c r="C54" s="86"/>
      <c r="D54" s="86"/>
      <c r="E54" s="86"/>
      <c r="F54" s="86"/>
      <c r="G54" s="86"/>
      <c r="H54" s="86"/>
    </row>
    <row r="55" spans="2:8" ht="15" hidden="1" x14ac:dyDescent="0.25">
      <c r="B55" s="86"/>
      <c r="C55" s="86"/>
      <c r="D55" s="86"/>
      <c r="E55" s="86"/>
      <c r="F55" s="86"/>
      <c r="G55" s="86"/>
      <c r="H55" s="86"/>
    </row>
    <row r="56" spans="2:8" ht="15" hidden="1" x14ac:dyDescent="0.25">
      <c r="B56" s="86"/>
      <c r="C56" s="86"/>
      <c r="D56" s="86"/>
      <c r="E56" s="86"/>
      <c r="F56" s="86"/>
      <c r="G56" s="86"/>
      <c r="H56" s="86"/>
    </row>
    <row r="57" spans="2:8" ht="15" hidden="1" x14ac:dyDescent="0.25"/>
    <row r="58" spans="2:8" ht="15" hidden="1" x14ac:dyDescent="0.25"/>
    <row r="59" spans="2:8" ht="15" hidden="1" x14ac:dyDescent="0.25"/>
    <row r="60" spans="2:8" ht="15" hidden="1" x14ac:dyDescent="0.25"/>
    <row r="61" spans="2:8" ht="15" hidden="1" x14ac:dyDescent="0.25"/>
    <row r="62" spans="2:8" ht="15" hidden="1" x14ac:dyDescent="0.25"/>
    <row r="63" spans="2:8" ht="15" hidden="1" x14ac:dyDescent="0.25"/>
    <row r="64" spans="2:8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</sheetData>
  <sheetProtection selectLockedCells="1"/>
  <mergeCells count="28">
    <mergeCell ref="B38:G38"/>
    <mergeCell ref="B39:D42"/>
    <mergeCell ref="B34:D35"/>
    <mergeCell ref="B37:D37"/>
    <mergeCell ref="E4:E5"/>
    <mergeCell ref="F4:F5"/>
    <mergeCell ref="G4:G5"/>
    <mergeCell ref="B33:G33"/>
    <mergeCell ref="E34:E35"/>
    <mergeCell ref="F34:F35"/>
    <mergeCell ref="G34:G35"/>
    <mergeCell ref="B4:B5"/>
    <mergeCell ref="B22:G22"/>
    <mergeCell ref="B23:D30"/>
    <mergeCell ref="B36:D36"/>
    <mergeCell ref="B1:H1"/>
    <mergeCell ref="B18:G18"/>
    <mergeCell ref="B19:B20"/>
    <mergeCell ref="C19:C20"/>
    <mergeCell ref="D19:D20"/>
    <mergeCell ref="E19:E20"/>
    <mergeCell ref="F19:F20"/>
    <mergeCell ref="G19:G20"/>
    <mergeCell ref="B15:F15"/>
    <mergeCell ref="C4:C5"/>
    <mergeCell ref="B2:G2"/>
    <mergeCell ref="B3:G3"/>
    <mergeCell ref="D4:D5"/>
  </mergeCell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/>
  <dimension ref="A1:WVO148"/>
  <sheetViews>
    <sheetView topLeftCell="A88" zoomScale="80" zoomScaleNormal="80" workbookViewId="0">
      <selection activeCell="A83" sqref="A83:D83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25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Proposta!E5</f>
        <v>15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15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0.3</v>
      </c>
      <c r="D28" s="10">
        <f>C28*D27</f>
        <v>510.78</v>
      </c>
    </row>
    <row r="29" spans="1:4" x14ac:dyDescent="0.3">
      <c r="A29" s="64" t="s">
        <v>26</v>
      </c>
      <c r="B29" s="63" t="s">
        <v>51</v>
      </c>
      <c r="C29" s="11">
        <v>0</v>
      </c>
      <c r="D29" s="10">
        <f>C29*D27</f>
        <v>0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2213.38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184.44833333333332</v>
      </c>
    </row>
    <row r="39" spans="1:4" x14ac:dyDescent="0.3">
      <c r="A39" s="129" t="s">
        <v>24</v>
      </c>
      <c r="B39" s="98" t="s">
        <v>160</v>
      </c>
      <c r="C39" s="20">
        <f>(C38*1/3)</f>
        <v>2.7777777777777776E-2</v>
      </c>
      <c r="D39" s="10">
        <f>C39*D33</f>
        <v>61.482777777777777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245.93111111111111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491.86222222222227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61.482777777777784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73.779333333333327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36.889666666666663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24.593111111111114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14.755866666666668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4.918622222222222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196.74488888888891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905.02648888888893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30">
        <v>4.18</v>
      </c>
      <c r="D54" s="31">
        <f>(21*2*C54)-(D27*6%)</f>
        <v>73.404000000000011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61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61" t="s">
        <v>26</v>
      </c>
      <c r="B57" s="34" t="s">
        <v>214</v>
      </c>
      <c r="C57" s="51">
        <v>0.01</v>
      </c>
      <c r="D57" s="31">
        <f>C57*D33</f>
        <v>22.133800000000001</v>
      </c>
    </row>
    <row r="58" spans="1:4" x14ac:dyDescent="0.3">
      <c r="A58" s="61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61" t="s">
        <v>31</v>
      </c>
      <c r="B59" s="34" t="s">
        <v>78</v>
      </c>
      <c r="C59" s="51">
        <v>0.05</v>
      </c>
      <c r="D59" s="127">
        <f>C59*D33</f>
        <v>110.66900000000001</v>
      </c>
    </row>
    <row r="60" spans="1:4" x14ac:dyDescent="0.3">
      <c r="A60" s="61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537.55859999999996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245.93111111111111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905.02648888888893</v>
      </c>
    </row>
    <row r="66" spans="1:5" x14ac:dyDescent="0.3">
      <c r="A66" s="61" t="s">
        <v>82</v>
      </c>
      <c r="B66" s="25" t="s">
        <v>74</v>
      </c>
      <c r="C66" s="35">
        <f>D61/D33</f>
        <v>0.24286774074040604</v>
      </c>
      <c r="D66" s="10">
        <f>D61</f>
        <v>537.55859999999996</v>
      </c>
    </row>
    <row r="67" spans="1:5" x14ac:dyDescent="0.3">
      <c r="A67" s="253" t="s">
        <v>15</v>
      </c>
      <c r="B67" s="255"/>
      <c r="C67" s="254"/>
      <c r="D67" s="22">
        <f>SUM(D64:D66)</f>
        <v>1688.5162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3193.6145999999999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149956.495</v>
      </c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11996.5196</v>
      </c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4798.6078399999997</v>
      </c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799.22224400000005</v>
      </c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147558.66666666666</v>
      </c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11804.693333333333</v>
      </c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4721.8773333333329</v>
      </c>
      <c r="E79" s="36"/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785.01210666666668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4956.2004960000004</v>
      </c>
    </row>
    <row r="82" spans="1:7" x14ac:dyDescent="0.3">
      <c r="A82" s="253" t="s">
        <v>224</v>
      </c>
      <c r="B82" s="254"/>
      <c r="C82" s="21">
        <f>C81+C76</f>
        <v>1</v>
      </c>
      <c r="D82" s="22">
        <f>((D81+D76)*D70)*C70</f>
        <v>68.681378030666664</v>
      </c>
      <c r="G82" s="52"/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264.70516382167386</v>
      </c>
      <c r="G87" s="57"/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65.911587795309075</v>
      </c>
      <c r="G88" s="57"/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10.7205594606828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11.117617218485867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0.79411551560613336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1.1911732734092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354.44021708516692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INSUMOS!G24</f>
        <v>0.78851851851851851</v>
      </c>
    </row>
    <row r="101" spans="1:4" x14ac:dyDescent="0.3">
      <c r="A101" s="114" t="s">
        <v>26</v>
      </c>
      <c r="B101" s="269" t="s">
        <v>221</v>
      </c>
      <c r="C101" s="270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35.69146401118099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4360.7092591270148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8.8900000000000007E-2</v>
      </c>
      <c r="D110" s="43">
        <f>C110*D105</f>
        <v>387.66705313639164</v>
      </c>
    </row>
    <row r="111" spans="1:4" x14ac:dyDescent="0.3">
      <c r="A111" s="274" t="s">
        <v>4</v>
      </c>
      <c r="B111" s="275"/>
      <c r="C111" s="276"/>
      <c r="D111" s="43">
        <f>D105+D110</f>
        <v>4748.3763122634064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321.93991397145896</v>
      </c>
    </row>
    <row r="113" spans="1:4" x14ac:dyDescent="0.3">
      <c r="A113" s="274" t="s">
        <v>4</v>
      </c>
      <c r="B113" s="275"/>
      <c r="C113" s="275"/>
      <c r="D113" s="43">
        <f>D112+D111</f>
        <v>5070.3162262348651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97.562936131632981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449.38079672752156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295.6452610049484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842.58899386410303</v>
      </c>
    </row>
    <row r="119" spans="1:4" x14ac:dyDescent="0.3">
      <c r="A119" s="253" t="s">
        <v>106</v>
      </c>
      <c r="B119" s="254"/>
      <c r="C119" s="47">
        <f>SUM(C110+C112+C118)</f>
        <v>0.29920000000000002</v>
      </c>
      <c r="D119" s="15">
        <f>SUM(D118+D110+D112)</f>
        <v>1552.1959609719536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2213.38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1688.5162</v>
      </c>
    </row>
    <row r="125" spans="1:4" x14ac:dyDescent="0.3">
      <c r="A125" s="64" t="s">
        <v>26</v>
      </c>
      <c r="B125" s="227" t="s">
        <v>111</v>
      </c>
      <c r="C125" s="228"/>
      <c r="D125" s="10">
        <f>D82</f>
        <v>68.681378030666664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354.44021708516692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35.69146401118099</v>
      </c>
    </row>
    <row r="128" spans="1:4" x14ac:dyDescent="0.3">
      <c r="A128" s="282" t="s">
        <v>114</v>
      </c>
      <c r="B128" s="283"/>
      <c r="C128" s="284"/>
      <c r="D128" s="10">
        <f>SUM(D123:D127)</f>
        <v>4360.7092591270148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1552.1959609719536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5912.9052200989681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5912.9052200989681</v>
      </c>
    </row>
    <row r="134" spans="1:4" x14ac:dyDescent="0.3">
      <c r="A134" s="58"/>
      <c r="B134" s="59" t="s">
        <v>17</v>
      </c>
      <c r="C134" s="60"/>
      <c r="D134" s="55">
        <f>Proposta!E5</f>
        <v>15</v>
      </c>
    </row>
    <row r="135" spans="1:4" x14ac:dyDescent="0.3">
      <c r="A135" s="279" t="s">
        <v>0</v>
      </c>
      <c r="B135" s="280"/>
      <c r="C135" s="281"/>
      <c r="D135" s="56">
        <f>D134*D133</f>
        <v>88693.578301484522</v>
      </c>
    </row>
    <row r="136" spans="1:4" x14ac:dyDescent="0.3">
      <c r="A136" s="279" t="s">
        <v>134</v>
      </c>
      <c r="B136" s="280"/>
      <c r="C136" s="281"/>
      <c r="D136" s="49">
        <f>D135*24</f>
        <v>2128645.8792356285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  <row r="148" spans="1:4" hidden="1" x14ac:dyDescent="0.3"/>
  </sheetData>
  <mergeCells count="82">
    <mergeCell ref="A133:C133"/>
    <mergeCell ref="A135:C135"/>
    <mergeCell ref="A136:C136"/>
    <mergeCell ref="B126:C126"/>
    <mergeCell ref="B127:C127"/>
    <mergeCell ref="A128:C128"/>
    <mergeCell ref="B129:C129"/>
    <mergeCell ref="A130:C130"/>
    <mergeCell ref="A132:C132"/>
    <mergeCell ref="B125:C125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B123:C123"/>
    <mergeCell ref="B124:C124"/>
    <mergeCell ref="A107:D107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105:C105"/>
    <mergeCell ref="A106:D106"/>
    <mergeCell ref="B101:C101"/>
    <mergeCell ref="A94:B9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84:D84"/>
    <mergeCell ref="A85:D85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5"/>
  <dimension ref="A1:WVO147"/>
  <sheetViews>
    <sheetView topLeftCell="A85" zoomScale="80" zoomScaleNormal="80" workbookViewId="0">
      <selection activeCell="A103" sqref="A103:C103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22.85546875" style="1" bestFit="1" customWidth="1"/>
    <col min="8" max="8" width="13.7109375" style="1" customWidth="1"/>
    <col min="9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25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Proposta!E6</f>
        <v>1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1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1601.53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1601.53</v>
      </c>
    </row>
    <row r="28" spans="1:4" x14ac:dyDescent="0.3">
      <c r="A28" s="64" t="s">
        <v>24</v>
      </c>
      <c r="B28" s="63" t="s">
        <v>50</v>
      </c>
      <c r="C28" s="11">
        <v>0.3</v>
      </c>
      <c r="D28" s="10">
        <f>C28*D27</f>
        <v>480.45899999999995</v>
      </c>
    </row>
    <row r="29" spans="1:4" x14ac:dyDescent="0.3">
      <c r="A29" s="64" t="s">
        <v>26</v>
      </c>
      <c r="B29" s="63" t="s">
        <v>51</v>
      </c>
      <c r="C29" s="11">
        <v>0</v>
      </c>
      <c r="D29" s="12">
        <f>C29*D27</f>
        <v>0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2081.989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173.49908333333332</v>
      </c>
    </row>
    <row r="39" spans="1:4" x14ac:dyDescent="0.3">
      <c r="A39" s="100" t="s">
        <v>24</v>
      </c>
      <c r="B39" s="98" t="s">
        <v>160</v>
      </c>
      <c r="C39" s="20">
        <f>(C38*1/3)</f>
        <v>2.7777777777777776E-2</v>
      </c>
      <c r="D39" s="10">
        <f>C39*D33</f>
        <v>57.833027777777772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231.33211111111109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462.66422222222229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57.833027777777787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69.399633333333341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34.699816666666671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23.133211111111113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13.879926666666668</v>
      </c>
    </row>
    <row r="49" spans="1:8" x14ac:dyDescent="0.3">
      <c r="A49" s="61" t="s">
        <v>36</v>
      </c>
      <c r="B49" s="25" t="s">
        <v>70</v>
      </c>
      <c r="C49" s="26">
        <v>2E-3</v>
      </c>
      <c r="D49" s="10">
        <f t="shared" si="0"/>
        <v>4.6266422222222232</v>
      </c>
    </row>
    <row r="50" spans="1:8" x14ac:dyDescent="0.3">
      <c r="A50" s="61" t="s">
        <v>71</v>
      </c>
      <c r="B50" s="25" t="s">
        <v>72</v>
      </c>
      <c r="C50" s="26">
        <v>0.08</v>
      </c>
      <c r="D50" s="10">
        <f t="shared" si="0"/>
        <v>185.0656888888889</v>
      </c>
    </row>
    <row r="51" spans="1:8" x14ac:dyDescent="0.3">
      <c r="A51" s="253" t="s">
        <v>15</v>
      </c>
      <c r="B51" s="254"/>
      <c r="C51" s="28">
        <f>SUM(C43:C50)</f>
        <v>0.36800000000000005</v>
      </c>
      <c r="D51" s="29">
        <f>SUM(D43:D50)</f>
        <v>851.30216888888901</v>
      </c>
    </row>
    <row r="52" spans="1:8" x14ac:dyDescent="0.3">
      <c r="A52" s="240"/>
      <c r="B52" s="241"/>
      <c r="C52" s="241"/>
      <c r="D52" s="242"/>
    </row>
    <row r="53" spans="1:8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8" x14ac:dyDescent="0.3">
      <c r="A54" s="61" t="s">
        <v>48</v>
      </c>
      <c r="B54" s="25" t="s">
        <v>76</v>
      </c>
      <c r="C54" s="30">
        <v>4.18</v>
      </c>
      <c r="D54" s="31">
        <f>(21*2*C54)-(D27*6%)*(56/60)</f>
        <v>85.874320000000012</v>
      </c>
      <c r="G54" s="52"/>
      <c r="H54" s="52"/>
    </row>
    <row r="55" spans="1:8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  <c r="G55" s="52"/>
      <c r="H55" s="52"/>
    </row>
    <row r="56" spans="1:8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  <c r="G56" s="52"/>
    </row>
    <row r="57" spans="1:8" x14ac:dyDescent="0.3">
      <c r="A57" s="114" t="s">
        <v>26</v>
      </c>
      <c r="B57" s="34" t="s">
        <v>214</v>
      </c>
      <c r="C57" s="51">
        <v>0.01</v>
      </c>
      <c r="D57" s="31">
        <f>C57*D33</f>
        <v>20.819890000000001</v>
      </c>
      <c r="G57" s="52"/>
      <c r="H57" s="52"/>
    </row>
    <row r="58" spans="1:8" x14ac:dyDescent="0.3">
      <c r="A58" s="114" t="s">
        <v>28</v>
      </c>
      <c r="B58" s="34" t="s">
        <v>215</v>
      </c>
      <c r="C58" s="51">
        <v>6.0000000000000001E-3</v>
      </c>
      <c r="D58" s="31">
        <f>C58*D27</f>
        <v>9.6091800000000003</v>
      </c>
      <c r="G58" s="52"/>
    </row>
    <row r="59" spans="1:8" x14ac:dyDescent="0.3">
      <c r="A59" s="114" t="s">
        <v>31</v>
      </c>
      <c r="B59" s="34" t="s">
        <v>78</v>
      </c>
      <c r="C59" s="51">
        <v>0.05</v>
      </c>
      <c r="D59" s="127">
        <f>C59*D33</f>
        <v>104.09945</v>
      </c>
      <c r="G59" s="52"/>
    </row>
    <row r="60" spans="1:8" x14ac:dyDescent="0.3">
      <c r="A60" s="114" t="s">
        <v>34</v>
      </c>
      <c r="B60" s="34" t="s">
        <v>54</v>
      </c>
      <c r="C60" s="128"/>
      <c r="D60" s="33">
        <f>C60*D33</f>
        <v>0</v>
      </c>
      <c r="G60" s="52"/>
      <c r="H60" s="96"/>
    </row>
    <row r="61" spans="1:8" x14ac:dyDescent="0.3">
      <c r="A61" s="253" t="s">
        <v>79</v>
      </c>
      <c r="B61" s="255"/>
      <c r="C61" s="254"/>
      <c r="D61" s="22">
        <f>SUM(D54:D60)</f>
        <v>541.53904</v>
      </c>
      <c r="H61" s="119"/>
    </row>
    <row r="62" spans="1:8" x14ac:dyDescent="0.3">
      <c r="A62" s="240"/>
      <c r="B62" s="241"/>
      <c r="C62" s="241"/>
      <c r="D62" s="242"/>
      <c r="H62" s="118"/>
    </row>
    <row r="63" spans="1:8" x14ac:dyDescent="0.3">
      <c r="A63" s="256" t="s">
        <v>80</v>
      </c>
      <c r="B63" s="257"/>
      <c r="C63" s="16" t="s">
        <v>59</v>
      </c>
      <c r="D63" s="16" t="s">
        <v>47</v>
      </c>
      <c r="G63" s="120"/>
    </row>
    <row r="64" spans="1:8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231.33211111111109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851.30216888888901</v>
      </c>
    </row>
    <row r="66" spans="1:5" x14ac:dyDescent="0.3">
      <c r="A66" s="61" t="s">
        <v>82</v>
      </c>
      <c r="B66" s="25" t="s">
        <v>74</v>
      </c>
      <c r="C66" s="35">
        <f>D61/D33</f>
        <v>0.26010658077444215</v>
      </c>
      <c r="D66" s="10">
        <f>D61</f>
        <v>541.53904</v>
      </c>
    </row>
    <row r="67" spans="1:5" x14ac:dyDescent="0.3">
      <c r="A67" s="253" t="s">
        <v>15</v>
      </c>
      <c r="B67" s="255"/>
      <c r="C67" s="254"/>
      <c r="D67" s="22">
        <f>SUM(D64:D66)</f>
        <v>1624.1733200000003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65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61" t="s">
        <v>48</v>
      </c>
      <c r="B72" s="25" t="s">
        <v>210</v>
      </c>
      <c r="C72" s="125" t="s">
        <v>211</v>
      </c>
      <c r="D72" s="37">
        <f>D33+D64+D66+D50</f>
        <v>3039.9258400000003</v>
      </c>
      <c r="E72" s="36"/>
    </row>
    <row r="73" spans="1:5" x14ac:dyDescent="0.3">
      <c r="A73" s="61" t="s">
        <v>152</v>
      </c>
      <c r="B73" s="25" t="s">
        <v>165</v>
      </c>
      <c r="C73" s="124">
        <v>61</v>
      </c>
      <c r="D73" s="37">
        <f>((D33+D40)*(C73-1))+(D33+D38)</f>
        <v>141054.75475000002</v>
      </c>
      <c r="E73" s="36"/>
    </row>
    <row r="74" spans="1:5" x14ac:dyDescent="0.3">
      <c r="A74" s="61" t="s">
        <v>161</v>
      </c>
      <c r="B74" s="25" t="s">
        <v>84</v>
      </c>
      <c r="C74" s="35">
        <f>C50</f>
        <v>0.08</v>
      </c>
      <c r="D74" s="37">
        <f>C74*D73</f>
        <v>11284.380380000002</v>
      </c>
      <c r="E74" s="36"/>
    </row>
    <row r="75" spans="1:5" x14ac:dyDescent="0.3">
      <c r="A75" s="61" t="s">
        <v>162</v>
      </c>
      <c r="B75" s="25" t="s">
        <v>205</v>
      </c>
      <c r="C75" s="35">
        <v>0.4</v>
      </c>
      <c r="D75" s="37">
        <f>C75*D74</f>
        <v>4513.7521520000009</v>
      </c>
      <c r="E75" s="36"/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755.36779920000015</v>
      </c>
      <c r="E76" s="36"/>
    </row>
    <row r="77" spans="1:5" x14ac:dyDescent="0.3">
      <c r="A77" s="61" t="s">
        <v>122</v>
      </c>
      <c r="B77" s="25" t="s">
        <v>165</v>
      </c>
      <c r="C77" s="126">
        <v>60</v>
      </c>
      <c r="D77" s="10">
        <f>(D33+D40)*C77</f>
        <v>138799.26666666669</v>
      </c>
    </row>
    <row r="78" spans="1:5" x14ac:dyDescent="0.3">
      <c r="A78" s="61" t="s">
        <v>163</v>
      </c>
      <c r="B78" s="25" t="s">
        <v>85</v>
      </c>
      <c r="C78" s="35">
        <f>C50</f>
        <v>0.08</v>
      </c>
      <c r="D78" s="10">
        <f>C78*D77</f>
        <v>11103.941333333336</v>
      </c>
    </row>
    <row r="79" spans="1:5" x14ac:dyDescent="0.3">
      <c r="A79" s="61" t="s">
        <v>164</v>
      </c>
      <c r="B79" s="25" t="s">
        <v>206</v>
      </c>
      <c r="C79" s="35">
        <v>0.4</v>
      </c>
      <c r="D79" s="37">
        <f>(C79*D78)</f>
        <v>4441.5765333333347</v>
      </c>
      <c r="E79" s="36"/>
    </row>
    <row r="80" spans="1:5" x14ac:dyDescent="0.3">
      <c r="A80" s="61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738.41209866666679</v>
      </c>
    </row>
    <row r="81" spans="1:8" x14ac:dyDescent="0.3">
      <c r="A81" s="114" t="s">
        <v>4</v>
      </c>
      <c r="B81" s="123" t="s">
        <v>207</v>
      </c>
      <c r="C81" s="66">
        <v>0.9</v>
      </c>
      <c r="D81" s="106">
        <f>(C81*(D79+D80))</f>
        <v>4661.989768800001</v>
      </c>
    </row>
    <row r="82" spans="1:8" x14ac:dyDescent="0.3">
      <c r="A82" s="253" t="s">
        <v>86</v>
      </c>
      <c r="B82" s="254"/>
      <c r="C82" s="21">
        <f>C81+C76</f>
        <v>1</v>
      </c>
      <c r="D82" s="22">
        <f>((D81+D76)*D70)*C70</f>
        <v>64.647133644800022</v>
      </c>
      <c r="G82" s="52"/>
    </row>
    <row r="83" spans="1:8" x14ac:dyDescent="0.3">
      <c r="A83" s="240"/>
      <c r="B83" s="241"/>
      <c r="C83" s="241"/>
      <c r="D83" s="242"/>
      <c r="G83" s="52"/>
    </row>
    <row r="84" spans="1:8" x14ac:dyDescent="0.3">
      <c r="A84" s="250" t="s">
        <v>87</v>
      </c>
      <c r="B84" s="251"/>
      <c r="C84" s="251"/>
      <c r="D84" s="252"/>
      <c r="G84" s="52"/>
    </row>
    <row r="85" spans="1:8" x14ac:dyDescent="0.3">
      <c r="A85" s="260"/>
      <c r="B85" s="261"/>
      <c r="C85" s="261"/>
      <c r="D85" s="262"/>
      <c r="G85" s="52"/>
    </row>
    <row r="86" spans="1:8" x14ac:dyDescent="0.3">
      <c r="A86" s="16" t="s">
        <v>88</v>
      </c>
      <c r="B86" s="23" t="s">
        <v>89</v>
      </c>
      <c r="C86" s="21" t="s">
        <v>59</v>
      </c>
      <c r="D86" s="16" t="s">
        <v>47</v>
      </c>
      <c r="G86" s="52"/>
    </row>
    <row r="87" spans="1:8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251.3872892674795</v>
      </c>
      <c r="G87" s="121"/>
      <c r="H87" s="52"/>
    </row>
    <row r="88" spans="1:8" x14ac:dyDescent="0.3">
      <c r="A88" s="61" t="s">
        <v>24</v>
      </c>
      <c r="B88" s="25" t="s">
        <v>167</v>
      </c>
      <c r="C88" s="38">
        <v>1.66E-2</v>
      </c>
      <c r="D88" s="37">
        <f>C88*(D33+D67+D82)</f>
        <v>62.595436930503688</v>
      </c>
      <c r="G88" s="121"/>
    </row>
    <row r="89" spans="1:8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10.181185524840961</v>
      </c>
      <c r="G89" s="121"/>
    </row>
    <row r="90" spans="1:8" x14ac:dyDescent="0.3">
      <c r="A90" s="61" t="s">
        <v>28</v>
      </c>
      <c r="B90" s="25" t="s">
        <v>166</v>
      </c>
      <c r="C90" s="38">
        <v>2.8E-3</v>
      </c>
      <c r="D90" s="37">
        <f>C90*(D33+D67+D82)</f>
        <v>10.558266470205441</v>
      </c>
      <c r="G90" s="52" t="s">
        <v>154</v>
      </c>
    </row>
    <row r="91" spans="1:8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0.75416189072896012</v>
      </c>
    </row>
    <row r="92" spans="1:8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1.1312428360934399</v>
      </c>
    </row>
    <row r="93" spans="1:8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8" x14ac:dyDescent="0.3">
      <c r="A94" s="253" t="s">
        <v>15</v>
      </c>
      <c r="B94" s="254"/>
      <c r="C94" s="21">
        <f>SUM(C87:C93)</f>
        <v>8.9266664639999993E-2</v>
      </c>
      <c r="D94" s="22">
        <f>SUM(D87:D93)</f>
        <v>336.60758291985201</v>
      </c>
      <c r="G94" s="52"/>
    </row>
    <row r="95" spans="1:8" x14ac:dyDescent="0.3">
      <c r="A95" s="240"/>
      <c r="B95" s="241"/>
      <c r="C95" s="241"/>
      <c r="D95" s="242"/>
    </row>
    <row r="96" spans="1:8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INSUMOS!G24</f>
        <v>0.78851851851851851</v>
      </c>
    </row>
    <row r="101" spans="1:4" x14ac:dyDescent="0.3">
      <c r="A101" s="114" t="s">
        <v>26</v>
      </c>
      <c r="B101" s="269" t="s">
        <v>221</v>
      </c>
      <c r="C101" s="270"/>
      <c r="D101" s="112">
        <f>INSUMOS!G42</f>
        <v>5.4657232704402512</v>
      </c>
    </row>
    <row r="102" spans="1:4" x14ac:dyDescent="0.3">
      <c r="A102" s="61" t="s">
        <v>28</v>
      </c>
      <c r="B102" s="287" t="s">
        <v>227</v>
      </c>
      <c r="C102" s="288"/>
      <c r="D102" s="40">
        <f>((66.8*12)/24)+(1400*0.11)</f>
        <v>187.4</v>
      </c>
    </row>
    <row r="103" spans="1:4" x14ac:dyDescent="0.3">
      <c r="A103" s="253" t="s">
        <v>95</v>
      </c>
      <c r="B103" s="255"/>
      <c r="C103" s="254"/>
      <c r="D103" s="22">
        <f>SUM(D99:D102)</f>
        <v>223.09146401118099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4330.5085005758338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8.8900000000000007E-2</v>
      </c>
      <c r="D110" s="43">
        <f>C110*D105</f>
        <v>384.98220570119167</v>
      </c>
    </row>
    <row r="111" spans="1:4" x14ac:dyDescent="0.3">
      <c r="A111" s="274" t="s">
        <v>4</v>
      </c>
      <c r="B111" s="275"/>
      <c r="C111" s="276"/>
      <c r="D111" s="43">
        <f>D105+D110</f>
        <v>4715.4907062770253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319.71026988558231</v>
      </c>
    </row>
    <row r="113" spans="1:4" x14ac:dyDescent="0.3">
      <c r="A113" s="274" t="s">
        <v>4</v>
      </c>
      <c r="B113" s="275"/>
      <c r="C113" s="275"/>
      <c r="D113" s="43">
        <f>D112+D111</f>
        <v>5035.2009761626077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96.887249104003544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446.26854132753147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293.5977245575865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836.75351498912153</v>
      </c>
    </row>
    <row r="119" spans="1:4" x14ac:dyDescent="0.3">
      <c r="A119" s="253" t="s">
        <v>106</v>
      </c>
      <c r="B119" s="254"/>
      <c r="C119" s="47">
        <f>SUM(C110+C112+C118)</f>
        <v>0.29920000000000002</v>
      </c>
      <c r="D119" s="15">
        <f>SUM(D118+D110+D112)</f>
        <v>1541.4459905758954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2081.989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1624.1733200000003</v>
      </c>
    </row>
    <row r="125" spans="1:4" x14ac:dyDescent="0.3">
      <c r="A125" s="64" t="s">
        <v>26</v>
      </c>
      <c r="B125" s="227" t="s">
        <v>111</v>
      </c>
      <c r="C125" s="228"/>
      <c r="D125" s="10">
        <f>D82</f>
        <v>64.647133644800022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336.60758291985201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223.09146401118099</v>
      </c>
    </row>
    <row r="128" spans="1:4" x14ac:dyDescent="0.3">
      <c r="A128" s="282" t="s">
        <v>114</v>
      </c>
      <c r="B128" s="283"/>
      <c r="C128" s="284"/>
      <c r="D128" s="10">
        <f>SUM(D123:D127)</f>
        <v>4330.5085005758338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1541.4459905758954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5871.9544911517296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5871.9544911517296</v>
      </c>
    </row>
    <row r="134" spans="1:4" x14ac:dyDescent="0.3">
      <c r="A134" s="58"/>
      <c r="B134" s="59" t="s">
        <v>17</v>
      </c>
      <c r="C134" s="60"/>
      <c r="D134" s="55">
        <f>Proposta!E6</f>
        <v>1</v>
      </c>
    </row>
    <row r="135" spans="1:4" x14ac:dyDescent="0.3">
      <c r="A135" s="279" t="s">
        <v>0</v>
      </c>
      <c r="B135" s="280"/>
      <c r="C135" s="281"/>
      <c r="D135" s="56">
        <f>D134*D133</f>
        <v>5871.9544911517296</v>
      </c>
    </row>
    <row r="136" spans="1:4" x14ac:dyDescent="0.3">
      <c r="A136" s="279" t="s">
        <v>134</v>
      </c>
      <c r="B136" s="280"/>
      <c r="C136" s="281"/>
      <c r="D136" s="49">
        <f>D135*24</f>
        <v>140926.90778764151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</sheetData>
  <mergeCells count="82">
    <mergeCell ref="A133:C133"/>
    <mergeCell ref="A135:C135"/>
    <mergeCell ref="A136:C136"/>
    <mergeCell ref="B126:C126"/>
    <mergeCell ref="B127:C127"/>
    <mergeCell ref="A128:C128"/>
    <mergeCell ref="B129:C129"/>
    <mergeCell ref="A130:C130"/>
    <mergeCell ref="A132:C132"/>
    <mergeCell ref="B125:C125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B123:C123"/>
    <mergeCell ref="B124:C124"/>
    <mergeCell ref="A107:D107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105:C105"/>
    <mergeCell ref="A106:D106"/>
    <mergeCell ref="B101:C101"/>
    <mergeCell ref="A94:B9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84:D84"/>
    <mergeCell ref="A85:D85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6">
    <pageSetUpPr autoPageBreaks="0"/>
  </sheetPr>
  <dimension ref="A1:WVO145"/>
  <sheetViews>
    <sheetView topLeftCell="A82" zoomScale="80" zoomScaleNormal="80" workbookViewId="0">
      <selection activeCell="A52" sqref="A52:B52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8" width="10.28515625" style="1" customWidth="1"/>
    <col min="9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25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v>2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Proposta!E7</f>
        <v>2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1587.72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1587.72</v>
      </c>
    </row>
    <row r="28" spans="1:4" x14ac:dyDescent="0.3">
      <c r="A28" s="64" t="s">
        <v>24</v>
      </c>
      <c r="B28" s="63" t="s">
        <v>50</v>
      </c>
      <c r="C28" s="11">
        <v>0.3</v>
      </c>
      <c r="D28" s="10">
        <f>C28*D27</f>
        <v>476.31599999999997</v>
      </c>
    </row>
    <row r="29" spans="1:4" x14ac:dyDescent="0.3">
      <c r="A29" s="64" t="s">
        <v>26</v>
      </c>
      <c r="B29" s="63" t="s">
        <v>51</v>
      </c>
      <c r="C29" s="11">
        <v>0</v>
      </c>
      <c r="D29" s="12">
        <f>C29*D27</f>
        <v>0</v>
      </c>
    </row>
    <row r="30" spans="1:4" x14ac:dyDescent="0.3">
      <c r="A30" s="91" t="s">
        <v>157</v>
      </c>
      <c r="B30" s="92" t="s">
        <v>156</v>
      </c>
      <c r="C30" s="93">
        <v>4</v>
      </c>
      <c r="D30" s="94">
        <f>(SUM(D27:D29)/C27)*C30*1.5</f>
        <v>56.29189090909091</v>
      </c>
    </row>
    <row r="31" spans="1:4" x14ac:dyDescent="0.3">
      <c r="A31" s="91" t="s">
        <v>158</v>
      </c>
      <c r="B31" s="103" t="s">
        <v>169</v>
      </c>
      <c r="C31" s="99">
        <f>(20+12.5)%*50%</f>
        <v>0.16250000000000001</v>
      </c>
      <c r="D31" s="94">
        <f>C31*D30</f>
        <v>9.1474322727272739</v>
      </c>
    </row>
    <row r="32" spans="1:4" x14ac:dyDescent="0.3">
      <c r="A32" s="91" t="s">
        <v>159</v>
      </c>
      <c r="B32" s="92" t="s">
        <v>155</v>
      </c>
      <c r="C32" s="95">
        <f>2.973%</f>
        <v>2.9729999999999999E-2</v>
      </c>
      <c r="D32" s="94">
        <f>((SUM(D27:D29)/C27)*C30)*C32</f>
        <v>1.115705277818182</v>
      </c>
    </row>
    <row r="33" spans="1:7" x14ac:dyDescent="0.3">
      <c r="A33" s="64" t="s">
        <v>31</v>
      </c>
      <c r="B33" s="13" t="s">
        <v>54</v>
      </c>
      <c r="C33" s="14">
        <v>0</v>
      </c>
      <c r="D33" s="90">
        <f>C33*D20</f>
        <v>0</v>
      </c>
    </row>
    <row r="34" spans="1:7" x14ac:dyDescent="0.3">
      <c r="A34" s="246" t="s">
        <v>55</v>
      </c>
      <c r="B34" s="248"/>
      <c r="C34" s="247"/>
      <c r="D34" s="15">
        <f>SUM(D27:D33)</f>
        <v>2130.5910284596362</v>
      </c>
    </row>
    <row r="35" spans="1:7" x14ac:dyDescent="0.3">
      <c r="A35" s="249"/>
      <c r="B35" s="249"/>
      <c r="C35" s="249"/>
      <c r="D35" s="249"/>
    </row>
    <row r="36" spans="1:7" x14ac:dyDescent="0.3">
      <c r="A36" s="250" t="s">
        <v>154</v>
      </c>
      <c r="B36" s="251"/>
      <c r="C36" s="251"/>
      <c r="D36" s="252"/>
      <c r="G36" s="57"/>
    </row>
    <row r="37" spans="1:7" x14ac:dyDescent="0.3">
      <c r="A37" s="240"/>
      <c r="B37" s="241"/>
      <c r="C37" s="241"/>
      <c r="D37" s="242"/>
    </row>
    <row r="38" spans="1:7" x14ac:dyDescent="0.3">
      <c r="A38" s="16" t="s">
        <v>57</v>
      </c>
      <c r="B38" s="17" t="s">
        <v>58</v>
      </c>
      <c r="C38" s="16" t="s">
        <v>59</v>
      </c>
      <c r="D38" s="16" t="s">
        <v>47</v>
      </c>
    </row>
    <row r="39" spans="1:7" x14ac:dyDescent="0.3">
      <c r="A39" s="18" t="s">
        <v>48</v>
      </c>
      <c r="B39" s="19" t="s">
        <v>60</v>
      </c>
      <c r="C39" s="20">
        <f>1/12</f>
        <v>8.3333333333333329E-2</v>
      </c>
      <c r="D39" s="10">
        <f>C39*D34</f>
        <v>177.54925237163633</v>
      </c>
    </row>
    <row r="40" spans="1:7" x14ac:dyDescent="0.3">
      <c r="A40" s="100" t="s">
        <v>24</v>
      </c>
      <c r="B40" s="98" t="s">
        <v>160</v>
      </c>
      <c r="C40" s="20">
        <f>(C39*1/3)</f>
        <v>2.7777777777777776E-2</v>
      </c>
      <c r="D40" s="37">
        <f>C40*D34</f>
        <v>59.183084123878778</v>
      </c>
    </row>
    <row r="41" spans="1:7" x14ac:dyDescent="0.3">
      <c r="A41" s="253" t="s">
        <v>15</v>
      </c>
      <c r="B41" s="254"/>
      <c r="C41" s="21">
        <f>SUM(C39:C40)</f>
        <v>0.1111111111111111</v>
      </c>
      <c r="D41" s="22">
        <f>SUM(D39:D40)</f>
        <v>236.73233649551511</v>
      </c>
    </row>
    <row r="42" spans="1:7" x14ac:dyDescent="0.3">
      <c r="A42" s="240"/>
      <c r="B42" s="241"/>
      <c r="C42" s="241"/>
      <c r="D42" s="242"/>
      <c r="G42" s="96"/>
    </row>
    <row r="43" spans="1:7" x14ac:dyDescent="0.3">
      <c r="A43" s="16" t="s">
        <v>62</v>
      </c>
      <c r="B43" s="23" t="s">
        <v>63</v>
      </c>
      <c r="C43" s="16" t="s">
        <v>59</v>
      </c>
      <c r="D43" s="24" t="s">
        <v>47</v>
      </c>
    </row>
    <row r="44" spans="1:7" x14ac:dyDescent="0.3">
      <c r="A44" s="61" t="s">
        <v>48</v>
      </c>
      <c r="B44" s="25" t="s">
        <v>64</v>
      </c>
      <c r="C44" s="26">
        <v>0.2</v>
      </c>
      <c r="D44" s="10">
        <f t="shared" ref="D44:D51" si="0">C44*($D$34+$D$41)</f>
        <v>473.46467299103028</v>
      </c>
    </row>
    <row r="45" spans="1:7" x14ac:dyDescent="0.3">
      <c r="A45" s="61" t="s">
        <v>24</v>
      </c>
      <c r="B45" s="25" t="s">
        <v>65</v>
      </c>
      <c r="C45" s="26">
        <v>2.5000000000000001E-2</v>
      </c>
      <c r="D45" s="10">
        <f t="shared" si="0"/>
        <v>59.183084123878785</v>
      </c>
    </row>
    <row r="46" spans="1:7" x14ac:dyDescent="0.3">
      <c r="A46" s="61" t="s">
        <v>26</v>
      </c>
      <c r="B46" s="25" t="s">
        <v>66</v>
      </c>
      <c r="C46" s="27">
        <v>0.03</v>
      </c>
      <c r="D46" s="10">
        <f t="shared" si="0"/>
        <v>71.019700948654531</v>
      </c>
    </row>
    <row r="47" spans="1:7" x14ac:dyDescent="0.3">
      <c r="A47" s="61" t="s">
        <v>28</v>
      </c>
      <c r="B47" s="25" t="s">
        <v>67</v>
      </c>
      <c r="C47" s="26">
        <v>1.4999999999999999E-2</v>
      </c>
      <c r="D47" s="10">
        <f t="shared" si="0"/>
        <v>35.509850474327266</v>
      </c>
    </row>
    <row r="48" spans="1:7" x14ac:dyDescent="0.3">
      <c r="A48" s="61" t="s">
        <v>31</v>
      </c>
      <c r="B48" s="25" t="s">
        <v>68</v>
      </c>
      <c r="C48" s="26">
        <v>0.01</v>
      </c>
      <c r="D48" s="10">
        <f t="shared" si="0"/>
        <v>23.673233649551513</v>
      </c>
    </row>
    <row r="49" spans="1:7" x14ac:dyDescent="0.3">
      <c r="A49" s="61" t="s">
        <v>34</v>
      </c>
      <c r="B49" s="25" t="s">
        <v>69</v>
      </c>
      <c r="C49" s="26">
        <v>6.0000000000000001E-3</v>
      </c>
      <c r="D49" s="10">
        <f t="shared" si="0"/>
        <v>14.203940189730908</v>
      </c>
    </row>
    <row r="50" spans="1:7" x14ac:dyDescent="0.3">
      <c r="A50" s="61" t="s">
        <v>36</v>
      </c>
      <c r="B50" s="25" t="s">
        <v>70</v>
      </c>
      <c r="C50" s="26">
        <v>2E-3</v>
      </c>
      <c r="D50" s="10">
        <f t="shared" si="0"/>
        <v>4.7346467299103026</v>
      </c>
    </row>
    <row r="51" spans="1:7" x14ac:dyDescent="0.3">
      <c r="A51" s="61" t="s">
        <v>71</v>
      </c>
      <c r="B51" s="25" t="s">
        <v>72</v>
      </c>
      <c r="C51" s="26">
        <v>0.08</v>
      </c>
      <c r="D51" s="10">
        <f t="shared" si="0"/>
        <v>189.3858691964121</v>
      </c>
    </row>
    <row r="52" spans="1:7" x14ac:dyDescent="0.3">
      <c r="A52" s="253" t="s">
        <v>15</v>
      </c>
      <c r="B52" s="254"/>
      <c r="C52" s="28">
        <f>SUM(C44:C51)</f>
        <v>0.36800000000000005</v>
      </c>
      <c r="D52" s="29">
        <f>SUM(D44:D51)</f>
        <v>871.17499830349584</v>
      </c>
    </row>
    <row r="53" spans="1:7" x14ac:dyDescent="0.3">
      <c r="A53" s="240"/>
      <c r="B53" s="241"/>
      <c r="C53" s="241"/>
      <c r="D53" s="242"/>
    </row>
    <row r="54" spans="1:7" x14ac:dyDescent="0.3">
      <c r="A54" s="16" t="s">
        <v>73</v>
      </c>
      <c r="B54" s="23" t="s">
        <v>74</v>
      </c>
      <c r="C54" s="16" t="s">
        <v>75</v>
      </c>
      <c r="D54" s="16" t="s">
        <v>47</v>
      </c>
    </row>
    <row r="55" spans="1:7" x14ac:dyDescent="0.3">
      <c r="A55" s="61" t="s">
        <v>48</v>
      </c>
      <c r="B55" s="25" t="s">
        <v>76</v>
      </c>
      <c r="C55" s="30">
        <v>4.18</v>
      </c>
      <c r="D55" s="31">
        <f>((21*2*C55)-(D27*6%))*(56/60)</f>
        <v>74.943680000000001</v>
      </c>
    </row>
    <row r="56" spans="1:7" x14ac:dyDescent="0.3">
      <c r="A56" s="61" t="s">
        <v>24</v>
      </c>
      <c r="B56" s="25" t="s">
        <v>77</v>
      </c>
      <c r="C56" s="32">
        <v>16.55</v>
      </c>
      <c r="D56" s="31">
        <f>(C56*21)*(56/60)</f>
        <v>324.38</v>
      </c>
      <c r="G56" s="96"/>
    </row>
    <row r="57" spans="1:7" x14ac:dyDescent="0.3">
      <c r="A57" s="114" t="s">
        <v>122</v>
      </c>
      <c r="B57" s="25" t="s">
        <v>123</v>
      </c>
      <c r="C57" s="51">
        <v>-0.01</v>
      </c>
      <c r="D57" s="31">
        <f>C57*D56</f>
        <v>-3.2438000000000002</v>
      </c>
      <c r="G57" s="52"/>
    </row>
    <row r="58" spans="1:7" x14ac:dyDescent="0.3">
      <c r="A58" s="114" t="s">
        <v>26</v>
      </c>
      <c r="B58" s="34" t="s">
        <v>214</v>
      </c>
      <c r="C58" s="51">
        <v>0.01</v>
      </c>
      <c r="D58" s="31">
        <f>C58*D34</f>
        <v>21.305910284596361</v>
      </c>
    </row>
    <row r="59" spans="1:7" x14ac:dyDescent="0.3">
      <c r="A59" s="114" t="s">
        <v>28</v>
      </c>
      <c r="B59" s="34" t="s">
        <v>215</v>
      </c>
      <c r="C59" s="51">
        <v>6.0000000000000001E-3</v>
      </c>
      <c r="D59" s="31">
        <f>C59*D27</f>
        <v>9.5263200000000001</v>
      </c>
    </row>
    <row r="60" spans="1:7" x14ac:dyDescent="0.3">
      <c r="A60" s="114" t="s">
        <v>31</v>
      </c>
      <c r="B60" s="34" t="s">
        <v>78</v>
      </c>
      <c r="C60" s="51">
        <v>0.05</v>
      </c>
      <c r="D60" s="127">
        <f>C60*D34</f>
        <v>106.52955142298181</v>
      </c>
    </row>
    <row r="61" spans="1:7" x14ac:dyDescent="0.3">
      <c r="A61" s="114" t="s">
        <v>34</v>
      </c>
      <c r="B61" s="34" t="s">
        <v>54</v>
      </c>
      <c r="C61" s="128"/>
      <c r="D61" s="33">
        <f>C61*D34</f>
        <v>0</v>
      </c>
    </row>
    <row r="62" spans="1:7" x14ac:dyDescent="0.3">
      <c r="A62" s="253" t="s">
        <v>79</v>
      </c>
      <c r="B62" s="255"/>
      <c r="C62" s="254"/>
      <c r="D62" s="22">
        <f>SUM(D55:D61)</f>
        <v>533.44166170757808</v>
      </c>
    </row>
    <row r="63" spans="1:7" x14ac:dyDescent="0.3">
      <c r="A63" s="240"/>
      <c r="B63" s="241"/>
      <c r="C63" s="241"/>
      <c r="D63" s="242"/>
      <c r="G63" s="52"/>
    </row>
    <row r="64" spans="1:7" x14ac:dyDescent="0.3">
      <c r="A64" s="256" t="s">
        <v>80</v>
      </c>
      <c r="B64" s="257"/>
      <c r="C64" s="16" t="s">
        <v>59</v>
      </c>
      <c r="D64" s="16" t="s">
        <v>47</v>
      </c>
      <c r="G64" s="52"/>
    </row>
    <row r="65" spans="1:7" x14ac:dyDescent="0.3">
      <c r="A65" s="61" t="s">
        <v>81</v>
      </c>
      <c r="B65" s="25" t="s">
        <v>58</v>
      </c>
      <c r="C65" s="35">
        <f>C41</f>
        <v>0.1111111111111111</v>
      </c>
      <c r="D65" s="10">
        <f>D41</f>
        <v>236.73233649551511</v>
      </c>
    </row>
    <row r="66" spans="1:7" x14ac:dyDescent="0.3">
      <c r="A66" s="61" t="s">
        <v>62</v>
      </c>
      <c r="B66" s="25" t="s">
        <v>63</v>
      </c>
      <c r="C66" s="35">
        <f>C52</f>
        <v>0.36800000000000005</v>
      </c>
      <c r="D66" s="10">
        <f>D52</f>
        <v>871.17499830349584</v>
      </c>
    </row>
    <row r="67" spans="1:7" x14ac:dyDescent="0.3">
      <c r="A67" s="61" t="s">
        <v>82</v>
      </c>
      <c r="B67" s="25" t="s">
        <v>74</v>
      </c>
      <c r="C67" s="35">
        <f>D62/D34</f>
        <v>0.25037262176647906</v>
      </c>
      <c r="D67" s="10">
        <f>D62</f>
        <v>533.44166170757808</v>
      </c>
    </row>
    <row r="68" spans="1:7" x14ac:dyDescent="0.3">
      <c r="A68" s="253" t="s">
        <v>15</v>
      </c>
      <c r="B68" s="255"/>
      <c r="C68" s="254"/>
      <c r="D68" s="22">
        <f>SUM(D65:D67)</f>
        <v>1641.3489965065889</v>
      </c>
    </row>
    <row r="69" spans="1:7" x14ac:dyDescent="0.3">
      <c r="A69" s="240"/>
      <c r="B69" s="241"/>
      <c r="C69" s="241"/>
      <c r="D69" s="242"/>
    </row>
    <row r="70" spans="1:7" x14ac:dyDescent="0.3">
      <c r="A70" s="250" t="s">
        <v>151</v>
      </c>
      <c r="B70" s="251"/>
      <c r="C70" s="251"/>
      <c r="D70" s="252"/>
    </row>
    <row r="71" spans="1:7" x14ac:dyDescent="0.3">
      <c r="A71" s="258" t="s">
        <v>172</v>
      </c>
      <c r="B71" s="289"/>
      <c r="C71" s="104">
        <v>0.71599999999999997</v>
      </c>
      <c r="D71" s="105">
        <f>1/60</f>
        <v>1.6666666666666666E-2</v>
      </c>
    </row>
    <row r="72" spans="1:7" x14ac:dyDescent="0.3">
      <c r="A72" s="117">
        <v>3</v>
      </c>
      <c r="B72" s="23" t="s">
        <v>83</v>
      </c>
      <c r="C72" s="16" t="s">
        <v>59</v>
      </c>
      <c r="D72" s="16" t="s">
        <v>47</v>
      </c>
      <c r="G72" s="52"/>
    </row>
    <row r="73" spans="1:7" x14ac:dyDescent="0.3">
      <c r="A73" s="114" t="s">
        <v>48</v>
      </c>
      <c r="B73" s="25" t="s">
        <v>213</v>
      </c>
      <c r="C73" s="125" t="s">
        <v>211</v>
      </c>
      <c r="D73" s="37">
        <f>D34+D65+D67+D51</f>
        <v>3090.1508958591412</v>
      </c>
      <c r="E73" s="36"/>
    </row>
    <row r="74" spans="1:7" x14ac:dyDescent="0.3">
      <c r="A74" s="114" t="s">
        <v>152</v>
      </c>
      <c r="B74" s="25" t="s">
        <v>165</v>
      </c>
      <c r="C74" s="124">
        <v>61</v>
      </c>
      <c r="D74" s="135">
        <f>((D34+D41)*(C74-1))+(D34+D39)</f>
        <v>144347.54217814034</v>
      </c>
      <c r="E74" s="36"/>
    </row>
    <row r="75" spans="1:7" x14ac:dyDescent="0.3">
      <c r="A75" s="114" t="s">
        <v>161</v>
      </c>
      <c r="B75" s="25" t="s">
        <v>84</v>
      </c>
      <c r="C75" s="35">
        <f>C51</f>
        <v>0.08</v>
      </c>
      <c r="D75" s="37">
        <f>C75*D74</f>
        <v>11547.803374251227</v>
      </c>
    </row>
    <row r="76" spans="1:7" x14ac:dyDescent="0.3">
      <c r="A76" s="114" t="s">
        <v>162</v>
      </c>
      <c r="B76" s="25" t="s">
        <v>205</v>
      </c>
      <c r="C76" s="35">
        <v>0.4</v>
      </c>
      <c r="D76" s="37">
        <f>C76*D75</f>
        <v>4619.121349700491</v>
      </c>
      <c r="G76" s="107"/>
    </row>
    <row r="77" spans="1:7" x14ac:dyDescent="0.3">
      <c r="A77" s="114" t="s">
        <v>209</v>
      </c>
      <c r="B77" s="123" t="s">
        <v>208</v>
      </c>
      <c r="C77" s="66">
        <v>0.1</v>
      </c>
      <c r="D77" s="106">
        <f>((D76+D73)*C77)</f>
        <v>770.92722455596322</v>
      </c>
      <c r="G77" s="107"/>
    </row>
    <row r="78" spans="1:7" x14ac:dyDescent="0.3">
      <c r="A78" s="114" t="s">
        <v>122</v>
      </c>
      <c r="B78" s="25" t="s">
        <v>165</v>
      </c>
      <c r="C78" s="126">
        <v>60</v>
      </c>
      <c r="D78" s="10">
        <f>(D34+D41)*C78</f>
        <v>142039.40189730906</v>
      </c>
      <c r="E78" s="36"/>
      <c r="G78" s="107"/>
    </row>
    <row r="79" spans="1:7" x14ac:dyDescent="0.3">
      <c r="A79" s="114" t="s">
        <v>163</v>
      </c>
      <c r="B79" s="25" t="s">
        <v>85</v>
      </c>
      <c r="C79" s="35">
        <f>C51</f>
        <v>0.08</v>
      </c>
      <c r="D79" s="10">
        <f>C79*D78</f>
        <v>11363.152151784725</v>
      </c>
      <c r="G79" s="107"/>
    </row>
    <row r="80" spans="1:7" x14ac:dyDescent="0.3">
      <c r="A80" s="114" t="s">
        <v>164</v>
      </c>
      <c r="B80" s="25" t="s">
        <v>206</v>
      </c>
      <c r="C80" s="35">
        <v>0.4</v>
      </c>
      <c r="D80" s="37">
        <f>(C80*D79)</f>
        <v>4545.26086071389</v>
      </c>
    </row>
    <row r="81" spans="1:8" x14ac:dyDescent="0.3">
      <c r="A81" s="114" t="s">
        <v>170</v>
      </c>
      <c r="B81" s="25" t="str">
        <f>"+ 7 dias ( parágrafo único do art. 488 da CLT)"</f>
        <v>+ 7 dias ( parágrafo único do art. 488 da CLT)</v>
      </c>
      <c r="C81" s="35">
        <f>((1/30)*7)</f>
        <v>0.23333333333333334</v>
      </c>
      <c r="D81" s="37">
        <f>C81*(D34+D41+D52)</f>
        <v>755.64961809368435</v>
      </c>
      <c r="G81" s="52"/>
    </row>
    <row r="82" spans="1:8" x14ac:dyDescent="0.3">
      <c r="A82" s="114" t="s">
        <v>4</v>
      </c>
      <c r="B82" s="123" t="s">
        <v>207</v>
      </c>
      <c r="C82" s="66">
        <v>0.9</v>
      </c>
      <c r="D82" s="106">
        <f>(C82*(D80+D81))</f>
        <v>4770.8194309268174</v>
      </c>
      <c r="G82" s="52"/>
    </row>
    <row r="83" spans="1:8" x14ac:dyDescent="0.3">
      <c r="A83" s="253" t="s">
        <v>86</v>
      </c>
      <c r="B83" s="254"/>
      <c r="C83" s="21">
        <f>C82+C77</f>
        <v>1</v>
      </c>
      <c r="D83" s="22">
        <f>((D82+D77)*D71)*C71</f>
        <v>66.131510088761175</v>
      </c>
      <c r="G83" s="107"/>
    </row>
    <row r="84" spans="1:8" x14ac:dyDescent="0.3">
      <c r="A84" s="240"/>
      <c r="B84" s="241"/>
      <c r="C84" s="241"/>
      <c r="D84" s="242"/>
    </row>
    <row r="85" spans="1:8" x14ac:dyDescent="0.3">
      <c r="A85" s="250" t="s">
        <v>87</v>
      </c>
      <c r="B85" s="251"/>
      <c r="C85" s="251"/>
      <c r="D85" s="252"/>
      <c r="G85" s="52"/>
    </row>
    <row r="86" spans="1:8" x14ac:dyDescent="0.3">
      <c r="A86" s="260"/>
      <c r="B86" s="261"/>
      <c r="C86" s="261"/>
      <c r="D86" s="262"/>
      <c r="G86" s="52"/>
    </row>
    <row r="87" spans="1:8" x14ac:dyDescent="0.3">
      <c r="A87" s="16" t="s">
        <v>88</v>
      </c>
      <c r="B87" s="23" t="s">
        <v>89</v>
      </c>
      <c r="C87" s="21" t="s">
        <v>59</v>
      </c>
      <c r="D87" s="16" t="s">
        <v>47</v>
      </c>
      <c r="H87" s="108"/>
    </row>
    <row r="88" spans="1:8" x14ac:dyDescent="0.3">
      <c r="A88" s="61" t="s">
        <v>48</v>
      </c>
      <c r="B88" s="25" t="s">
        <v>90</v>
      </c>
      <c r="C88" s="122">
        <f>((0.0416666666*24)+(0.08333333*24)+(0.08333333*12))*D71</f>
        <v>6.6666664639999998E-2</v>
      </c>
      <c r="D88" s="37">
        <f>C88*(D34+D68+D83)</f>
        <v>255.87142789184077</v>
      </c>
      <c r="G88" s="108"/>
    </row>
    <row r="89" spans="1:8" x14ac:dyDescent="0.3">
      <c r="A89" s="61" t="s">
        <v>24</v>
      </c>
      <c r="B89" s="25" t="s">
        <v>167</v>
      </c>
      <c r="C89" s="38">
        <v>1.66E-2</v>
      </c>
      <c r="D89" s="37">
        <f>C89*(D34+D68+D83)</f>
        <v>63.711987481912772</v>
      </c>
    </row>
    <row r="90" spans="1:8" x14ac:dyDescent="0.3">
      <c r="A90" s="61" t="s">
        <v>26</v>
      </c>
      <c r="B90" s="25" t="s">
        <v>168</v>
      </c>
      <c r="C90" s="38">
        <v>2.7000000000000001E-3</v>
      </c>
      <c r="D90" s="37">
        <f>C90*(D34+D68+D83)</f>
        <v>10.362793144648464</v>
      </c>
    </row>
    <row r="91" spans="1:8" x14ac:dyDescent="0.3">
      <c r="A91" s="61" t="s">
        <v>28</v>
      </c>
      <c r="B91" s="25" t="s">
        <v>166</v>
      </c>
      <c r="C91" s="38">
        <v>2.8E-3</v>
      </c>
      <c r="D91" s="37">
        <f>C91*(D34+D68+D83)</f>
        <v>10.746600298153961</v>
      </c>
    </row>
    <row r="92" spans="1:8" x14ac:dyDescent="0.3">
      <c r="A92" s="61" t="s">
        <v>31</v>
      </c>
      <c r="B92" s="25" t="s">
        <v>91</v>
      </c>
      <c r="C92" s="38">
        <v>2.0000000000000001E-4</v>
      </c>
      <c r="D92" s="37">
        <f>C92*(D34+D68+D83)</f>
        <v>0.76761430701099731</v>
      </c>
    </row>
    <row r="93" spans="1:8" x14ac:dyDescent="0.3">
      <c r="A93" s="61" t="s">
        <v>34</v>
      </c>
      <c r="B93" s="25" t="s">
        <v>92</v>
      </c>
      <c r="C93" s="38">
        <v>2.9999999999999997E-4</v>
      </c>
      <c r="D93" s="37">
        <f>C93*(D34+D68+D83)</f>
        <v>1.1514214605164959</v>
      </c>
      <c r="G93" s="97"/>
    </row>
    <row r="94" spans="1:8" x14ac:dyDescent="0.3">
      <c r="A94" s="61" t="s">
        <v>36</v>
      </c>
      <c r="B94" s="13" t="s">
        <v>54</v>
      </c>
      <c r="C94" s="39">
        <v>0</v>
      </c>
      <c r="D94" s="37">
        <f>C94*(D34+D68+D83)</f>
        <v>0</v>
      </c>
    </row>
    <row r="95" spans="1:8" x14ac:dyDescent="0.3">
      <c r="A95" s="253" t="s">
        <v>15</v>
      </c>
      <c r="B95" s="254"/>
      <c r="C95" s="21">
        <f>SUM(C88:C94)</f>
        <v>8.9266664639999993E-2</v>
      </c>
      <c r="D95" s="22">
        <f>SUM(D88:D94)</f>
        <v>342.61184458408349</v>
      </c>
      <c r="G95" s="52"/>
    </row>
    <row r="96" spans="1:8" x14ac:dyDescent="0.3">
      <c r="A96" s="240"/>
      <c r="B96" s="241"/>
      <c r="C96" s="241"/>
      <c r="D96" s="242"/>
      <c r="G96" s="52"/>
    </row>
    <row r="97" spans="1:7" x14ac:dyDescent="0.3">
      <c r="A97" s="250" t="s">
        <v>171</v>
      </c>
      <c r="B97" s="251"/>
      <c r="C97" s="251"/>
      <c r="D97" s="252"/>
      <c r="G97" s="52"/>
    </row>
    <row r="98" spans="1:7" x14ac:dyDescent="0.3">
      <c r="A98" s="260"/>
      <c r="B98" s="261"/>
      <c r="C98" s="261"/>
      <c r="D98" s="262"/>
      <c r="G98" s="52"/>
    </row>
    <row r="99" spans="1:7" x14ac:dyDescent="0.3">
      <c r="A99" s="65">
        <v>5</v>
      </c>
      <c r="B99" s="253" t="s">
        <v>94</v>
      </c>
      <c r="C99" s="254"/>
      <c r="D99" s="16" t="s">
        <v>47</v>
      </c>
    </row>
    <row r="100" spans="1:7" x14ac:dyDescent="0.3">
      <c r="A100" s="61" t="s">
        <v>48</v>
      </c>
      <c r="B100" s="264" t="s">
        <v>194</v>
      </c>
      <c r="C100" s="265"/>
      <c r="D100" s="109">
        <f>INSUMOS!G15</f>
        <v>29.437222222222221</v>
      </c>
    </row>
    <row r="101" spans="1:7" x14ac:dyDescent="0.3">
      <c r="A101" s="61" t="s">
        <v>24</v>
      </c>
      <c r="B101" s="264" t="s">
        <v>124</v>
      </c>
      <c r="C101" s="265"/>
      <c r="D101" s="112">
        <f>INSUMOS!G24</f>
        <v>0.78851851851851851</v>
      </c>
    </row>
    <row r="102" spans="1:7" x14ac:dyDescent="0.3">
      <c r="A102" s="114" t="s">
        <v>26</v>
      </c>
      <c r="B102" s="115" t="s">
        <v>221</v>
      </c>
      <c r="C102" s="116"/>
      <c r="D102" s="112">
        <f>INSUMOS!G42</f>
        <v>5.4657232704402512</v>
      </c>
    </row>
    <row r="103" spans="1:7" x14ac:dyDescent="0.3">
      <c r="A103" s="88" t="s">
        <v>28</v>
      </c>
      <c r="B103" s="290" t="s">
        <v>153</v>
      </c>
      <c r="C103" s="291"/>
      <c r="D103" s="101">
        <v>177</v>
      </c>
    </row>
    <row r="104" spans="1:7" x14ac:dyDescent="0.3">
      <c r="A104" s="61" t="s">
        <v>31</v>
      </c>
      <c r="B104" s="266" t="s">
        <v>54</v>
      </c>
      <c r="C104" s="267"/>
      <c r="D104" s="40">
        <v>0</v>
      </c>
    </row>
    <row r="105" spans="1:7" x14ac:dyDescent="0.3">
      <c r="A105" s="253" t="s">
        <v>95</v>
      </c>
      <c r="B105" s="255"/>
      <c r="C105" s="254"/>
      <c r="D105" s="22">
        <f>SUM(D100:D104)</f>
        <v>212.69146401118098</v>
      </c>
    </row>
    <row r="106" spans="1:7" x14ac:dyDescent="0.3">
      <c r="A106" s="240"/>
      <c r="B106" s="241"/>
      <c r="C106" s="241"/>
      <c r="D106" s="242"/>
    </row>
    <row r="107" spans="1:7" x14ac:dyDescent="0.3">
      <c r="A107" s="268" t="s">
        <v>96</v>
      </c>
      <c r="B107" s="268"/>
      <c r="C107" s="268"/>
      <c r="D107" s="41">
        <f>D34+D68+D83+D95+D105</f>
        <v>4393.374843650251</v>
      </c>
    </row>
    <row r="108" spans="1:7" x14ac:dyDescent="0.3">
      <c r="A108" s="249"/>
      <c r="B108" s="249"/>
      <c r="C108" s="249"/>
      <c r="D108" s="249"/>
    </row>
    <row r="109" spans="1:7" x14ac:dyDescent="0.3">
      <c r="A109" s="263" t="s">
        <v>212</v>
      </c>
      <c r="B109" s="263"/>
      <c r="C109" s="263"/>
      <c r="D109" s="263"/>
    </row>
    <row r="110" spans="1:7" x14ac:dyDescent="0.3">
      <c r="A110" s="271"/>
      <c r="B110" s="272"/>
      <c r="C110" s="272"/>
      <c r="D110" s="273"/>
    </row>
    <row r="111" spans="1:7" x14ac:dyDescent="0.3">
      <c r="A111" s="65">
        <v>6</v>
      </c>
      <c r="B111" s="23" t="s">
        <v>98</v>
      </c>
      <c r="C111" s="16" t="s">
        <v>59</v>
      </c>
      <c r="D111" s="16" t="s">
        <v>47</v>
      </c>
    </row>
    <row r="112" spans="1:7" x14ac:dyDescent="0.3">
      <c r="A112" s="67" t="s">
        <v>48</v>
      </c>
      <c r="B112" s="25" t="s">
        <v>99</v>
      </c>
      <c r="C112" s="42">
        <v>8.8900000000000007E-2</v>
      </c>
      <c r="D112" s="43">
        <f>C112*D107</f>
        <v>390.57102360050737</v>
      </c>
    </row>
    <row r="113" spans="1:4" x14ac:dyDescent="0.3">
      <c r="A113" s="274" t="s">
        <v>4</v>
      </c>
      <c r="B113" s="275"/>
      <c r="C113" s="276"/>
      <c r="D113" s="43">
        <f>D107+D112</f>
        <v>4783.9458672507581</v>
      </c>
    </row>
    <row r="114" spans="1:4" x14ac:dyDescent="0.3">
      <c r="A114" s="67" t="s">
        <v>24</v>
      </c>
      <c r="B114" s="25" t="s">
        <v>100</v>
      </c>
      <c r="C114" s="42">
        <v>6.7799999999999999E-2</v>
      </c>
      <c r="D114" s="43">
        <f>C114*D113</f>
        <v>324.35152979960139</v>
      </c>
    </row>
    <row r="115" spans="1:4" x14ac:dyDescent="0.3">
      <c r="A115" s="274" t="s">
        <v>4</v>
      </c>
      <c r="B115" s="275"/>
      <c r="C115" s="275"/>
      <c r="D115" s="43">
        <f>D114+D113</f>
        <v>5108.297397050359</v>
      </c>
    </row>
    <row r="116" spans="1:4" x14ac:dyDescent="0.3">
      <c r="A116" s="61" t="s">
        <v>26</v>
      </c>
      <c r="B116" s="269" t="s">
        <v>101</v>
      </c>
      <c r="C116" s="277"/>
      <c r="D116" s="270"/>
    </row>
    <row r="117" spans="1:4" x14ac:dyDescent="0.3">
      <c r="A117" s="62"/>
      <c r="B117" s="63" t="s">
        <v>102</v>
      </c>
      <c r="C117" s="44">
        <v>1.6500000000000001E-2</v>
      </c>
      <c r="D117" s="43">
        <f>(D115/(1-C120)*C117)</f>
        <v>98.293769156071065</v>
      </c>
    </row>
    <row r="118" spans="1:4" x14ac:dyDescent="0.3">
      <c r="A118" s="62"/>
      <c r="B118" s="63" t="s">
        <v>103</v>
      </c>
      <c r="C118" s="44">
        <v>7.5999999999999998E-2</v>
      </c>
      <c r="D118" s="43">
        <f>(D115/(1-C120)*C118)</f>
        <v>452.74705793099395</v>
      </c>
    </row>
    <row r="119" spans="1:4" x14ac:dyDescent="0.3">
      <c r="A119" s="62"/>
      <c r="B119" s="63" t="s">
        <v>104</v>
      </c>
      <c r="C119" s="45">
        <v>0.05</v>
      </c>
      <c r="D119" s="43">
        <f>(D115/(1-C120)*C119)</f>
        <v>297.85990653354867</v>
      </c>
    </row>
    <row r="120" spans="1:4" x14ac:dyDescent="0.3">
      <c r="A120" s="240" t="s">
        <v>105</v>
      </c>
      <c r="B120" s="242"/>
      <c r="C120" s="46">
        <f>SUM(C117:C119)</f>
        <v>0.14250000000000002</v>
      </c>
      <c r="D120" s="43">
        <f>SUM(D117:D119)</f>
        <v>848.90073362061366</v>
      </c>
    </row>
    <row r="121" spans="1:4" x14ac:dyDescent="0.3">
      <c r="A121" s="253" t="s">
        <v>106</v>
      </c>
      <c r="B121" s="254"/>
      <c r="C121" s="47">
        <f>SUM(C112+C114+C120)</f>
        <v>0.29920000000000002</v>
      </c>
      <c r="D121" s="15">
        <f>SUM(D120+D112+D114)</f>
        <v>1563.8232870207225</v>
      </c>
    </row>
    <row r="122" spans="1:4" x14ac:dyDescent="0.3">
      <c r="A122" s="240"/>
      <c r="B122" s="241"/>
      <c r="C122" s="241"/>
      <c r="D122" s="242"/>
    </row>
    <row r="123" spans="1:4" x14ac:dyDescent="0.3">
      <c r="A123" s="246" t="s">
        <v>107</v>
      </c>
      <c r="B123" s="248"/>
      <c r="C123" s="247"/>
      <c r="D123" s="48" t="s">
        <v>47</v>
      </c>
    </row>
    <row r="124" spans="1:4" x14ac:dyDescent="0.3">
      <c r="A124" s="227" t="s">
        <v>108</v>
      </c>
      <c r="B124" s="278"/>
      <c r="C124" s="278"/>
      <c r="D124" s="228"/>
    </row>
    <row r="125" spans="1:4" x14ac:dyDescent="0.3">
      <c r="A125" s="64" t="s">
        <v>48</v>
      </c>
      <c r="B125" s="227" t="s">
        <v>109</v>
      </c>
      <c r="C125" s="228"/>
      <c r="D125" s="10">
        <f>D34</f>
        <v>2130.5910284596362</v>
      </c>
    </row>
    <row r="126" spans="1:4" x14ac:dyDescent="0.3">
      <c r="A126" s="64" t="s">
        <v>24</v>
      </c>
      <c r="B126" s="227" t="s">
        <v>110</v>
      </c>
      <c r="C126" s="228"/>
      <c r="D126" s="10">
        <f>D68</f>
        <v>1641.3489965065889</v>
      </c>
    </row>
    <row r="127" spans="1:4" x14ac:dyDescent="0.3">
      <c r="A127" s="64" t="s">
        <v>26</v>
      </c>
      <c r="B127" s="227" t="s">
        <v>111</v>
      </c>
      <c r="C127" s="228"/>
      <c r="D127" s="10">
        <f>D83</f>
        <v>66.131510088761175</v>
      </c>
    </row>
    <row r="128" spans="1:4" x14ac:dyDescent="0.3">
      <c r="A128" s="64" t="s">
        <v>28</v>
      </c>
      <c r="B128" s="227" t="s">
        <v>112</v>
      </c>
      <c r="C128" s="228"/>
      <c r="D128" s="10">
        <f>D95</f>
        <v>342.61184458408349</v>
      </c>
    </row>
    <row r="129" spans="1:4" x14ac:dyDescent="0.3">
      <c r="A129" s="64" t="s">
        <v>31</v>
      </c>
      <c r="B129" s="227" t="s">
        <v>113</v>
      </c>
      <c r="C129" s="228"/>
      <c r="D129" s="10">
        <f>D105</f>
        <v>212.69146401118098</v>
      </c>
    </row>
    <row r="130" spans="1:4" x14ac:dyDescent="0.3">
      <c r="A130" s="282" t="s">
        <v>114</v>
      </c>
      <c r="B130" s="283"/>
      <c r="C130" s="284"/>
      <c r="D130" s="10">
        <f>SUM(D125:D129)</f>
        <v>4393.374843650251</v>
      </c>
    </row>
    <row r="131" spans="1:4" x14ac:dyDescent="0.3">
      <c r="A131" s="64" t="s">
        <v>115</v>
      </c>
      <c r="B131" s="227" t="s">
        <v>116</v>
      </c>
      <c r="C131" s="228"/>
      <c r="D131" s="10">
        <f>D121</f>
        <v>1563.8232870207225</v>
      </c>
    </row>
    <row r="132" spans="1:4" x14ac:dyDescent="0.3">
      <c r="A132" s="246" t="s">
        <v>117</v>
      </c>
      <c r="B132" s="248"/>
      <c r="C132" s="247"/>
      <c r="D132" s="22">
        <f xml:space="preserve"> D130+D131</f>
        <v>5957.1981306709731</v>
      </c>
    </row>
    <row r="133" spans="1:4" x14ac:dyDescent="0.3">
      <c r="A133" s="1"/>
      <c r="B133" s="1"/>
      <c r="C133" s="1"/>
      <c r="D133" s="1"/>
    </row>
    <row r="134" spans="1:4" x14ac:dyDescent="0.3">
      <c r="A134" s="285" t="s">
        <v>3</v>
      </c>
      <c r="B134" s="286"/>
      <c r="C134" s="286"/>
      <c r="D134" s="53" t="s">
        <v>2</v>
      </c>
    </row>
    <row r="135" spans="1:4" x14ac:dyDescent="0.3">
      <c r="A135" s="279" t="s">
        <v>19</v>
      </c>
      <c r="B135" s="280"/>
      <c r="C135" s="281"/>
      <c r="D135" s="54">
        <f>D132</f>
        <v>5957.1981306709731</v>
      </c>
    </row>
    <row r="136" spans="1:4" x14ac:dyDescent="0.3">
      <c r="A136" s="58"/>
      <c r="B136" s="59" t="s">
        <v>17</v>
      </c>
      <c r="C136" s="60"/>
      <c r="D136" s="55">
        <f>Proposta!E6</f>
        <v>1</v>
      </c>
    </row>
    <row r="137" spans="1:4" x14ac:dyDescent="0.3">
      <c r="A137" s="279" t="s">
        <v>0</v>
      </c>
      <c r="B137" s="280"/>
      <c r="C137" s="281"/>
      <c r="D137" s="56">
        <f>D136*D135</f>
        <v>5957.1981306709731</v>
      </c>
    </row>
    <row r="138" spans="1:4" x14ac:dyDescent="0.3">
      <c r="A138" s="279" t="s">
        <v>134</v>
      </c>
      <c r="B138" s="280"/>
      <c r="C138" s="281"/>
      <c r="D138" s="49">
        <f>D137*24</f>
        <v>142972.75513610337</v>
      </c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x14ac:dyDescent="0.3">
      <c r="A141" s="1"/>
      <c r="B141" s="1"/>
      <c r="C141" s="1"/>
      <c r="D141" s="1"/>
    </row>
    <row r="142" spans="1:4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/>
    <row r="145" hidden="1" x14ac:dyDescent="0.3"/>
  </sheetData>
  <mergeCells count="82">
    <mergeCell ref="B103:C103"/>
    <mergeCell ref="A135:C135"/>
    <mergeCell ref="A137:C137"/>
    <mergeCell ref="A122:D122"/>
    <mergeCell ref="A123:C123"/>
    <mergeCell ref="A124:D124"/>
    <mergeCell ref="B125:C125"/>
    <mergeCell ref="B126:C126"/>
    <mergeCell ref="B127:C127"/>
    <mergeCell ref="A110:D110"/>
    <mergeCell ref="A113:C113"/>
    <mergeCell ref="A115:C115"/>
    <mergeCell ref="B116:D116"/>
    <mergeCell ref="A120:B120"/>
    <mergeCell ref="A121:B121"/>
    <mergeCell ref="B104:C104"/>
    <mergeCell ref="A138:C138"/>
    <mergeCell ref="B128:C128"/>
    <mergeCell ref="B129:C129"/>
    <mergeCell ref="A130:C130"/>
    <mergeCell ref="B131:C131"/>
    <mergeCell ref="A132:C132"/>
    <mergeCell ref="A134:C134"/>
    <mergeCell ref="A105:C105"/>
    <mergeCell ref="A106:D106"/>
    <mergeCell ref="A107:C107"/>
    <mergeCell ref="A108:D108"/>
    <mergeCell ref="A109:D109"/>
    <mergeCell ref="B101:C101"/>
    <mergeCell ref="A71:B71"/>
    <mergeCell ref="A83:B83"/>
    <mergeCell ref="A84:D84"/>
    <mergeCell ref="A85:D85"/>
    <mergeCell ref="A86:D86"/>
    <mergeCell ref="A95:B95"/>
    <mergeCell ref="A96:D96"/>
    <mergeCell ref="A97:D97"/>
    <mergeCell ref="A98:D98"/>
    <mergeCell ref="B99:C99"/>
    <mergeCell ref="B100:C100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35:D35"/>
    <mergeCell ref="C17:D17"/>
    <mergeCell ref="C18:D18"/>
    <mergeCell ref="A19:D19"/>
    <mergeCell ref="B20:C20"/>
    <mergeCell ref="B21:C21"/>
    <mergeCell ref="B22:C22"/>
    <mergeCell ref="A23:D23"/>
    <mergeCell ref="A24:D24"/>
    <mergeCell ref="A25:D25"/>
    <mergeCell ref="B26:C26"/>
    <mergeCell ref="A34:C34"/>
    <mergeCell ref="C16:D16"/>
    <mergeCell ref="A5:D5"/>
    <mergeCell ref="C6:D6"/>
    <mergeCell ref="C7:D7"/>
    <mergeCell ref="C8:D8"/>
    <mergeCell ref="C9:D9"/>
    <mergeCell ref="C10:D10"/>
    <mergeCell ref="C11:D11"/>
    <mergeCell ref="C12:D12"/>
    <mergeCell ref="A13:D13"/>
    <mergeCell ref="A14:D14"/>
    <mergeCell ref="A15:D15"/>
    <mergeCell ref="A4:D4"/>
    <mergeCell ref="A1:D1"/>
    <mergeCell ref="A2:B2"/>
    <mergeCell ref="C2:D2"/>
    <mergeCell ref="A3:B3"/>
    <mergeCell ref="C3:D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7"/>
  <dimension ref="A1:WVO148"/>
  <sheetViews>
    <sheetView topLeftCell="A19" zoomScale="80" zoomScaleNormal="80" workbookViewId="0">
      <selection activeCell="D119" sqref="D119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196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Proposta!E8</f>
        <v>3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3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</v>
      </c>
      <c r="D29" s="12">
        <f>C29*724</f>
        <v>0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1702.6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141.88333333333333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47.294444444444437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189.17777777777775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378.35555555555555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47.294444444444444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56.753333333333323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28.376666666666662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18.917777777777776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11.350666666666665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3.7835555555555551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151.3422222222222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696.17422222222228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30">
        <v>3.63</v>
      </c>
      <c r="D54" s="31">
        <f>(21*2*C54)-(D27*6%)*(56/60)</f>
        <v>57.114400000000018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17.026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85.13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490.62220000000002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189.17777777777775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696.17422222222228</v>
      </c>
    </row>
    <row r="66" spans="1:5" x14ac:dyDescent="0.3">
      <c r="A66" s="61" t="s">
        <v>82</v>
      </c>
      <c r="B66" s="25" t="s">
        <v>74</v>
      </c>
      <c r="C66" s="35">
        <f>D61/D33</f>
        <v>0.2881605779396218</v>
      </c>
      <c r="D66" s="10">
        <f>D61</f>
        <v>490.62220000000002</v>
      </c>
    </row>
    <row r="67" spans="1:5" x14ac:dyDescent="0.3">
      <c r="A67" s="253" t="s">
        <v>15</v>
      </c>
      <c r="B67" s="255"/>
      <c r="C67" s="254"/>
      <c r="D67" s="22">
        <f>SUM(D64:D66)</f>
        <v>1375.9742000000001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2533.7421999999997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115351.15</v>
      </c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9228.0920000000006</v>
      </c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3691.2368000000006</v>
      </c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622.49790000000007</v>
      </c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113506.66666666666</v>
      </c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9080.5333333333328</v>
      </c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3632.2133333333331</v>
      </c>
      <c r="E79" s="36"/>
    </row>
    <row r="80" spans="1:5" x14ac:dyDescent="0.3">
      <c r="A80" s="132" t="s">
        <v>170</v>
      </c>
      <c r="B80" s="133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603.85546666666664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3812.4619200000002</v>
      </c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52.923853852000001</v>
      </c>
      <c r="G82" s="52"/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  <c r="G86" s="52"/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208.76653057696393</v>
      </c>
      <c r="G87" s="52"/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51.982867693943199</v>
      </c>
      <c r="G88" s="57"/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8.4550447454004001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8.7681945507855996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0.62629961077039997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0.93944941615559985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279.53838659401913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INSUMOS!G25</f>
        <v>2.8386666666666662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114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37.741612159329136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3448.778052605348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8.8900000000000007E-2</v>
      </c>
      <c r="D110" s="43">
        <f>C110*D105</f>
        <v>306.59636887661549</v>
      </c>
    </row>
    <row r="111" spans="1:4" x14ac:dyDescent="0.3">
      <c r="A111" s="274" t="s">
        <v>4</v>
      </c>
      <c r="B111" s="275"/>
      <c r="C111" s="276"/>
      <c r="D111" s="43">
        <f>D105+D110</f>
        <v>3755.3744214819635</v>
      </c>
    </row>
    <row r="112" spans="1:4" x14ac:dyDescent="0.3">
      <c r="A112" s="67" t="s">
        <v>24</v>
      </c>
      <c r="B112" s="25" t="s">
        <v>100</v>
      </c>
      <c r="C112" s="42">
        <v>7.5605809414925784E-2</v>
      </c>
      <c r="D112" s="43">
        <f>C112*D111</f>
        <v>283.92812279225251</v>
      </c>
    </row>
    <row r="113" spans="1:4" x14ac:dyDescent="0.3">
      <c r="A113" s="274" t="s">
        <v>4</v>
      </c>
      <c r="B113" s="275"/>
      <c r="C113" s="275"/>
      <c r="D113" s="43">
        <f>D112+D111</f>
        <v>4039.302544274216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75.952697413703206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349.84272748129962</v>
      </c>
    </row>
    <row r="117" spans="1:4" x14ac:dyDescent="0.3">
      <c r="A117" s="62"/>
      <c r="B117" s="63" t="s">
        <v>104</v>
      </c>
      <c r="C117" s="45">
        <v>0.03</v>
      </c>
      <c r="D117" s="43">
        <f>(D113/(1-C118)*C117)</f>
        <v>138.09581347946036</v>
      </c>
    </row>
    <row r="118" spans="1:4" x14ac:dyDescent="0.3">
      <c r="A118" s="240" t="s">
        <v>105</v>
      </c>
      <c r="B118" s="242"/>
      <c r="C118" s="46">
        <f>SUM(C115:C117)</f>
        <v>0.1225</v>
      </c>
      <c r="D118" s="43">
        <f>SUM(D115:D117)</f>
        <v>563.89123837446323</v>
      </c>
    </row>
    <row r="119" spans="1:4" x14ac:dyDescent="0.3">
      <c r="A119" s="253" t="s">
        <v>106</v>
      </c>
      <c r="B119" s="254"/>
      <c r="C119" s="47">
        <f>SUM(C110+C112+C118)</f>
        <v>0.28700580941492582</v>
      </c>
      <c r="D119" s="15">
        <f>SUM(D118+D110+D112)</f>
        <v>1154.4157300433312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1702.6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1375.9742000000001</v>
      </c>
    </row>
    <row r="125" spans="1:4" x14ac:dyDescent="0.3">
      <c r="A125" s="64" t="s">
        <v>26</v>
      </c>
      <c r="B125" s="227" t="s">
        <v>111</v>
      </c>
      <c r="C125" s="228"/>
      <c r="D125" s="10">
        <f>D82</f>
        <v>52.923853852000001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279.53838659401913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37.741612159329136</v>
      </c>
    </row>
    <row r="128" spans="1:4" x14ac:dyDescent="0.3">
      <c r="A128" s="282" t="s">
        <v>114</v>
      </c>
      <c r="B128" s="283"/>
      <c r="C128" s="284"/>
      <c r="D128" s="10">
        <f>SUM(D123:D127)</f>
        <v>3448.778052605348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1154.4157300433312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4603.1937826486792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4603.1937826486792</v>
      </c>
    </row>
    <row r="134" spans="1:4" x14ac:dyDescent="0.3">
      <c r="A134" s="279" t="s">
        <v>17</v>
      </c>
      <c r="B134" s="280"/>
      <c r="C134" s="281"/>
      <c r="D134" s="55">
        <f>Proposta!E8</f>
        <v>3</v>
      </c>
    </row>
    <row r="135" spans="1:4" x14ac:dyDescent="0.3">
      <c r="A135" s="279" t="s">
        <v>0</v>
      </c>
      <c r="B135" s="280"/>
      <c r="C135" s="281"/>
      <c r="D135" s="56">
        <f>D134*D133</f>
        <v>13809.581347946038</v>
      </c>
    </row>
    <row r="136" spans="1:4" x14ac:dyDescent="0.3">
      <c r="A136" s="279" t="s">
        <v>134</v>
      </c>
      <c r="B136" s="280"/>
      <c r="C136" s="281"/>
      <c r="D136" s="49">
        <f>D135*24</f>
        <v>331429.95235070493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  <row r="148" spans="1:4" hidden="1" x14ac:dyDescent="0.3"/>
  </sheetData>
  <mergeCells count="82">
    <mergeCell ref="A130:C130"/>
    <mergeCell ref="A132:C132"/>
    <mergeCell ref="A133:C133"/>
    <mergeCell ref="A135:C135"/>
    <mergeCell ref="A136:C136"/>
    <mergeCell ref="A134:C134"/>
    <mergeCell ref="B129:C129"/>
    <mergeCell ref="A118:B118"/>
    <mergeCell ref="A119:B119"/>
    <mergeCell ref="A120:D120"/>
    <mergeCell ref="A121:C121"/>
    <mergeCell ref="A122:D122"/>
    <mergeCell ref="B123:C123"/>
    <mergeCell ref="B124:C124"/>
    <mergeCell ref="B125:C125"/>
    <mergeCell ref="B126:C126"/>
    <mergeCell ref="B127:C127"/>
    <mergeCell ref="A128:C128"/>
    <mergeCell ref="B114:D114"/>
    <mergeCell ref="B99:C99"/>
    <mergeCell ref="B100:C100"/>
    <mergeCell ref="B102:C102"/>
    <mergeCell ref="A103:C103"/>
    <mergeCell ref="A104:D104"/>
    <mergeCell ref="A105:C105"/>
    <mergeCell ref="A106:D106"/>
    <mergeCell ref="A107:D107"/>
    <mergeCell ref="A108:D108"/>
    <mergeCell ref="A111:C111"/>
    <mergeCell ref="A113:C113"/>
    <mergeCell ref="B98:C98"/>
    <mergeCell ref="A70:B70"/>
    <mergeCell ref="A82:B82"/>
    <mergeCell ref="A83:D83"/>
    <mergeCell ref="A84:D84"/>
    <mergeCell ref="A85:D85"/>
    <mergeCell ref="A94:B94"/>
    <mergeCell ref="A95:D95"/>
    <mergeCell ref="A96:D96"/>
    <mergeCell ref="A97:D97"/>
    <mergeCell ref="A69:D69"/>
    <mergeCell ref="A35:D35"/>
    <mergeCell ref="A36:D36"/>
    <mergeCell ref="A40:B40"/>
    <mergeCell ref="A41:D41"/>
    <mergeCell ref="A51:B51"/>
    <mergeCell ref="A52:D52"/>
    <mergeCell ref="A61:C61"/>
    <mergeCell ref="A62:D62"/>
    <mergeCell ref="A63:B63"/>
    <mergeCell ref="A67:C67"/>
    <mergeCell ref="A68:D68"/>
    <mergeCell ref="A34:D34"/>
    <mergeCell ref="C17:D17"/>
    <mergeCell ref="C18:D18"/>
    <mergeCell ref="A19:D19"/>
    <mergeCell ref="B20:C20"/>
    <mergeCell ref="B21:C21"/>
    <mergeCell ref="B22:C22"/>
    <mergeCell ref="A23:D23"/>
    <mergeCell ref="A24:D24"/>
    <mergeCell ref="A25:D25"/>
    <mergeCell ref="B26:C26"/>
    <mergeCell ref="A33:C33"/>
    <mergeCell ref="C16:D16"/>
    <mergeCell ref="A5:D5"/>
    <mergeCell ref="C6:D6"/>
    <mergeCell ref="C7:D7"/>
    <mergeCell ref="C8:D8"/>
    <mergeCell ref="C9:D9"/>
    <mergeCell ref="C10:D10"/>
    <mergeCell ref="C11:D11"/>
    <mergeCell ref="C12:D12"/>
    <mergeCell ref="A13:D13"/>
    <mergeCell ref="A14:D14"/>
    <mergeCell ref="A15:D15"/>
    <mergeCell ref="A4:D4"/>
    <mergeCell ref="A1:D1"/>
    <mergeCell ref="A2:B2"/>
    <mergeCell ref="C2:D2"/>
    <mergeCell ref="A3:B3"/>
    <mergeCell ref="C3:D3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8"/>
  <dimension ref="A1:WVO145"/>
  <sheetViews>
    <sheetView topLeftCell="A51" zoomScale="80" zoomScaleNormal="80" workbookViewId="0">
      <selection activeCell="C71" sqref="C71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8" width="10.28515625" style="1" customWidth="1"/>
    <col min="9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196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Proposta!E9</f>
        <v>1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Proposta!E7</f>
        <v>2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1587.72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1587.72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</v>
      </c>
      <c r="D29" s="12">
        <f>C29*724</f>
        <v>0</v>
      </c>
    </row>
    <row r="30" spans="1:4" x14ac:dyDescent="0.3">
      <c r="A30" s="91" t="s">
        <v>157</v>
      </c>
      <c r="B30" s="92" t="s">
        <v>156</v>
      </c>
      <c r="C30" s="93">
        <v>4</v>
      </c>
      <c r="D30" s="94">
        <f>(SUM(D27:D29)/C27)*C30*1.5</f>
        <v>43.301454545454547</v>
      </c>
    </row>
    <row r="31" spans="1:4" x14ac:dyDescent="0.3">
      <c r="A31" s="91" t="s">
        <v>158</v>
      </c>
      <c r="B31" s="103" t="s">
        <v>169</v>
      </c>
      <c r="C31" s="99">
        <f>(20+12.5)%*50%</f>
        <v>0.16250000000000001</v>
      </c>
      <c r="D31" s="94">
        <f>C31*D30</f>
        <v>7.0364863636363637</v>
      </c>
    </row>
    <row r="32" spans="1:4" x14ac:dyDescent="0.3">
      <c r="A32" s="91" t="s">
        <v>159</v>
      </c>
      <c r="B32" s="92" t="s">
        <v>155</v>
      </c>
      <c r="C32" s="95">
        <f>2.973%</f>
        <v>2.9729999999999999E-2</v>
      </c>
      <c r="D32" s="94">
        <f>((SUM(D27:D29)/C27)*C30)*C32</f>
        <v>0.85823482909090909</v>
      </c>
    </row>
    <row r="33" spans="1:7" x14ac:dyDescent="0.3">
      <c r="A33" s="64" t="s">
        <v>31</v>
      </c>
      <c r="B33" s="13" t="s">
        <v>54</v>
      </c>
      <c r="C33" s="14">
        <v>0</v>
      </c>
      <c r="D33" s="90">
        <f>C33*D20</f>
        <v>0</v>
      </c>
    </row>
    <row r="34" spans="1:7" x14ac:dyDescent="0.3">
      <c r="A34" s="246" t="s">
        <v>55</v>
      </c>
      <c r="B34" s="248"/>
      <c r="C34" s="247"/>
      <c r="D34" s="15">
        <f>SUM(D27:D33)</f>
        <v>1638.9161757381819</v>
      </c>
    </row>
    <row r="35" spans="1:7" x14ac:dyDescent="0.3">
      <c r="A35" s="249"/>
      <c r="B35" s="249"/>
      <c r="C35" s="249"/>
      <c r="D35" s="249"/>
    </row>
    <row r="36" spans="1:7" x14ac:dyDescent="0.3">
      <c r="A36" s="250" t="s">
        <v>154</v>
      </c>
      <c r="B36" s="251"/>
      <c r="C36" s="251"/>
      <c r="D36" s="252"/>
      <c r="G36" s="57"/>
    </row>
    <row r="37" spans="1:7" x14ac:dyDescent="0.3">
      <c r="A37" s="240"/>
      <c r="B37" s="241"/>
      <c r="C37" s="241"/>
      <c r="D37" s="242"/>
    </row>
    <row r="38" spans="1:7" x14ac:dyDescent="0.3">
      <c r="A38" s="16" t="s">
        <v>57</v>
      </c>
      <c r="B38" s="17" t="s">
        <v>58</v>
      </c>
      <c r="C38" s="16" t="s">
        <v>59</v>
      </c>
      <c r="D38" s="16" t="s">
        <v>47</v>
      </c>
    </row>
    <row r="39" spans="1:7" x14ac:dyDescent="0.3">
      <c r="A39" s="18" t="s">
        <v>48</v>
      </c>
      <c r="B39" s="19" t="s">
        <v>60</v>
      </c>
      <c r="C39" s="20">
        <f>1/12</f>
        <v>8.3333333333333329E-2</v>
      </c>
      <c r="D39" s="10">
        <f>C39*D34</f>
        <v>136.57634797818181</v>
      </c>
    </row>
    <row r="40" spans="1:7" x14ac:dyDescent="0.3">
      <c r="A40" s="100" t="s">
        <v>24</v>
      </c>
      <c r="B40" s="98" t="s">
        <v>160</v>
      </c>
      <c r="C40" s="20">
        <f>(C39*1/3)</f>
        <v>2.7777777777777776E-2</v>
      </c>
      <c r="D40" s="37">
        <f>C40*D34</f>
        <v>45.525449326060603</v>
      </c>
    </row>
    <row r="41" spans="1:7" x14ac:dyDescent="0.3">
      <c r="A41" s="253" t="s">
        <v>15</v>
      </c>
      <c r="B41" s="254"/>
      <c r="C41" s="21">
        <f>SUM(C39:C40)</f>
        <v>0.1111111111111111</v>
      </c>
      <c r="D41" s="22">
        <f>SUM(D39:D40)</f>
        <v>182.10179730424241</v>
      </c>
    </row>
    <row r="42" spans="1:7" x14ac:dyDescent="0.3">
      <c r="A42" s="240"/>
      <c r="B42" s="241"/>
      <c r="C42" s="241"/>
      <c r="D42" s="242"/>
      <c r="G42" s="96"/>
    </row>
    <row r="43" spans="1:7" x14ac:dyDescent="0.3">
      <c r="A43" s="16" t="s">
        <v>62</v>
      </c>
      <c r="B43" s="23" t="s">
        <v>63</v>
      </c>
      <c r="C43" s="16" t="s">
        <v>59</v>
      </c>
      <c r="D43" s="24" t="s">
        <v>47</v>
      </c>
    </row>
    <row r="44" spans="1:7" x14ac:dyDescent="0.3">
      <c r="A44" s="61" t="s">
        <v>48</v>
      </c>
      <c r="B44" s="25" t="s">
        <v>64</v>
      </c>
      <c r="C44" s="26">
        <v>0.2</v>
      </c>
      <c r="D44" s="10">
        <f t="shared" ref="D44:D51" si="0">C44*($D$34+$D$41)</f>
        <v>364.20359460848488</v>
      </c>
    </row>
    <row r="45" spans="1:7" x14ac:dyDescent="0.3">
      <c r="A45" s="61" t="s">
        <v>24</v>
      </c>
      <c r="B45" s="25" t="s">
        <v>65</v>
      </c>
      <c r="C45" s="26">
        <v>2.5000000000000001E-2</v>
      </c>
      <c r="D45" s="10">
        <f t="shared" si="0"/>
        <v>45.52544932606061</v>
      </c>
    </row>
    <row r="46" spans="1:7" x14ac:dyDescent="0.3">
      <c r="A46" s="61" t="s">
        <v>26</v>
      </c>
      <c r="B46" s="25" t="s">
        <v>66</v>
      </c>
      <c r="C46" s="27">
        <v>0.03</v>
      </c>
      <c r="D46" s="10">
        <f t="shared" si="0"/>
        <v>54.630539191272725</v>
      </c>
    </row>
    <row r="47" spans="1:7" x14ac:dyDescent="0.3">
      <c r="A47" s="61" t="s">
        <v>28</v>
      </c>
      <c r="B47" s="25" t="s">
        <v>67</v>
      </c>
      <c r="C47" s="26">
        <v>1.4999999999999999E-2</v>
      </c>
      <c r="D47" s="10">
        <f t="shared" si="0"/>
        <v>27.315269595636362</v>
      </c>
    </row>
    <row r="48" spans="1:7" x14ac:dyDescent="0.3">
      <c r="A48" s="61" t="s">
        <v>31</v>
      </c>
      <c r="B48" s="25" t="s">
        <v>68</v>
      </c>
      <c r="C48" s="26">
        <v>0.01</v>
      </c>
      <c r="D48" s="10">
        <f t="shared" si="0"/>
        <v>18.210179730424244</v>
      </c>
    </row>
    <row r="49" spans="1:7" x14ac:dyDescent="0.3">
      <c r="A49" s="61" t="s">
        <v>34</v>
      </c>
      <c r="B49" s="25" t="s">
        <v>69</v>
      </c>
      <c r="C49" s="26">
        <v>6.0000000000000001E-3</v>
      </c>
      <c r="D49" s="10">
        <f t="shared" si="0"/>
        <v>10.926107838254547</v>
      </c>
    </row>
    <row r="50" spans="1:7" x14ac:dyDescent="0.3">
      <c r="A50" s="61" t="s">
        <v>36</v>
      </c>
      <c r="B50" s="25" t="s">
        <v>70</v>
      </c>
      <c r="C50" s="26">
        <v>2E-3</v>
      </c>
      <c r="D50" s="10">
        <f t="shared" si="0"/>
        <v>3.6420359460848486</v>
      </c>
    </row>
    <row r="51" spans="1:7" x14ac:dyDescent="0.3">
      <c r="A51" s="61" t="s">
        <v>71</v>
      </c>
      <c r="B51" s="25" t="s">
        <v>72</v>
      </c>
      <c r="C51" s="26">
        <v>0.08</v>
      </c>
      <c r="D51" s="10">
        <f t="shared" si="0"/>
        <v>145.68143784339395</v>
      </c>
    </row>
    <row r="52" spans="1:7" x14ac:dyDescent="0.3">
      <c r="A52" s="253" t="s">
        <v>15</v>
      </c>
      <c r="B52" s="254"/>
      <c r="C52" s="28">
        <f>SUM(C44:C51)</f>
        <v>0.36800000000000005</v>
      </c>
      <c r="D52" s="29">
        <f>SUM(D44:D51)</f>
        <v>670.13461407961222</v>
      </c>
    </row>
    <row r="53" spans="1:7" x14ac:dyDescent="0.3">
      <c r="A53" s="240"/>
      <c r="B53" s="241"/>
      <c r="C53" s="241"/>
      <c r="D53" s="242"/>
    </row>
    <row r="54" spans="1:7" x14ac:dyDescent="0.3">
      <c r="A54" s="16" t="s">
        <v>73</v>
      </c>
      <c r="B54" s="23" t="s">
        <v>74</v>
      </c>
      <c r="C54" s="16" t="s">
        <v>75</v>
      </c>
      <c r="D54" s="16" t="s">
        <v>47</v>
      </c>
    </row>
    <row r="55" spans="1:7" x14ac:dyDescent="0.3">
      <c r="A55" s="61" t="s">
        <v>48</v>
      </c>
      <c r="B55" s="25" t="s">
        <v>76</v>
      </c>
      <c r="C55" s="30">
        <v>3.63</v>
      </c>
      <c r="D55" s="31">
        <f>((21*2*C55)-(D27*6%))*(56/60)</f>
        <v>53.383680000000012</v>
      </c>
    </row>
    <row r="56" spans="1:7" x14ac:dyDescent="0.3">
      <c r="A56" s="61" t="s">
        <v>24</v>
      </c>
      <c r="B56" s="25" t="s">
        <v>77</v>
      </c>
      <c r="C56" s="32">
        <v>16.55</v>
      </c>
      <c r="D56" s="31">
        <f>(C56*21)*(56/60)</f>
        <v>324.38</v>
      </c>
      <c r="G56" s="96"/>
    </row>
    <row r="57" spans="1:7" x14ac:dyDescent="0.3">
      <c r="A57" s="114" t="s">
        <v>122</v>
      </c>
      <c r="B57" s="25" t="s">
        <v>123</v>
      </c>
      <c r="C57" s="51">
        <v>-0.01</v>
      </c>
      <c r="D57" s="31">
        <f>C57*D56</f>
        <v>-3.2438000000000002</v>
      </c>
      <c r="G57" s="52"/>
    </row>
    <row r="58" spans="1:7" x14ac:dyDescent="0.3">
      <c r="A58" s="114" t="s">
        <v>26</v>
      </c>
      <c r="B58" s="34" t="s">
        <v>214</v>
      </c>
      <c r="C58" s="51">
        <v>0.01</v>
      </c>
      <c r="D58" s="31">
        <f>C58*D34</f>
        <v>16.389161757381821</v>
      </c>
    </row>
    <row r="59" spans="1:7" x14ac:dyDescent="0.3">
      <c r="A59" s="114" t="s">
        <v>28</v>
      </c>
      <c r="B59" s="34" t="s">
        <v>215</v>
      </c>
      <c r="C59" s="51">
        <v>6.0000000000000001E-3</v>
      </c>
      <c r="D59" s="31">
        <f>C59*D27</f>
        <v>9.5263200000000001</v>
      </c>
    </row>
    <row r="60" spans="1:7" x14ac:dyDescent="0.3">
      <c r="A60" s="114" t="s">
        <v>31</v>
      </c>
      <c r="B60" s="34" t="s">
        <v>78</v>
      </c>
      <c r="C60" s="51">
        <v>0.05</v>
      </c>
      <c r="D60" s="127">
        <f>C60*D34</f>
        <v>81.945808786909097</v>
      </c>
    </row>
    <row r="61" spans="1:7" x14ac:dyDescent="0.3">
      <c r="A61" s="114" t="s">
        <v>34</v>
      </c>
      <c r="B61" s="34" t="s">
        <v>54</v>
      </c>
      <c r="C61" s="128"/>
      <c r="D61" s="33">
        <f>C61*D34</f>
        <v>0</v>
      </c>
    </row>
    <row r="62" spans="1:7" x14ac:dyDescent="0.3">
      <c r="A62" s="253" t="s">
        <v>79</v>
      </c>
      <c r="B62" s="255"/>
      <c r="C62" s="254"/>
      <c r="D62" s="22">
        <f>SUM(D55:D61)</f>
        <v>482.38117054429091</v>
      </c>
    </row>
    <row r="63" spans="1:7" x14ac:dyDescent="0.3">
      <c r="A63" s="240"/>
      <c r="B63" s="241"/>
      <c r="C63" s="241"/>
      <c r="D63" s="242"/>
      <c r="G63" s="52"/>
    </row>
    <row r="64" spans="1:7" x14ac:dyDescent="0.3">
      <c r="A64" s="256" t="s">
        <v>80</v>
      </c>
      <c r="B64" s="257"/>
      <c r="C64" s="16" t="s">
        <v>59</v>
      </c>
      <c r="D64" s="16" t="s">
        <v>47</v>
      </c>
      <c r="G64" s="52"/>
    </row>
    <row r="65" spans="1:7" x14ac:dyDescent="0.3">
      <c r="A65" s="61" t="s">
        <v>81</v>
      </c>
      <c r="B65" s="25" t="s">
        <v>58</v>
      </c>
      <c r="C65" s="35">
        <f>C41</f>
        <v>0.1111111111111111</v>
      </c>
      <c r="D65" s="10">
        <f>D41</f>
        <v>182.10179730424241</v>
      </c>
    </row>
    <row r="66" spans="1:7" x14ac:dyDescent="0.3">
      <c r="A66" s="61" t="s">
        <v>62</v>
      </c>
      <c r="B66" s="25" t="s">
        <v>63</v>
      </c>
      <c r="C66" s="35">
        <f>C52</f>
        <v>0.36800000000000005</v>
      </c>
      <c r="D66" s="10">
        <f>D52</f>
        <v>670.13461407961222</v>
      </c>
    </row>
    <row r="67" spans="1:7" x14ac:dyDescent="0.3">
      <c r="A67" s="61" t="s">
        <v>82</v>
      </c>
      <c r="B67" s="25" t="s">
        <v>74</v>
      </c>
      <c r="C67" s="35">
        <f>D62/D34</f>
        <v>0.29432937308524781</v>
      </c>
      <c r="D67" s="10">
        <f>D62</f>
        <v>482.38117054429091</v>
      </c>
    </row>
    <row r="68" spans="1:7" x14ac:dyDescent="0.3">
      <c r="A68" s="253" t="s">
        <v>15</v>
      </c>
      <c r="B68" s="255"/>
      <c r="C68" s="254"/>
      <c r="D68" s="22">
        <f>SUM(D65:D67)</f>
        <v>1334.6175819281455</v>
      </c>
    </row>
    <row r="69" spans="1:7" x14ac:dyDescent="0.3">
      <c r="A69" s="240"/>
      <c r="B69" s="241"/>
      <c r="C69" s="241"/>
      <c r="D69" s="242"/>
    </row>
    <row r="70" spans="1:7" x14ac:dyDescent="0.3">
      <c r="A70" s="250" t="s">
        <v>151</v>
      </c>
      <c r="B70" s="251"/>
      <c r="C70" s="251"/>
      <c r="D70" s="252"/>
    </row>
    <row r="71" spans="1:7" x14ac:dyDescent="0.3">
      <c r="A71" s="258" t="s">
        <v>172</v>
      </c>
      <c r="B71" s="259"/>
      <c r="C71" s="104">
        <v>0.71599999999999997</v>
      </c>
      <c r="D71" s="105">
        <f>1/60</f>
        <v>1.6666666666666666E-2</v>
      </c>
    </row>
    <row r="72" spans="1:7" x14ac:dyDescent="0.3">
      <c r="A72" s="117">
        <v>3</v>
      </c>
      <c r="B72" s="23" t="s">
        <v>83</v>
      </c>
      <c r="C72" s="16" t="s">
        <v>59</v>
      </c>
      <c r="D72" s="16" t="s">
        <v>47</v>
      </c>
      <c r="G72" s="52"/>
    </row>
    <row r="73" spans="1:7" x14ac:dyDescent="0.3">
      <c r="A73" s="114" t="s">
        <v>48</v>
      </c>
      <c r="B73" s="25" t="s">
        <v>210</v>
      </c>
      <c r="C73" s="125" t="s">
        <v>211</v>
      </c>
      <c r="D73" s="37">
        <f>D34+D65+D67+D51</f>
        <v>2449.0805814301093</v>
      </c>
      <c r="E73" s="36"/>
    </row>
    <row r="74" spans="1:7" x14ac:dyDescent="0.3">
      <c r="A74" s="114" t="s">
        <v>152</v>
      </c>
      <c r="B74" s="25" t="s">
        <v>165</v>
      </c>
      <c r="C74" s="124">
        <v>61</v>
      </c>
      <c r="D74" s="37">
        <f>((D34+D41)*(C74-1))+(D34+D39)</f>
        <v>111036.57090626183</v>
      </c>
      <c r="E74" s="36"/>
    </row>
    <row r="75" spans="1:7" x14ac:dyDescent="0.3">
      <c r="A75" s="114" t="s">
        <v>161</v>
      </c>
      <c r="B75" s="25" t="s">
        <v>84</v>
      </c>
      <c r="C75" s="35">
        <f>C51</f>
        <v>0.08</v>
      </c>
      <c r="D75" s="37">
        <f>C75*D74</f>
        <v>8882.9256725009454</v>
      </c>
    </row>
    <row r="76" spans="1:7" x14ac:dyDescent="0.3">
      <c r="A76" s="114" t="s">
        <v>162</v>
      </c>
      <c r="B76" s="25" t="s">
        <v>205</v>
      </c>
      <c r="C76" s="35">
        <v>0.4</v>
      </c>
      <c r="D76" s="37">
        <f>C76*D75</f>
        <v>3553.1702690003785</v>
      </c>
      <c r="G76" s="107"/>
    </row>
    <row r="77" spans="1:7" x14ac:dyDescent="0.3">
      <c r="A77" s="114" t="s">
        <v>209</v>
      </c>
      <c r="B77" s="123" t="s">
        <v>208</v>
      </c>
      <c r="C77" s="66">
        <v>0.1</v>
      </c>
      <c r="D77" s="106">
        <f>((D76+D73)*C77)</f>
        <v>600.22508504304881</v>
      </c>
      <c r="G77" s="107"/>
    </row>
    <row r="78" spans="1:7" x14ac:dyDescent="0.3">
      <c r="A78" s="114" t="s">
        <v>122</v>
      </c>
      <c r="B78" s="25" t="s">
        <v>165</v>
      </c>
      <c r="C78" s="126">
        <v>60</v>
      </c>
      <c r="D78" s="10">
        <f>(D34+D41)*C78</f>
        <v>109261.07838254546</v>
      </c>
      <c r="E78" s="36"/>
      <c r="G78" s="107"/>
    </row>
    <row r="79" spans="1:7" x14ac:dyDescent="0.3">
      <c r="A79" s="114" t="s">
        <v>163</v>
      </c>
      <c r="B79" s="25" t="s">
        <v>85</v>
      </c>
      <c r="C79" s="35">
        <f>C51</f>
        <v>0.08</v>
      </c>
      <c r="D79" s="10">
        <f>C79*D78</f>
        <v>8740.8862706036361</v>
      </c>
      <c r="G79" s="107"/>
    </row>
    <row r="80" spans="1:7" x14ac:dyDescent="0.3">
      <c r="A80" s="114" t="s">
        <v>164</v>
      </c>
      <c r="B80" s="25" t="s">
        <v>206</v>
      </c>
      <c r="C80" s="35">
        <v>0.4</v>
      </c>
      <c r="D80" s="37">
        <f>(C80*D79)</f>
        <v>3496.3545082414548</v>
      </c>
    </row>
    <row r="81" spans="1:8" x14ac:dyDescent="0.3">
      <c r="A81" s="114" t="s">
        <v>170</v>
      </c>
      <c r="B81" s="25" t="str">
        <f>"+ 7 dias ( parágrafo único do art. 488 da CLT)"</f>
        <v>+ 7 dias ( parágrafo único do art. 488 da CLT)</v>
      </c>
      <c r="C81" s="35">
        <f>((1/30)*7)</f>
        <v>0.23333333333333334</v>
      </c>
      <c r="D81" s="37">
        <f>C81*(D34+D41+D52)</f>
        <v>581.26893699514187</v>
      </c>
      <c r="G81" s="52"/>
    </row>
    <row r="82" spans="1:8" x14ac:dyDescent="0.3">
      <c r="A82" s="114" t="s">
        <v>4</v>
      </c>
      <c r="B82" s="123" t="s">
        <v>207</v>
      </c>
      <c r="C82" s="66">
        <v>0.9</v>
      </c>
      <c r="D82" s="106">
        <f>(C82*(D80+D81))</f>
        <v>3669.8611007129371</v>
      </c>
      <c r="G82" s="52"/>
    </row>
    <row r="83" spans="1:8" x14ac:dyDescent="0.3">
      <c r="A83" s="253" t="s">
        <v>86</v>
      </c>
      <c r="B83" s="254"/>
      <c r="C83" s="21">
        <f>C82+C77</f>
        <v>1</v>
      </c>
      <c r="D83" s="22">
        <f>((D82+D77)*D71)*C71</f>
        <v>50.956361816688094</v>
      </c>
      <c r="G83" s="107"/>
    </row>
    <row r="84" spans="1:8" x14ac:dyDescent="0.3">
      <c r="A84" s="240"/>
      <c r="B84" s="241"/>
      <c r="C84" s="241"/>
      <c r="D84" s="242"/>
    </row>
    <row r="85" spans="1:8" x14ac:dyDescent="0.3">
      <c r="A85" s="250" t="s">
        <v>87</v>
      </c>
      <c r="B85" s="251"/>
      <c r="C85" s="251"/>
      <c r="D85" s="252"/>
      <c r="G85" s="52"/>
    </row>
    <row r="86" spans="1:8" x14ac:dyDescent="0.3">
      <c r="A86" s="260"/>
      <c r="B86" s="261"/>
      <c r="C86" s="261"/>
      <c r="D86" s="262"/>
      <c r="G86" s="52"/>
    </row>
    <row r="87" spans="1:8" x14ac:dyDescent="0.3">
      <c r="A87" s="16" t="s">
        <v>88</v>
      </c>
      <c r="B87" s="23" t="s">
        <v>89</v>
      </c>
      <c r="C87" s="21" t="s">
        <v>59</v>
      </c>
      <c r="D87" s="16" t="s">
        <v>47</v>
      </c>
      <c r="H87" s="108"/>
    </row>
    <row r="88" spans="1:8" x14ac:dyDescent="0.3">
      <c r="A88" s="61" t="s">
        <v>48</v>
      </c>
      <c r="B88" s="25" t="s">
        <v>90</v>
      </c>
      <c r="C88" s="102">
        <f>((0.0416666666*24)+(0.08333333*24)+(0.08333333*12))*D71</f>
        <v>6.6666664639999998E-2</v>
      </c>
      <c r="D88" s="37">
        <f>C88*(D34+D68+D83)</f>
        <v>201.63266850256772</v>
      </c>
      <c r="G88" s="57"/>
    </row>
    <row r="89" spans="1:8" x14ac:dyDescent="0.3">
      <c r="A89" s="61" t="s">
        <v>24</v>
      </c>
      <c r="B89" s="25" t="s">
        <v>167</v>
      </c>
      <c r="C89" s="38">
        <v>1.66E-2</v>
      </c>
      <c r="D89" s="37">
        <f>C89*(D34+D68+D83)</f>
        <v>50.206535983418057</v>
      </c>
    </row>
    <row r="90" spans="1:8" x14ac:dyDescent="0.3">
      <c r="A90" s="61" t="s">
        <v>26</v>
      </c>
      <c r="B90" s="25" t="s">
        <v>168</v>
      </c>
      <c r="C90" s="38">
        <v>2.7000000000000001E-3</v>
      </c>
      <c r="D90" s="37">
        <f>C90*(D34+D68+D83)</f>
        <v>8.1661233226041414</v>
      </c>
    </row>
    <row r="91" spans="1:8" x14ac:dyDescent="0.3">
      <c r="A91" s="61" t="s">
        <v>28</v>
      </c>
      <c r="B91" s="25" t="s">
        <v>166</v>
      </c>
      <c r="C91" s="38">
        <v>2.8E-3</v>
      </c>
      <c r="D91" s="37">
        <f>C91*(D34+D68+D83)</f>
        <v>8.4685723345524426</v>
      </c>
    </row>
    <row r="92" spans="1:8" x14ac:dyDescent="0.3">
      <c r="A92" s="61" t="s">
        <v>31</v>
      </c>
      <c r="B92" s="25" t="s">
        <v>91</v>
      </c>
      <c r="C92" s="38">
        <v>2.0000000000000001E-4</v>
      </c>
      <c r="D92" s="37">
        <f>C92*(D34+D68+D83)</f>
        <v>0.60489802389660308</v>
      </c>
    </row>
    <row r="93" spans="1:8" x14ac:dyDescent="0.3">
      <c r="A93" s="61" t="s">
        <v>34</v>
      </c>
      <c r="B93" s="25" t="s">
        <v>92</v>
      </c>
      <c r="C93" s="38">
        <v>2.9999999999999997E-4</v>
      </c>
      <c r="D93" s="37">
        <f>C93*(D34+D68+D83)</f>
        <v>0.9073470358449045</v>
      </c>
      <c r="G93" s="97"/>
    </row>
    <row r="94" spans="1:8" x14ac:dyDescent="0.3">
      <c r="A94" s="61" t="s">
        <v>36</v>
      </c>
      <c r="B94" s="13" t="s">
        <v>54</v>
      </c>
      <c r="C94" s="39">
        <v>0</v>
      </c>
      <c r="D94" s="37">
        <f>C94*(D34+D68+D83)</f>
        <v>0</v>
      </c>
    </row>
    <row r="95" spans="1:8" x14ac:dyDescent="0.3">
      <c r="A95" s="253" t="s">
        <v>15</v>
      </c>
      <c r="B95" s="254"/>
      <c r="C95" s="21">
        <f>SUM(C88:C94)</f>
        <v>8.9266664639999993E-2</v>
      </c>
      <c r="D95" s="22">
        <f>SUM(D88:D94)</f>
        <v>269.9861452028839</v>
      </c>
      <c r="G95" s="52"/>
    </row>
    <row r="96" spans="1:8" x14ac:dyDescent="0.3">
      <c r="A96" s="240"/>
      <c r="B96" s="241"/>
      <c r="C96" s="241"/>
      <c r="D96" s="242"/>
      <c r="G96" s="52"/>
    </row>
    <row r="97" spans="1:7" x14ac:dyDescent="0.3">
      <c r="A97" s="250" t="s">
        <v>171</v>
      </c>
      <c r="B97" s="251"/>
      <c r="C97" s="251"/>
      <c r="D97" s="252"/>
      <c r="G97" s="52"/>
    </row>
    <row r="98" spans="1:7" x14ac:dyDescent="0.3">
      <c r="A98" s="260"/>
      <c r="B98" s="261"/>
      <c r="C98" s="261"/>
      <c r="D98" s="262"/>
      <c r="G98" s="52"/>
    </row>
    <row r="99" spans="1:7" x14ac:dyDescent="0.3">
      <c r="A99" s="65">
        <v>5</v>
      </c>
      <c r="B99" s="253" t="s">
        <v>94</v>
      </c>
      <c r="C99" s="254"/>
      <c r="D99" s="16" t="s">
        <v>47</v>
      </c>
    </row>
    <row r="100" spans="1:7" x14ac:dyDescent="0.3">
      <c r="A100" s="61" t="s">
        <v>48</v>
      </c>
      <c r="B100" s="264" t="s">
        <v>194</v>
      </c>
      <c r="C100" s="265"/>
      <c r="D100" s="109">
        <f>INSUMOS!G15</f>
        <v>29.437222222222221</v>
      </c>
    </row>
    <row r="101" spans="1:7" x14ac:dyDescent="0.3">
      <c r="A101" s="61" t="s">
        <v>24</v>
      </c>
      <c r="B101" s="264" t="s">
        <v>124</v>
      </c>
      <c r="C101" s="265"/>
      <c r="D101" s="112">
        <f>INSUMOS!G25</f>
        <v>2.8386666666666662</v>
      </c>
    </row>
    <row r="102" spans="1:7" x14ac:dyDescent="0.3">
      <c r="A102" s="114" t="s">
        <v>26</v>
      </c>
      <c r="B102" s="115" t="s">
        <v>221</v>
      </c>
      <c r="C102" s="116"/>
      <c r="D102" s="112">
        <f>INSUMOS!G42</f>
        <v>5.4657232704402512</v>
      </c>
    </row>
    <row r="103" spans="1:7" x14ac:dyDescent="0.3">
      <c r="A103" s="88" t="s">
        <v>28</v>
      </c>
      <c r="B103" s="290" t="s">
        <v>153</v>
      </c>
      <c r="C103" s="291"/>
      <c r="D103" s="101">
        <v>177</v>
      </c>
    </row>
    <row r="104" spans="1:7" x14ac:dyDescent="0.3">
      <c r="A104" s="61" t="s">
        <v>31</v>
      </c>
      <c r="B104" s="266" t="s">
        <v>54</v>
      </c>
      <c r="C104" s="267"/>
      <c r="D104" s="40">
        <v>0</v>
      </c>
    </row>
    <row r="105" spans="1:7" x14ac:dyDescent="0.3">
      <c r="A105" s="253" t="s">
        <v>95</v>
      </c>
      <c r="B105" s="255"/>
      <c r="C105" s="254"/>
      <c r="D105" s="22">
        <f>SUM(D100:D104)</f>
        <v>214.74161215932912</v>
      </c>
    </row>
    <row r="106" spans="1:7" x14ac:dyDescent="0.3">
      <c r="A106" s="240"/>
      <c r="B106" s="241"/>
      <c r="C106" s="241"/>
      <c r="D106" s="242"/>
    </row>
    <row r="107" spans="1:7" x14ac:dyDescent="0.3">
      <c r="A107" s="268" t="s">
        <v>96</v>
      </c>
      <c r="B107" s="268"/>
      <c r="C107" s="268"/>
      <c r="D107" s="41">
        <f>D34+D68+D83+D95+D105</f>
        <v>3509.2178768452286</v>
      </c>
    </row>
    <row r="108" spans="1:7" x14ac:dyDescent="0.3">
      <c r="A108" s="249"/>
      <c r="B108" s="249"/>
      <c r="C108" s="249"/>
      <c r="D108" s="249"/>
    </row>
    <row r="109" spans="1:7" x14ac:dyDescent="0.3">
      <c r="A109" s="263" t="s">
        <v>97</v>
      </c>
      <c r="B109" s="263"/>
      <c r="C109" s="263"/>
      <c r="D109" s="263"/>
    </row>
    <row r="110" spans="1:7" x14ac:dyDescent="0.3">
      <c r="A110" s="271"/>
      <c r="B110" s="272"/>
      <c r="C110" s="272"/>
      <c r="D110" s="273"/>
    </row>
    <row r="111" spans="1:7" x14ac:dyDescent="0.3">
      <c r="A111" s="65">
        <v>6</v>
      </c>
      <c r="B111" s="23" t="s">
        <v>98</v>
      </c>
      <c r="C111" s="16" t="s">
        <v>59</v>
      </c>
      <c r="D111" s="16" t="s">
        <v>47</v>
      </c>
    </row>
    <row r="112" spans="1:7" x14ac:dyDescent="0.3">
      <c r="A112" s="67" t="s">
        <v>48</v>
      </c>
      <c r="B112" s="25" t="s">
        <v>99</v>
      </c>
      <c r="C112" s="42">
        <v>8.8900000000000007E-2</v>
      </c>
      <c r="D112" s="43">
        <f>C112*D107</f>
        <v>311.96946925154083</v>
      </c>
    </row>
    <row r="113" spans="1:4" x14ac:dyDescent="0.3">
      <c r="A113" s="274" t="s">
        <v>4</v>
      </c>
      <c r="B113" s="275"/>
      <c r="C113" s="276"/>
      <c r="D113" s="43">
        <f>D107+D112</f>
        <v>3821.1873460967695</v>
      </c>
    </row>
    <row r="114" spans="1:4" x14ac:dyDescent="0.3">
      <c r="A114" s="67" t="s">
        <v>24</v>
      </c>
      <c r="B114" s="25" t="s">
        <v>100</v>
      </c>
      <c r="C114" s="42">
        <v>6.7799999999999999E-2</v>
      </c>
      <c r="D114" s="43">
        <f>C114*D113</f>
        <v>259.07650206536096</v>
      </c>
    </row>
    <row r="115" spans="1:4" x14ac:dyDescent="0.3">
      <c r="A115" s="274" t="s">
        <v>4</v>
      </c>
      <c r="B115" s="275"/>
      <c r="C115" s="275"/>
      <c r="D115" s="43">
        <f>D114+D113</f>
        <v>4080.2638481621307</v>
      </c>
    </row>
    <row r="116" spans="1:4" x14ac:dyDescent="0.3">
      <c r="A116" s="61" t="s">
        <v>26</v>
      </c>
      <c r="B116" s="269" t="s">
        <v>101</v>
      </c>
      <c r="C116" s="277"/>
      <c r="D116" s="270"/>
    </row>
    <row r="117" spans="1:4" x14ac:dyDescent="0.3">
      <c r="A117" s="62"/>
      <c r="B117" s="63" t="s">
        <v>102</v>
      </c>
      <c r="C117" s="44">
        <v>1.6500000000000001E-2</v>
      </c>
      <c r="D117" s="43">
        <f>(D115/(1-C120)*C117)</f>
        <v>76.722909965441787</v>
      </c>
    </row>
    <row r="118" spans="1:4" x14ac:dyDescent="0.3">
      <c r="A118" s="62"/>
      <c r="B118" s="63" t="s">
        <v>103</v>
      </c>
      <c r="C118" s="44">
        <v>7.5999999999999998E-2</v>
      </c>
      <c r="D118" s="43">
        <f>(D115/(1-C120)*C118)</f>
        <v>353.39037317415608</v>
      </c>
    </row>
    <row r="119" spans="1:4" x14ac:dyDescent="0.3">
      <c r="A119" s="62"/>
      <c r="B119" s="63" t="s">
        <v>104</v>
      </c>
      <c r="C119" s="45">
        <v>0.03</v>
      </c>
      <c r="D119" s="43">
        <f>(D115/(1-C120)*C119)</f>
        <v>139.49619993716686</v>
      </c>
    </row>
    <row r="120" spans="1:4" x14ac:dyDescent="0.3">
      <c r="A120" s="240" t="s">
        <v>105</v>
      </c>
      <c r="B120" s="242"/>
      <c r="C120" s="46">
        <f>SUM(C117:C119)</f>
        <v>0.1225</v>
      </c>
      <c r="D120" s="43">
        <f>SUM(D117:D119)</f>
        <v>569.60948307676472</v>
      </c>
    </row>
    <row r="121" spans="1:4" x14ac:dyDescent="0.3">
      <c r="A121" s="253" t="s">
        <v>106</v>
      </c>
      <c r="B121" s="254"/>
      <c r="C121" s="47">
        <f>SUM(C112+C114+C120)</f>
        <v>0.2792</v>
      </c>
      <c r="D121" s="15">
        <f>SUM(D120+D112+D114)</f>
        <v>1140.6554543936666</v>
      </c>
    </row>
    <row r="122" spans="1:4" x14ac:dyDescent="0.3">
      <c r="A122" s="240"/>
      <c r="B122" s="241"/>
      <c r="C122" s="241"/>
      <c r="D122" s="242"/>
    </row>
    <row r="123" spans="1:4" x14ac:dyDescent="0.3">
      <c r="A123" s="246" t="s">
        <v>107</v>
      </c>
      <c r="B123" s="248"/>
      <c r="C123" s="247"/>
      <c r="D123" s="48" t="s">
        <v>47</v>
      </c>
    </row>
    <row r="124" spans="1:4" x14ac:dyDescent="0.3">
      <c r="A124" s="227" t="s">
        <v>108</v>
      </c>
      <c r="B124" s="278"/>
      <c r="C124" s="278"/>
      <c r="D124" s="228"/>
    </row>
    <row r="125" spans="1:4" x14ac:dyDescent="0.3">
      <c r="A125" s="64" t="s">
        <v>48</v>
      </c>
      <c r="B125" s="227" t="s">
        <v>109</v>
      </c>
      <c r="C125" s="228"/>
      <c r="D125" s="10">
        <f>D34</f>
        <v>1638.9161757381819</v>
      </c>
    </row>
    <row r="126" spans="1:4" x14ac:dyDescent="0.3">
      <c r="A126" s="64" t="s">
        <v>24</v>
      </c>
      <c r="B126" s="227" t="s">
        <v>110</v>
      </c>
      <c r="C126" s="228"/>
      <c r="D126" s="10">
        <f>D68</f>
        <v>1334.6175819281455</v>
      </c>
    </row>
    <row r="127" spans="1:4" x14ac:dyDescent="0.3">
      <c r="A127" s="64" t="s">
        <v>26</v>
      </c>
      <c r="B127" s="227" t="s">
        <v>111</v>
      </c>
      <c r="C127" s="228"/>
      <c r="D127" s="10">
        <f>D83</f>
        <v>50.956361816688094</v>
      </c>
    </row>
    <row r="128" spans="1:4" x14ac:dyDescent="0.3">
      <c r="A128" s="64" t="s">
        <v>28</v>
      </c>
      <c r="B128" s="227" t="s">
        <v>112</v>
      </c>
      <c r="C128" s="228"/>
      <c r="D128" s="10">
        <f>D95</f>
        <v>269.9861452028839</v>
      </c>
    </row>
    <row r="129" spans="1:4" x14ac:dyDescent="0.3">
      <c r="A129" s="64" t="s">
        <v>31</v>
      </c>
      <c r="B129" s="227" t="s">
        <v>113</v>
      </c>
      <c r="C129" s="228"/>
      <c r="D129" s="10">
        <f>D105</f>
        <v>214.74161215932912</v>
      </c>
    </row>
    <row r="130" spans="1:4" x14ac:dyDescent="0.3">
      <c r="A130" s="282" t="s">
        <v>114</v>
      </c>
      <c r="B130" s="283"/>
      <c r="C130" s="284"/>
      <c r="D130" s="10">
        <f>SUM(D125:D129)</f>
        <v>3509.2178768452286</v>
      </c>
    </row>
    <row r="131" spans="1:4" x14ac:dyDescent="0.3">
      <c r="A131" s="64" t="s">
        <v>115</v>
      </c>
      <c r="B131" s="227" t="s">
        <v>116</v>
      </c>
      <c r="C131" s="228"/>
      <c r="D131" s="10">
        <f>D121</f>
        <v>1140.6554543936666</v>
      </c>
    </row>
    <row r="132" spans="1:4" x14ac:dyDescent="0.3">
      <c r="A132" s="246" t="s">
        <v>117</v>
      </c>
      <c r="B132" s="248"/>
      <c r="C132" s="247"/>
      <c r="D132" s="22">
        <f xml:space="preserve"> D130+D131</f>
        <v>4649.8733312388949</v>
      </c>
    </row>
    <row r="133" spans="1:4" x14ac:dyDescent="0.3">
      <c r="A133" s="1"/>
      <c r="B133" s="1"/>
      <c r="C133" s="1"/>
      <c r="D133" s="1"/>
    </row>
    <row r="134" spans="1:4" x14ac:dyDescent="0.3">
      <c r="A134" s="285" t="s">
        <v>3</v>
      </c>
      <c r="B134" s="286"/>
      <c r="C134" s="286"/>
      <c r="D134" s="53" t="s">
        <v>2</v>
      </c>
    </row>
    <row r="135" spans="1:4" x14ac:dyDescent="0.3">
      <c r="A135" s="279" t="s">
        <v>19</v>
      </c>
      <c r="B135" s="280"/>
      <c r="C135" s="281"/>
      <c r="D135" s="54">
        <f>D132</f>
        <v>4649.8733312388949</v>
      </c>
    </row>
    <row r="136" spans="1:4" x14ac:dyDescent="0.3">
      <c r="A136" s="58"/>
      <c r="B136" s="59" t="s">
        <v>17</v>
      </c>
      <c r="C136" s="60"/>
      <c r="D136" s="55">
        <f>Proposta!E6</f>
        <v>1</v>
      </c>
    </row>
    <row r="137" spans="1:4" x14ac:dyDescent="0.3">
      <c r="A137" s="279" t="s">
        <v>0</v>
      </c>
      <c r="B137" s="280"/>
      <c r="C137" s="281"/>
      <c r="D137" s="56">
        <f>D136*D135</f>
        <v>4649.8733312388949</v>
      </c>
    </row>
    <row r="138" spans="1:4" x14ac:dyDescent="0.3">
      <c r="A138" s="279" t="s">
        <v>134</v>
      </c>
      <c r="B138" s="280"/>
      <c r="C138" s="281"/>
      <c r="D138" s="49">
        <f>D137*24</f>
        <v>111596.95994973349</v>
      </c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x14ac:dyDescent="0.3">
      <c r="A141" s="1"/>
      <c r="B141" s="1"/>
      <c r="C141" s="1"/>
      <c r="D141" s="1"/>
    </row>
    <row r="142" spans="1:4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/>
    <row r="145" hidden="1" x14ac:dyDescent="0.3"/>
  </sheetData>
  <mergeCells count="82">
    <mergeCell ref="A138:C138"/>
    <mergeCell ref="B125:C125"/>
    <mergeCell ref="B126:C126"/>
    <mergeCell ref="B127:C127"/>
    <mergeCell ref="B128:C128"/>
    <mergeCell ref="B129:C129"/>
    <mergeCell ref="A130:C130"/>
    <mergeCell ref="B131:C131"/>
    <mergeCell ref="A132:C132"/>
    <mergeCell ref="A134:C134"/>
    <mergeCell ref="A135:C135"/>
    <mergeCell ref="A137:C137"/>
    <mergeCell ref="A124:D124"/>
    <mergeCell ref="A107:C107"/>
    <mergeCell ref="A108:D108"/>
    <mergeCell ref="A109:D109"/>
    <mergeCell ref="A110:D110"/>
    <mergeCell ref="A113:C113"/>
    <mergeCell ref="A115:C115"/>
    <mergeCell ref="B116:D116"/>
    <mergeCell ref="A120:B120"/>
    <mergeCell ref="A121:B121"/>
    <mergeCell ref="A122:D122"/>
    <mergeCell ref="A123:C123"/>
    <mergeCell ref="A106:D106"/>
    <mergeCell ref="A86:D86"/>
    <mergeCell ref="A95:B95"/>
    <mergeCell ref="A96:D96"/>
    <mergeCell ref="A97:D97"/>
    <mergeCell ref="A98:D98"/>
    <mergeCell ref="B99:C99"/>
    <mergeCell ref="B100:C100"/>
    <mergeCell ref="B101:C101"/>
    <mergeCell ref="B103:C103"/>
    <mergeCell ref="B104:C104"/>
    <mergeCell ref="A105:C105"/>
    <mergeCell ref="A85:D85"/>
    <mergeCell ref="A62:C62"/>
    <mergeCell ref="A63:D63"/>
    <mergeCell ref="A64:B64"/>
    <mergeCell ref="A68:C68"/>
    <mergeCell ref="A69:D69"/>
    <mergeCell ref="A70:D70"/>
    <mergeCell ref="A71:B71"/>
    <mergeCell ref="A83:B83"/>
    <mergeCell ref="A84:D84"/>
    <mergeCell ref="A53:D53"/>
    <mergeCell ref="A23:D23"/>
    <mergeCell ref="A24:D24"/>
    <mergeCell ref="A25:D25"/>
    <mergeCell ref="B26:C26"/>
    <mergeCell ref="A34:C34"/>
    <mergeCell ref="A35:D35"/>
    <mergeCell ref="A36:D36"/>
    <mergeCell ref="A37:D37"/>
    <mergeCell ref="A41:B41"/>
    <mergeCell ref="A42:D42"/>
    <mergeCell ref="A52:B52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9"/>
  <dimension ref="A1:WVO147"/>
  <sheetViews>
    <sheetView topLeftCell="A37" zoomScale="80" zoomScaleNormal="80" workbookViewId="0">
      <selection activeCell="C54" sqref="C54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196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Proposta!E10</f>
        <v>1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1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0.2</v>
      </c>
      <c r="D29" s="12">
        <f>C29*D27</f>
        <v>340.52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2043.12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170.26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56.75333333333333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227.01333333333332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454.02666666666664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56.75333333333333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68.103999999999999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34.052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22.701333333333334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13.620799999999999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4.5402666666666667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181.61066666666667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835.40906666666672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136">
        <v>3.63</v>
      </c>
      <c r="D54" s="31">
        <f>(21*2*C54)-(D27*6%)*(56/60)</f>
        <v>57.114400000000018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20.4312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102.15600000000001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511.05340000000001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227.01333333333332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835.40906666666672</v>
      </c>
    </row>
    <row r="66" spans="1:5" x14ac:dyDescent="0.3">
      <c r="A66" s="61" t="s">
        <v>82</v>
      </c>
      <c r="B66" s="25" t="s">
        <v>74</v>
      </c>
      <c r="C66" s="35">
        <f>D61/D33</f>
        <v>0.25013381494968484</v>
      </c>
      <c r="D66" s="10">
        <f>D61</f>
        <v>511.05340000000001</v>
      </c>
    </row>
    <row r="67" spans="1:5" x14ac:dyDescent="0.3">
      <c r="A67" s="253" t="s">
        <v>15</v>
      </c>
      <c r="B67" s="255"/>
      <c r="C67" s="254"/>
      <c r="D67" s="22">
        <f>SUM(D64:D66)</f>
        <v>1573.4757999999999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2962.7973999999995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138421.38</v>
      </c>
      <c r="E73" s="36"/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11073.7104</v>
      </c>
      <c r="E74" s="36"/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4429.48416</v>
      </c>
      <c r="E75" s="36"/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739.22815600000001</v>
      </c>
      <c r="E76" s="36"/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136208</v>
      </c>
      <c r="E77" s="36"/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10896.64</v>
      </c>
      <c r="E78" s="36"/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4358.6559999999999</v>
      </c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724.62655999999993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4574.9543039999999</v>
      </c>
      <c r="E81" s="36"/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63.415910689333323</v>
      </c>
      <c r="G82" s="52"/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  <c r="G84" s="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245.33410658779849</v>
      </c>
      <c r="G87" s="52"/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61.08819439744294</v>
      </c>
      <c r="G88" s="52"/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9.9360316188612003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10.304032789930133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0.73600234213786675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1.1040035132068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328.5023712493774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INSUMOS!G25</f>
        <v>2.8386666666666662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37.741612159329136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4046.2556940980403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8.8900000000000007E-2</v>
      </c>
      <c r="D110" s="43">
        <f>C110*D105</f>
        <v>359.71213120531581</v>
      </c>
    </row>
    <row r="111" spans="1:4" x14ac:dyDescent="0.3">
      <c r="A111" s="274" t="s">
        <v>4</v>
      </c>
      <c r="B111" s="275"/>
      <c r="C111" s="276"/>
      <c r="D111" s="43">
        <f>D105+D110</f>
        <v>4405.9678253033562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298.72461855556753</v>
      </c>
    </row>
    <row r="113" spans="1:4" x14ac:dyDescent="0.3">
      <c r="A113" s="274" t="s">
        <v>4</v>
      </c>
      <c r="B113" s="275"/>
      <c r="C113" s="275"/>
      <c r="D113" s="43">
        <f>D112+D111</f>
        <v>4704.692443858924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88.464302363159277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407.47193815758209</v>
      </c>
    </row>
    <row r="117" spans="1:4" x14ac:dyDescent="0.3">
      <c r="A117" s="62"/>
      <c r="B117" s="63" t="s">
        <v>104</v>
      </c>
      <c r="C117" s="45">
        <v>0.03</v>
      </c>
      <c r="D117" s="43">
        <f>(D113/(1-C118)*C117)</f>
        <v>160.84418611483503</v>
      </c>
    </row>
    <row r="118" spans="1:4" x14ac:dyDescent="0.3">
      <c r="A118" s="240" t="s">
        <v>105</v>
      </c>
      <c r="B118" s="242"/>
      <c r="C118" s="46">
        <f>SUM(C115:C117)</f>
        <v>0.1225</v>
      </c>
      <c r="D118" s="43">
        <f>SUM(D115:D117)</f>
        <v>656.78042663557642</v>
      </c>
    </row>
    <row r="119" spans="1:4" x14ac:dyDescent="0.3">
      <c r="A119" s="253" t="s">
        <v>106</v>
      </c>
      <c r="B119" s="254"/>
      <c r="C119" s="47">
        <f>SUM(C110+C112+C118)</f>
        <v>0.2792</v>
      </c>
      <c r="D119" s="15">
        <f>SUM(D118+D110+D112)</f>
        <v>1315.2171763964598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2043.12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1573.4757999999999</v>
      </c>
    </row>
    <row r="125" spans="1:4" x14ac:dyDescent="0.3">
      <c r="A125" s="64" t="s">
        <v>26</v>
      </c>
      <c r="B125" s="227" t="s">
        <v>111</v>
      </c>
      <c r="C125" s="228"/>
      <c r="D125" s="10">
        <f>D82</f>
        <v>63.415910689333323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328.5023712493774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37.741612159329136</v>
      </c>
    </row>
    <row r="128" spans="1:4" x14ac:dyDescent="0.3">
      <c r="A128" s="282" t="s">
        <v>114</v>
      </c>
      <c r="B128" s="283"/>
      <c r="C128" s="284"/>
      <c r="D128" s="10">
        <f>SUM(D123:D127)</f>
        <v>4046.2556940980403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1315.2171763964598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5361.4728704945001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5361.4728704945001</v>
      </c>
    </row>
    <row r="134" spans="1:4" x14ac:dyDescent="0.3">
      <c r="A134" s="279" t="s">
        <v>1</v>
      </c>
      <c r="B134" s="280"/>
      <c r="C134" s="281"/>
      <c r="D134" s="55">
        <f>Proposta!E10</f>
        <v>1</v>
      </c>
    </row>
    <row r="135" spans="1:4" x14ac:dyDescent="0.3">
      <c r="A135" s="279" t="s">
        <v>0</v>
      </c>
      <c r="B135" s="280"/>
      <c r="C135" s="281"/>
      <c r="D135" s="56">
        <f>D134*D133</f>
        <v>5361.4728704945001</v>
      </c>
    </row>
    <row r="136" spans="1:4" x14ac:dyDescent="0.3">
      <c r="A136" s="279" t="s">
        <v>134</v>
      </c>
      <c r="B136" s="280"/>
      <c r="C136" s="281"/>
      <c r="D136" s="49">
        <f>D135*24</f>
        <v>128675.34889186799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hidden="1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</sheetData>
  <mergeCells count="82">
    <mergeCell ref="A133:C133"/>
    <mergeCell ref="A135:C135"/>
    <mergeCell ref="A136:C136"/>
    <mergeCell ref="A134:C134"/>
    <mergeCell ref="A82:B82"/>
    <mergeCell ref="A83:D83"/>
    <mergeCell ref="A84:D84"/>
    <mergeCell ref="B126:C126"/>
    <mergeCell ref="B127:C127"/>
    <mergeCell ref="A128:C128"/>
    <mergeCell ref="B129:C129"/>
    <mergeCell ref="A130:C130"/>
    <mergeCell ref="A132:C132"/>
    <mergeCell ref="A120:D120"/>
    <mergeCell ref="A121:C121"/>
    <mergeCell ref="A122:D122"/>
    <mergeCell ref="B123:C123"/>
    <mergeCell ref="B124:C124"/>
    <mergeCell ref="B125:C125"/>
    <mergeCell ref="A119:B119"/>
    <mergeCell ref="B102:C102"/>
    <mergeCell ref="A103:C103"/>
    <mergeCell ref="A104:D104"/>
    <mergeCell ref="A105:C105"/>
    <mergeCell ref="A106:D106"/>
    <mergeCell ref="A107:D107"/>
    <mergeCell ref="A108:D108"/>
    <mergeCell ref="A111:C111"/>
    <mergeCell ref="A113:C113"/>
    <mergeCell ref="B114:D114"/>
    <mergeCell ref="A118:B118"/>
    <mergeCell ref="B100:C100"/>
    <mergeCell ref="A70:B70"/>
    <mergeCell ref="A85:D85"/>
    <mergeCell ref="A94:B94"/>
    <mergeCell ref="A61:C61"/>
    <mergeCell ref="A62:D62"/>
    <mergeCell ref="A63:B63"/>
    <mergeCell ref="A67:C67"/>
    <mergeCell ref="A68:D68"/>
    <mergeCell ref="A69:D69"/>
    <mergeCell ref="A95:D95"/>
    <mergeCell ref="A96:D96"/>
    <mergeCell ref="A97:D97"/>
    <mergeCell ref="B98:C98"/>
    <mergeCell ref="B99:C99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0"/>
  <dimension ref="A1:WVO148"/>
  <sheetViews>
    <sheetView topLeftCell="A33" zoomScale="80" zoomScaleNormal="80" workbookViewId="0">
      <selection activeCell="G69" sqref="G69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217" t="s">
        <v>9</v>
      </c>
      <c r="B1" s="217"/>
      <c r="C1" s="217"/>
      <c r="D1" s="217"/>
    </row>
    <row r="2" spans="1:4" x14ac:dyDescent="0.3">
      <c r="A2" s="218" t="s">
        <v>20</v>
      </c>
      <c r="B2" s="218"/>
      <c r="C2" s="219" t="s">
        <v>18</v>
      </c>
      <c r="D2" s="220"/>
    </row>
    <row r="3" spans="1:4" x14ac:dyDescent="0.3">
      <c r="A3" s="218" t="s">
        <v>21</v>
      </c>
      <c r="B3" s="218"/>
      <c r="C3" s="219" t="s">
        <v>118</v>
      </c>
      <c r="D3" s="220"/>
    </row>
    <row r="4" spans="1:4" x14ac:dyDescent="0.3">
      <c r="A4" s="221"/>
      <c r="B4" s="221"/>
      <c r="C4" s="221"/>
      <c r="D4" s="221"/>
    </row>
    <row r="5" spans="1:4" x14ac:dyDescent="0.3">
      <c r="A5" s="221" t="s">
        <v>22</v>
      </c>
      <c r="B5" s="221"/>
      <c r="C5" s="221"/>
      <c r="D5" s="221"/>
    </row>
    <row r="6" spans="1:4" x14ac:dyDescent="0.3">
      <c r="A6" s="64" t="s">
        <v>23</v>
      </c>
      <c r="B6" s="63" t="s">
        <v>8</v>
      </c>
      <c r="C6" s="222" t="s">
        <v>119</v>
      </c>
      <c r="D6" s="223"/>
    </row>
    <row r="7" spans="1:4" x14ac:dyDescent="0.3">
      <c r="A7" s="64" t="s">
        <v>24</v>
      </c>
      <c r="B7" s="63" t="s">
        <v>7</v>
      </c>
      <c r="C7" s="224" t="s">
        <v>195</v>
      </c>
      <c r="D7" s="224"/>
    </row>
    <row r="8" spans="1:4" x14ac:dyDescent="0.3">
      <c r="A8" s="3" t="s">
        <v>26</v>
      </c>
      <c r="B8" s="4" t="s">
        <v>27</v>
      </c>
      <c r="C8" s="225"/>
      <c r="D8" s="226"/>
    </row>
    <row r="9" spans="1:4" x14ac:dyDescent="0.3">
      <c r="A9" s="64" t="s">
        <v>28</v>
      </c>
      <c r="B9" s="63" t="s">
        <v>29</v>
      </c>
      <c r="C9" s="215" t="s">
        <v>30</v>
      </c>
      <c r="D9" s="216"/>
    </row>
    <row r="10" spans="1:4" x14ac:dyDescent="0.3">
      <c r="A10" s="64" t="s">
        <v>31</v>
      </c>
      <c r="B10" s="63" t="s">
        <v>32</v>
      </c>
      <c r="C10" s="215" t="s">
        <v>33</v>
      </c>
      <c r="D10" s="216"/>
    </row>
    <row r="11" spans="1:4" x14ac:dyDescent="0.3">
      <c r="A11" s="64" t="s">
        <v>34</v>
      </c>
      <c r="B11" s="63" t="s">
        <v>35</v>
      </c>
      <c r="C11" s="229">
        <f>Proposta!E11</f>
        <v>4</v>
      </c>
      <c r="D11" s="230"/>
    </row>
    <row r="12" spans="1:4" x14ac:dyDescent="0.3">
      <c r="A12" s="64" t="s">
        <v>36</v>
      </c>
      <c r="B12" s="63" t="s">
        <v>37</v>
      </c>
      <c r="C12" s="231">
        <v>24</v>
      </c>
      <c r="D12" s="232"/>
    </row>
    <row r="13" spans="1:4" x14ac:dyDescent="0.3">
      <c r="A13" s="233"/>
      <c r="B13" s="234"/>
      <c r="C13" s="234"/>
      <c r="D13" s="234"/>
    </row>
    <row r="14" spans="1:4" x14ac:dyDescent="0.3">
      <c r="A14" s="235" t="s">
        <v>38</v>
      </c>
      <c r="B14" s="236"/>
      <c r="C14" s="236"/>
      <c r="D14" s="237"/>
    </row>
    <row r="15" spans="1:4" x14ac:dyDescent="0.3">
      <c r="A15" s="224" t="s">
        <v>39</v>
      </c>
      <c r="B15" s="224"/>
      <c r="C15" s="224"/>
      <c r="D15" s="224"/>
    </row>
    <row r="16" spans="1:4" x14ac:dyDescent="0.3">
      <c r="A16" s="64">
        <v>1</v>
      </c>
      <c r="B16" s="63" t="s">
        <v>40</v>
      </c>
      <c r="C16" s="215" t="s">
        <v>1</v>
      </c>
      <c r="D16" s="216" t="s">
        <v>1</v>
      </c>
    </row>
    <row r="17" spans="1:4" x14ac:dyDescent="0.3">
      <c r="A17" s="64"/>
      <c r="B17" s="50" t="s">
        <v>120</v>
      </c>
      <c r="C17" s="215">
        <f>C11</f>
        <v>4</v>
      </c>
      <c r="D17" s="216">
        <v>1</v>
      </c>
    </row>
    <row r="18" spans="1:4" x14ac:dyDescent="0.3">
      <c r="A18" s="64">
        <v>2</v>
      </c>
      <c r="B18" s="5" t="s">
        <v>41</v>
      </c>
      <c r="C18" s="238" t="s">
        <v>42</v>
      </c>
      <c r="D18" s="239"/>
    </row>
    <row r="19" spans="1:4" x14ac:dyDescent="0.3">
      <c r="A19" s="224" t="s">
        <v>43</v>
      </c>
      <c r="B19" s="224"/>
      <c r="C19" s="224"/>
      <c r="D19" s="224"/>
    </row>
    <row r="20" spans="1:4" x14ac:dyDescent="0.3">
      <c r="A20" s="64">
        <v>3</v>
      </c>
      <c r="B20" s="227" t="s">
        <v>6</v>
      </c>
      <c r="C20" s="228"/>
      <c r="D20" s="6">
        <v>1702.6</v>
      </c>
    </row>
    <row r="21" spans="1:4" x14ac:dyDescent="0.3">
      <c r="A21" s="64">
        <v>4</v>
      </c>
      <c r="B21" s="227" t="s">
        <v>44</v>
      </c>
      <c r="C21" s="228"/>
      <c r="D21" s="7" t="s">
        <v>121</v>
      </c>
    </row>
    <row r="22" spans="1:4" x14ac:dyDescent="0.3">
      <c r="A22" s="64">
        <v>5</v>
      </c>
      <c r="B22" s="227" t="s">
        <v>5</v>
      </c>
      <c r="C22" s="228"/>
      <c r="D22" s="8">
        <v>44197</v>
      </c>
    </row>
    <row r="23" spans="1:4" x14ac:dyDescent="0.3">
      <c r="A23" s="215"/>
      <c r="B23" s="243"/>
      <c r="C23" s="243"/>
      <c r="D23" s="216"/>
    </row>
    <row r="24" spans="1:4" x14ac:dyDescent="0.3">
      <c r="A24" s="244" t="s">
        <v>45</v>
      </c>
      <c r="B24" s="244"/>
      <c r="C24" s="244"/>
      <c r="D24" s="244"/>
    </row>
    <row r="25" spans="1:4" x14ac:dyDescent="0.3">
      <c r="A25" s="231"/>
      <c r="B25" s="245"/>
      <c r="C25" s="245"/>
      <c r="D25" s="232"/>
    </row>
    <row r="26" spans="1:4" x14ac:dyDescent="0.3">
      <c r="A26" s="65">
        <v>1</v>
      </c>
      <c r="B26" s="246" t="s">
        <v>46</v>
      </c>
      <c r="C26" s="247"/>
      <c r="D26" s="65" t="s">
        <v>47</v>
      </c>
    </row>
    <row r="27" spans="1:4" x14ac:dyDescent="0.3">
      <c r="A27" s="64" t="s">
        <v>48</v>
      </c>
      <c r="B27" s="63" t="s">
        <v>49</v>
      </c>
      <c r="C27" s="9">
        <v>220</v>
      </c>
      <c r="D27" s="10">
        <f>D20/220*C27</f>
        <v>1702.6</v>
      </c>
    </row>
    <row r="28" spans="1:4" x14ac:dyDescent="0.3">
      <c r="A28" s="64" t="s">
        <v>24</v>
      </c>
      <c r="B28" s="63" t="s">
        <v>50</v>
      </c>
      <c r="C28" s="11">
        <v>0</v>
      </c>
      <c r="D28" s="10">
        <f>C28*D27</f>
        <v>0</v>
      </c>
    </row>
    <row r="29" spans="1:4" x14ac:dyDescent="0.3">
      <c r="A29" s="64" t="s">
        <v>26</v>
      </c>
      <c r="B29" s="63" t="s">
        <v>51</v>
      </c>
      <c r="C29" s="11">
        <v>0</v>
      </c>
      <c r="D29" s="12">
        <f>C29*724</f>
        <v>0</v>
      </c>
    </row>
    <row r="30" spans="1:4" x14ac:dyDescent="0.3">
      <c r="A30" s="64" t="s">
        <v>28</v>
      </c>
      <c r="B30" s="63" t="s">
        <v>52</v>
      </c>
      <c r="C30" s="11">
        <v>0</v>
      </c>
      <c r="D30" s="12">
        <f>(D27/C27*15*C30*7)</f>
        <v>0</v>
      </c>
    </row>
    <row r="31" spans="1:4" x14ac:dyDescent="0.3">
      <c r="A31" s="64" t="s">
        <v>31</v>
      </c>
      <c r="B31" s="63" t="s">
        <v>53</v>
      </c>
      <c r="C31" s="11">
        <v>0</v>
      </c>
      <c r="D31" s="12">
        <v>0</v>
      </c>
    </row>
    <row r="32" spans="1:4" x14ac:dyDescent="0.3">
      <c r="A32" s="64" t="s">
        <v>34</v>
      </c>
      <c r="B32" s="13" t="s">
        <v>54</v>
      </c>
      <c r="C32" s="14">
        <v>0</v>
      </c>
      <c r="D32" s="12">
        <v>0</v>
      </c>
    </row>
    <row r="33" spans="1:4" x14ac:dyDescent="0.3">
      <c r="A33" s="246" t="s">
        <v>55</v>
      </c>
      <c r="B33" s="248"/>
      <c r="C33" s="247"/>
      <c r="D33" s="15">
        <f>SUM(D27:D32)</f>
        <v>1702.6</v>
      </c>
    </row>
    <row r="34" spans="1:4" x14ac:dyDescent="0.3">
      <c r="A34" s="249"/>
      <c r="B34" s="249"/>
      <c r="C34" s="249"/>
      <c r="D34" s="249"/>
    </row>
    <row r="35" spans="1:4" x14ac:dyDescent="0.3">
      <c r="A35" s="250" t="s">
        <v>56</v>
      </c>
      <c r="B35" s="251"/>
      <c r="C35" s="251"/>
      <c r="D35" s="252"/>
    </row>
    <row r="36" spans="1:4" x14ac:dyDescent="0.3">
      <c r="A36" s="240"/>
      <c r="B36" s="241"/>
      <c r="C36" s="241"/>
      <c r="D36" s="242"/>
    </row>
    <row r="37" spans="1:4" x14ac:dyDescent="0.3">
      <c r="A37" s="16" t="s">
        <v>57</v>
      </c>
      <c r="B37" s="17" t="s">
        <v>58</v>
      </c>
      <c r="C37" s="16" t="s">
        <v>59</v>
      </c>
      <c r="D37" s="16" t="s">
        <v>47</v>
      </c>
    </row>
    <row r="38" spans="1:4" x14ac:dyDescent="0.3">
      <c r="A38" s="18" t="s">
        <v>48</v>
      </c>
      <c r="B38" s="19" t="s">
        <v>60</v>
      </c>
      <c r="C38" s="20">
        <f>1/12</f>
        <v>8.3333333333333329E-2</v>
      </c>
      <c r="D38" s="10">
        <f>C38*D33</f>
        <v>141.88333333333333</v>
      </c>
    </row>
    <row r="39" spans="1:4" x14ac:dyDescent="0.3">
      <c r="A39" s="18" t="s">
        <v>24</v>
      </c>
      <c r="B39" s="19" t="s">
        <v>61</v>
      </c>
      <c r="C39" s="20">
        <f>(C38*1/3)</f>
        <v>2.7777777777777776E-2</v>
      </c>
      <c r="D39" s="10">
        <f>C39*D33</f>
        <v>47.294444444444437</v>
      </c>
    </row>
    <row r="40" spans="1:4" x14ac:dyDescent="0.3">
      <c r="A40" s="253" t="s">
        <v>15</v>
      </c>
      <c r="B40" s="254"/>
      <c r="C40" s="21">
        <f>SUM(C38:C39)</f>
        <v>0.1111111111111111</v>
      </c>
      <c r="D40" s="22">
        <f>SUM(D38:D39)</f>
        <v>189.17777777777775</v>
      </c>
    </row>
    <row r="41" spans="1:4" x14ac:dyDescent="0.3">
      <c r="A41" s="240"/>
      <c r="B41" s="241"/>
      <c r="C41" s="241"/>
      <c r="D41" s="242"/>
    </row>
    <row r="42" spans="1:4" x14ac:dyDescent="0.3">
      <c r="A42" s="16" t="s">
        <v>62</v>
      </c>
      <c r="B42" s="23" t="s">
        <v>63</v>
      </c>
      <c r="C42" s="16" t="s">
        <v>59</v>
      </c>
      <c r="D42" s="24" t="s">
        <v>47</v>
      </c>
    </row>
    <row r="43" spans="1:4" x14ac:dyDescent="0.3">
      <c r="A43" s="61" t="s">
        <v>48</v>
      </c>
      <c r="B43" s="25" t="s">
        <v>64</v>
      </c>
      <c r="C43" s="26">
        <v>0.2</v>
      </c>
      <c r="D43" s="10">
        <f t="shared" ref="D43:D50" si="0">C43*($D$33+$D$40)</f>
        <v>378.35555555555555</v>
      </c>
    </row>
    <row r="44" spans="1:4" x14ac:dyDescent="0.3">
      <c r="A44" s="61" t="s">
        <v>24</v>
      </c>
      <c r="B44" s="25" t="s">
        <v>65</v>
      </c>
      <c r="C44" s="26">
        <v>2.5000000000000001E-2</v>
      </c>
      <c r="D44" s="10">
        <f t="shared" si="0"/>
        <v>47.294444444444444</v>
      </c>
    </row>
    <row r="45" spans="1:4" x14ac:dyDescent="0.3">
      <c r="A45" s="61" t="s">
        <v>26</v>
      </c>
      <c r="B45" s="25" t="s">
        <v>66</v>
      </c>
      <c r="C45" s="27">
        <v>0.03</v>
      </c>
      <c r="D45" s="10">
        <f t="shared" si="0"/>
        <v>56.753333333333323</v>
      </c>
    </row>
    <row r="46" spans="1:4" x14ac:dyDescent="0.3">
      <c r="A46" s="61" t="s">
        <v>28</v>
      </c>
      <c r="B46" s="25" t="s">
        <v>67</v>
      </c>
      <c r="C46" s="26">
        <v>1.4999999999999999E-2</v>
      </c>
      <c r="D46" s="10">
        <f t="shared" si="0"/>
        <v>28.376666666666662</v>
      </c>
    </row>
    <row r="47" spans="1:4" x14ac:dyDescent="0.3">
      <c r="A47" s="61" t="s">
        <v>31</v>
      </c>
      <c r="B47" s="25" t="s">
        <v>68</v>
      </c>
      <c r="C47" s="26">
        <v>0.01</v>
      </c>
      <c r="D47" s="10">
        <f t="shared" si="0"/>
        <v>18.917777777777776</v>
      </c>
    </row>
    <row r="48" spans="1:4" x14ac:dyDescent="0.3">
      <c r="A48" s="61" t="s">
        <v>34</v>
      </c>
      <c r="B48" s="25" t="s">
        <v>69</v>
      </c>
      <c r="C48" s="26">
        <v>6.0000000000000001E-3</v>
      </c>
      <c r="D48" s="10">
        <f t="shared" si="0"/>
        <v>11.350666666666665</v>
      </c>
    </row>
    <row r="49" spans="1:4" x14ac:dyDescent="0.3">
      <c r="A49" s="61" t="s">
        <v>36</v>
      </c>
      <c r="B49" s="25" t="s">
        <v>70</v>
      </c>
      <c r="C49" s="26">
        <v>2E-3</v>
      </c>
      <c r="D49" s="10">
        <f t="shared" si="0"/>
        <v>3.7835555555555551</v>
      </c>
    </row>
    <row r="50" spans="1:4" x14ac:dyDescent="0.3">
      <c r="A50" s="61" t="s">
        <v>71</v>
      </c>
      <c r="B50" s="25" t="s">
        <v>72</v>
      </c>
      <c r="C50" s="26">
        <v>0.08</v>
      </c>
      <c r="D50" s="10">
        <f t="shared" si="0"/>
        <v>151.3422222222222</v>
      </c>
    </row>
    <row r="51" spans="1:4" x14ac:dyDescent="0.3">
      <c r="A51" s="253" t="s">
        <v>15</v>
      </c>
      <c r="B51" s="254"/>
      <c r="C51" s="28">
        <f>SUM(C43:C50)</f>
        <v>0.36800000000000005</v>
      </c>
      <c r="D51" s="29">
        <f>SUM(D43:D50)</f>
        <v>696.17422222222228</v>
      </c>
    </row>
    <row r="52" spans="1:4" x14ac:dyDescent="0.3">
      <c r="A52" s="240"/>
      <c r="B52" s="241"/>
      <c r="C52" s="241"/>
      <c r="D52" s="242"/>
    </row>
    <row r="53" spans="1:4" x14ac:dyDescent="0.3">
      <c r="A53" s="16" t="s">
        <v>73</v>
      </c>
      <c r="B53" s="23" t="s">
        <v>74</v>
      </c>
      <c r="C53" s="16" t="s">
        <v>75</v>
      </c>
      <c r="D53" s="16" t="s">
        <v>47</v>
      </c>
    </row>
    <row r="54" spans="1:4" x14ac:dyDescent="0.3">
      <c r="A54" s="61" t="s">
        <v>48</v>
      </c>
      <c r="B54" s="25" t="s">
        <v>76</v>
      </c>
      <c r="C54" s="30">
        <v>4.75</v>
      </c>
      <c r="D54" s="31">
        <f>(21*2*C54)-(D27*6%)*(56/60)</f>
        <v>104.15440000000001</v>
      </c>
    </row>
    <row r="55" spans="1:4" x14ac:dyDescent="0.3">
      <c r="A55" s="61" t="s">
        <v>24</v>
      </c>
      <c r="B55" s="25" t="s">
        <v>77</v>
      </c>
      <c r="C55" s="32">
        <v>16.55</v>
      </c>
      <c r="D55" s="31">
        <f>(C55*21)*(56/60)</f>
        <v>324.38</v>
      </c>
    </row>
    <row r="56" spans="1:4" x14ac:dyDescent="0.3">
      <c r="A56" s="114" t="s">
        <v>122</v>
      </c>
      <c r="B56" s="25" t="s">
        <v>123</v>
      </c>
      <c r="C56" s="51">
        <v>-0.01</v>
      </c>
      <c r="D56" s="31">
        <f>C56*D55</f>
        <v>-3.2438000000000002</v>
      </c>
    </row>
    <row r="57" spans="1:4" x14ac:dyDescent="0.3">
      <c r="A57" s="114" t="s">
        <v>26</v>
      </c>
      <c r="B57" s="34" t="s">
        <v>214</v>
      </c>
      <c r="C57" s="51">
        <v>0.01</v>
      </c>
      <c r="D57" s="31">
        <f>C57*D33</f>
        <v>17.026</v>
      </c>
    </row>
    <row r="58" spans="1:4" x14ac:dyDescent="0.3">
      <c r="A58" s="114" t="s">
        <v>28</v>
      </c>
      <c r="B58" s="34" t="s">
        <v>215</v>
      </c>
      <c r="C58" s="51">
        <v>6.0000000000000001E-3</v>
      </c>
      <c r="D58" s="31">
        <f>C58*D27</f>
        <v>10.2156</v>
      </c>
    </row>
    <row r="59" spans="1:4" x14ac:dyDescent="0.3">
      <c r="A59" s="114" t="s">
        <v>31</v>
      </c>
      <c r="B59" s="34" t="s">
        <v>78</v>
      </c>
      <c r="C59" s="51">
        <v>0.05</v>
      </c>
      <c r="D59" s="127">
        <f>C59*D33</f>
        <v>85.13</v>
      </c>
    </row>
    <row r="60" spans="1:4" x14ac:dyDescent="0.3">
      <c r="A60" s="114" t="s">
        <v>34</v>
      </c>
      <c r="B60" s="34" t="s">
        <v>54</v>
      </c>
      <c r="C60" s="128"/>
      <c r="D60" s="33">
        <f>C60*D33</f>
        <v>0</v>
      </c>
    </row>
    <row r="61" spans="1:4" x14ac:dyDescent="0.3">
      <c r="A61" s="253" t="s">
        <v>79</v>
      </c>
      <c r="B61" s="255"/>
      <c r="C61" s="254"/>
      <c r="D61" s="22">
        <f>SUM(D54:D60)</f>
        <v>537.66219999999998</v>
      </c>
    </row>
    <row r="62" spans="1:4" x14ac:dyDescent="0.3">
      <c r="A62" s="240"/>
      <c r="B62" s="241"/>
      <c r="C62" s="241"/>
      <c r="D62" s="242"/>
    </row>
    <row r="63" spans="1:4" x14ac:dyDescent="0.3">
      <c r="A63" s="256" t="s">
        <v>80</v>
      </c>
      <c r="B63" s="257"/>
      <c r="C63" s="16" t="s">
        <v>59</v>
      </c>
      <c r="D63" s="16" t="s">
        <v>47</v>
      </c>
    </row>
    <row r="64" spans="1:4" x14ac:dyDescent="0.3">
      <c r="A64" s="61" t="s">
        <v>81</v>
      </c>
      <c r="B64" s="25" t="s">
        <v>58</v>
      </c>
      <c r="C64" s="35">
        <f>C40</f>
        <v>0.1111111111111111</v>
      </c>
      <c r="D64" s="10">
        <f>D40</f>
        <v>189.17777777777775</v>
      </c>
    </row>
    <row r="65" spans="1:5" x14ac:dyDescent="0.3">
      <c r="A65" s="61" t="s">
        <v>62</v>
      </c>
      <c r="B65" s="25" t="s">
        <v>63</v>
      </c>
      <c r="C65" s="35">
        <f>C51</f>
        <v>0.36800000000000005</v>
      </c>
      <c r="D65" s="10">
        <f>D51</f>
        <v>696.17422222222228</v>
      </c>
    </row>
    <row r="66" spans="1:5" x14ac:dyDescent="0.3">
      <c r="A66" s="61" t="s">
        <v>82</v>
      </c>
      <c r="B66" s="25" t="s">
        <v>74</v>
      </c>
      <c r="C66" s="35">
        <f>D61/D33</f>
        <v>0.3157889110771761</v>
      </c>
      <c r="D66" s="10">
        <f>D61</f>
        <v>537.66219999999998</v>
      </c>
    </row>
    <row r="67" spans="1:5" x14ac:dyDescent="0.3">
      <c r="A67" s="253" t="s">
        <v>15</v>
      </c>
      <c r="B67" s="255"/>
      <c r="C67" s="254"/>
      <c r="D67" s="22">
        <f>SUM(D64:D66)</f>
        <v>1423.0142000000001</v>
      </c>
    </row>
    <row r="68" spans="1:5" x14ac:dyDescent="0.3">
      <c r="A68" s="240"/>
      <c r="B68" s="241"/>
      <c r="C68" s="241"/>
      <c r="D68" s="242"/>
    </row>
    <row r="69" spans="1:5" x14ac:dyDescent="0.3">
      <c r="A69" s="250" t="s">
        <v>151</v>
      </c>
      <c r="B69" s="251"/>
      <c r="C69" s="251"/>
      <c r="D69" s="252"/>
    </row>
    <row r="70" spans="1:5" x14ac:dyDescent="0.3">
      <c r="A70" s="258" t="s">
        <v>172</v>
      </c>
      <c r="B70" s="259"/>
      <c r="C70" s="104">
        <v>0.71599999999999997</v>
      </c>
      <c r="D70" s="105">
        <f>1/60</f>
        <v>1.6666666666666666E-2</v>
      </c>
    </row>
    <row r="71" spans="1:5" x14ac:dyDescent="0.3">
      <c r="A71" s="117">
        <v>3</v>
      </c>
      <c r="B71" s="23" t="s">
        <v>83</v>
      </c>
      <c r="C71" s="16" t="s">
        <v>59</v>
      </c>
      <c r="D71" s="16" t="s">
        <v>47</v>
      </c>
    </row>
    <row r="72" spans="1:5" x14ac:dyDescent="0.3">
      <c r="A72" s="114" t="s">
        <v>48</v>
      </c>
      <c r="B72" s="25" t="s">
        <v>210</v>
      </c>
      <c r="C72" s="125" t="s">
        <v>211</v>
      </c>
      <c r="D72" s="37">
        <f>D33+D64+D66+D50</f>
        <v>2580.7821999999996</v>
      </c>
      <c r="E72" s="36"/>
    </row>
    <row r="73" spans="1:5" x14ac:dyDescent="0.3">
      <c r="A73" s="114" t="s">
        <v>152</v>
      </c>
      <c r="B73" s="25" t="s">
        <v>165</v>
      </c>
      <c r="C73" s="124">
        <v>61</v>
      </c>
      <c r="D73" s="37">
        <f>((D33+D40)*(C73-1))+(D33+D38)</f>
        <v>115351.15</v>
      </c>
    </row>
    <row r="74" spans="1:5" x14ac:dyDescent="0.3">
      <c r="A74" s="114" t="s">
        <v>161</v>
      </c>
      <c r="B74" s="25" t="s">
        <v>84</v>
      </c>
      <c r="C74" s="35">
        <f>C50</f>
        <v>0.08</v>
      </c>
      <c r="D74" s="37">
        <f>C74*D73</f>
        <v>9228.0920000000006</v>
      </c>
    </row>
    <row r="75" spans="1:5" x14ac:dyDescent="0.3">
      <c r="A75" s="114" t="s">
        <v>162</v>
      </c>
      <c r="B75" s="25" t="s">
        <v>205</v>
      </c>
      <c r="C75" s="35">
        <v>0.4</v>
      </c>
      <c r="D75" s="37">
        <f>C75*D74</f>
        <v>3691.2368000000006</v>
      </c>
    </row>
    <row r="76" spans="1:5" x14ac:dyDescent="0.3">
      <c r="A76" s="114" t="s">
        <v>209</v>
      </c>
      <c r="B76" s="123" t="s">
        <v>208</v>
      </c>
      <c r="C76" s="66">
        <v>0.1</v>
      </c>
      <c r="D76" s="106">
        <f>((D75+D72)*C76)</f>
        <v>627.20190000000002</v>
      </c>
    </row>
    <row r="77" spans="1:5" x14ac:dyDescent="0.3">
      <c r="A77" s="114" t="s">
        <v>122</v>
      </c>
      <c r="B77" s="25" t="s">
        <v>165</v>
      </c>
      <c r="C77" s="126">
        <v>60</v>
      </c>
      <c r="D77" s="10">
        <f>(D33+D40)*C77</f>
        <v>113506.66666666666</v>
      </c>
    </row>
    <row r="78" spans="1:5" x14ac:dyDescent="0.3">
      <c r="A78" s="114" t="s">
        <v>163</v>
      </c>
      <c r="B78" s="25" t="s">
        <v>85</v>
      </c>
      <c r="C78" s="35">
        <f>C50</f>
        <v>0.08</v>
      </c>
      <c r="D78" s="10">
        <f>C78*D77</f>
        <v>9080.5333333333328</v>
      </c>
    </row>
    <row r="79" spans="1:5" x14ac:dyDescent="0.3">
      <c r="A79" s="114" t="s">
        <v>164</v>
      </c>
      <c r="B79" s="25" t="s">
        <v>206</v>
      </c>
      <c r="C79" s="35">
        <v>0.4</v>
      </c>
      <c r="D79" s="37">
        <f>(C79*D78)</f>
        <v>3632.2133333333331</v>
      </c>
      <c r="E79" s="36"/>
    </row>
    <row r="80" spans="1:5" x14ac:dyDescent="0.3">
      <c r="A80" s="114" t="s">
        <v>170</v>
      </c>
      <c r="B80" s="25" t="str">
        <f>"+ 7 dias ( parágrafo único do art. 488 da CLT)"</f>
        <v>+ 7 dias ( parágrafo único do art. 488 da CLT)</v>
      </c>
      <c r="C80" s="35">
        <f>((1/30)*7)</f>
        <v>0.23333333333333334</v>
      </c>
      <c r="D80" s="37">
        <f>C80*(D33+D40+D51)</f>
        <v>603.85546666666664</v>
      </c>
    </row>
    <row r="81" spans="1:7" x14ac:dyDescent="0.3">
      <c r="A81" s="114" t="s">
        <v>4</v>
      </c>
      <c r="B81" s="123" t="s">
        <v>207</v>
      </c>
      <c r="C81" s="66">
        <v>0.9</v>
      </c>
      <c r="D81" s="106">
        <f>(C81*(D79+D80))</f>
        <v>3812.4619200000002</v>
      </c>
    </row>
    <row r="82" spans="1:7" x14ac:dyDescent="0.3">
      <c r="A82" s="253" t="s">
        <v>86</v>
      </c>
      <c r="B82" s="254"/>
      <c r="C82" s="21">
        <f>C81+C76</f>
        <v>1</v>
      </c>
      <c r="D82" s="22">
        <f>((D81+D76)*D70)*C70</f>
        <v>52.979988251999991</v>
      </c>
      <c r="G82" s="52"/>
    </row>
    <row r="83" spans="1:7" x14ac:dyDescent="0.3">
      <c r="A83" s="240"/>
      <c r="B83" s="241"/>
      <c r="C83" s="241"/>
      <c r="D83" s="242"/>
    </row>
    <row r="84" spans="1:7" x14ac:dyDescent="0.3">
      <c r="A84" s="250" t="s">
        <v>87</v>
      </c>
      <c r="B84" s="251"/>
      <c r="C84" s="251"/>
      <c r="D84" s="252"/>
    </row>
    <row r="85" spans="1:7" x14ac:dyDescent="0.3">
      <c r="A85" s="260"/>
      <c r="B85" s="261"/>
      <c r="C85" s="261"/>
      <c r="D85" s="262"/>
    </row>
    <row r="86" spans="1:7" x14ac:dyDescent="0.3">
      <c r="A86" s="16" t="s">
        <v>88</v>
      </c>
      <c r="B86" s="23" t="s">
        <v>89</v>
      </c>
      <c r="C86" s="21" t="s">
        <v>59</v>
      </c>
      <c r="D86" s="16" t="s">
        <v>47</v>
      </c>
    </row>
    <row r="87" spans="1:7" x14ac:dyDescent="0.3">
      <c r="A87" s="61" t="s">
        <v>48</v>
      </c>
      <c r="B87" s="25" t="s">
        <v>90</v>
      </c>
      <c r="C87" s="102">
        <f>((0.0416666666*24)+(0.08333333*24)+(0.08333333*12))*D70</f>
        <v>6.6666664639999998E-2</v>
      </c>
      <c r="D87" s="37">
        <f>C87*(D33+D67+D82)</f>
        <v>211.9062727748491</v>
      </c>
      <c r="G87" s="57"/>
    </row>
    <row r="88" spans="1:7" x14ac:dyDescent="0.3">
      <c r="A88" s="61" t="s">
        <v>24</v>
      </c>
      <c r="B88" s="25" t="s">
        <v>167</v>
      </c>
      <c r="C88" s="38">
        <v>1.66E-2</v>
      </c>
      <c r="D88" s="37">
        <f>C88*(D33+D67+D82)</f>
        <v>52.764663524983199</v>
      </c>
      <c r="G88" s="57"/>
    </row>
    <row r="89" spans="1:7" x14ac:dyDescent="0.3">
      <c r="A89" s="61" t="s">
        <v>26</v>
      </c>
      <c r="B89" s="25" t="s">
        <v>168</v>
      </c>
      <c r="C89" s="38">
        <v>2.7000000000000001E-3</v>
      </c>
      <c r="D89" s="37">
        <f>C89*(D33+D67+D82)</f>
        <v>8.5822043082804012</v>
      </c>
      <c r="G89" s="57"/>
    </row>
    <row r="90" spans="1:7" x14ac:dyDescent="0.3">
      <c r="A90" s="61" t="s">
        <v>28</v>
      </c>
      <c r="B90" s="25" t="s">
        <v>166</v>
      </c>
      <c r="C90" s="38">
        <v>2.8E-3</v>
      </c>
      <c r="D90" s="37">
        <f>C90*(D33+D67+D82)</f>
        <v>8.9000637271056</v>
      </c>
    </row>
    <row r="91" spans="1:7" x14ac:dyDescent="0.3">
      <c r="A91" s="61" t="s">
        <v>31</v>
      </c>
      <c r="B91" s="25" t="s">
        <v>91</v>
      </c>
      <c r="C91" s="38">
        <v>2.0000000000000001E-4</v>
      </c>
      <c r="D91" s="37">
        <f>C91*(D33+D67+D82)</f>
        <v>0.63571883765040005</v>
      </c>
    </row>
    <row r="92" spans="1:7" x14ac:dyDescent="0.3">
      <c r="A92" s="61" t="s">
        <v>34</v>
      </c>
      <c r="B92" s="25" t="s">
        <v>92</v>
      </c>
      <c r="C92" s="38">
        <v>2.9999999999999997E-4</v>
      </c>
      <c r="D92" s="37">
        <f>C92*(D33+D67+D82)</f>
        <v>0.95357825647559991</v>
      </c>
    </row>
    <row r="93" spans="1:7" x14ac:dyDescent="0.3">
      <c r="A93" s="61" t="s">
        <v>36</v>
      </c>
      <c r="B93" s="13" t="s">
        <v>54</v>
      </c>
      <c r="C93" s="39">
        <v>0</v>
      </c>
      <c r="D93" s="37">
        <f>C93*(D33+D67+D82)</f>
        <v>0</v>
      </c>
    </row>
    <row r="94" spans="1:7" x14ac:dyDescent="0.3">
      <c r="A94" s="253" t="s">
        <v>15</v>
      </c>
      <c r="B94" s="254"/>
      <c r="C94" s="21">
        <f>SUM(C87:C93)</f>
        <v>8.9266664639999993E-2</v>
      </c>
      <c r="D94" s="22">
        <f>SUM(D87:D93)</f>
        <v>283.74250142934432</v>
      </c>
    </row>
    <row r="95" spans="1:7" x14ac:dyDescent="0.3">
      <c r="A95" s="240"/>
      <c r="B95" s="241"/>
      <c r="C95" s="241"/>
      <c r="D95" s="242"/>
    </row>
    <row r="96" spans="1:7" x14ac:dyDescent="0.3">
      <c r="A96" s="250" t="s">
        <v>93</v>
      </c>
      <c r="B96" s="251"/>
      <c r="C96" s="251"/>
      <c r="D96" s="252"/>
    </row>
    <row r="97" spans="1:4" x14ac:dyDescent="0.3">
      <c r="A97" s="260"/>
      <c r="B97" s="261"/>
      <c r="C97" s="261"/>
      <c r="D97" s="262"/>
    </row>
    <row r="98" spans="1:4" x14ac:dyDescent="0.3">
      <c r="A98" s="65">
        <v>5</v>
      </c>
      <c r="B98" s="253" t="s">
        <v>94</v>
      </c>
      <c r="C98" s="254"/>
      <c r="D98" s="16" t="s">
        <v>47</v>
      </c>
    </row>
    <row r="99" spans="1:4" x14ac:dyDescent="0.3">
      <c r="A99" s="61" t="s">
        <v>48</v>
      </c>
      <c r="B99" s="264" t="s">
        <v>194</v>
      </c>
      <c r="C99" s="265"/>
      <c r="D99" s="109">
        <f>INSUMOS!G15</f>
        <v>29.437222222222221</v>
      </c>
    </row>
    <row r="100" spans="1:4" x14ac:dyDescent="0.3">
      <c r="A100" s="61" t="s">
        <v>24</v>
      </c>
      <c r="B100" s="264" t="s">
        <v>124</v>
      </c>
      <c r="C100" s="265"/>
      <c r="D100" s="112">
        <f>INSUMOS!G26</f>
        <v>2.8386666666666662</v>
      </c>
    </row>
    <row r="101" spans="1:4" x14ac:dyDescent="0.3">
      <c r="A101" s="114" t="s">
        <v>26</v>
      </c>
      <c r="B101" s="115" t="s">
        <v>221</v>
      </c>
      <c r="C101" s="116"/>
      <c r="D101" s="112">
        <f>INSUMOS!G42</f>
        <v>5.4657232704402512</v>
      </c>
    </row>
    <row r="102" spans="1:4" x14ac:dyDescent="0.3">
      <c r="A102" s="61" t="s">
        <v>28</v>
      </c>
      <c r="B102" s="266" t="s">
        <v>54</v>
      </c>
      <c r="C102" s="267"/>
      <c r="D102" s="40">
        <v>0</v>
      </c>
    </row>
    <row r="103" spans="1:4" x14ac:dyDescent="0.3">
      <c r="A103" s="253" t="s">
        <v>95</v>
      </c>
      <c r="B103" s="255"/>
      <c r="C103" s="254"/>
      <c r="D103" s="22">
        <f>SUM(D99:D102)</f>
        <v>37.741612159329136</v>
      </c>
    </row>
    <row r="104" spans="1:4" x14ac:dyDescent="0.3">
      <c r="A104" s="240"/>
      <c r="B104" s="241"/>
      <c r="C104" s="241"/>
      <c r="D104" s="242"/>
    </row>
    <row r="105" spans="1:4" x14ac:dyDescent="0.3">
      <c r="A105" s="268" t="s">
        <v>96</v>
      </c>
      <c r="B105" s="268"/>
      <c r="C105" s="268"/>
      <c r="D105" s="41">
        <f>D33+D67+D82+D94+D103</f>
        <v>3500.0783018406737</v>
      </c>
    </row>
    <row r="106" spans="1:4" x14ac:dyDescent="0.3">
      <c r="A106" s="249"/>
      <c r="B106" s="249"/>
      <c r="C106" s="249"/>
      <c r="D106" s="249"/>
    </row>
    <row r="107" spans="1:4" x14ac:dyDescent="0.3">
      <c r="A107" s="263" t="s">
        <v>97</v>
      </c>
      <c r="B107" s="263"/>
      <c r="C107" s="263"/>
      <c r="D107" s="263"/>
    </row>
    <row r="108" spans="1:4" x14ac:dyDescent="0.3">
      <c r="A108" s="271"/>
      <c r="B108" s="272"/>
      <c r="C108" s="272"/>
      <c r="D108" s="273"/>
    </row>
    <row r="109" spans="1:4" x14ac:dyDescent="0.3">
      <c r="A109" s="65">
        <v>6</v>
      </c>
      <c r="B109" s="23" t="s">
        <v>98</v>
      </c>
      <c r="C109" s="16" t="s">
        <v>59</v>
      </c>
      <c r="D109" s="16" t="s">
        <v>47</v>
      </c>
    </row>
    <row r="110" spans="1:4" x14ac:dyDescent="0.3">
      <c r="A110" s="67" t="s">
        <v>48</v>
      </c>
      <c r="B110" s="25" t="s">
        <v>99</v>
      </c>
      <c r="C110" s="42">
        <v>8.3908802329074647E-2</v>
      </c>
      <c r="D110" s="43">
        <f>C110*D105</f>
        <v>293.68737836543238</v>
      </c>
    </row>
    <row r="111" spans="1:4" x14ac:dyDescent="0.3">
      <c r="A111" s="274" t="s">
        <v>4</v>
      </c>
      <c r="B111" s="275"/>
      <c r="C111" s="276"/>
      <c r="D111" s="43">
        <f>D105+D110</f>
        <v>3793.765680206106</v>
      </c>
    </row>
    <row r="112" spans="1:4" x14ac:dyDescent="0.3">
      <c r="A112" s="67" t="s">
        <v>24</v>
      </c>
      <c r="B112" s="25" t="s">
        <v>100</v>
      </c>
      <c r="C112" s="42">
        <v>6.7799999999999999E-2</v>
      </c>
      <c r="D112" s="43">
        <f>C112*D111</f>
        <v>257.21731311797396</v>
      </c>
    </row>
    <row r="113" spans="1:4" x14ac:dyDescent="0.3">
      <c r="A113" s="274" t="s">
        <v>4</v>
      </c>
      <c r="B113" s="275"/>
      <c r="C113" s="275"/>
      <c r="D113" s="43">
        <f>D112+D111</f>
        <v>4050.9829933240799</v>
      </c>
    </row>
    <row r="114" spans="1:4" x14ac:dyDescent="0.3">
      <c r="A114" s="61" t="s">
        <v>26</v>
      </c>
      <c r="B114" s="269" t="s">
        <v>101</v>
      </c>
      <c r="C114" s="277"/>
      <c r="D114" s="270"/>
    </row>
    <row r="115" spans="1:4" x14ac:dyDescent="0.3">
      <c r="A115" s="62"/>
      <c r="B115" s="63" t="s">
        <v>102</v>
      </c>
      <c r="C115" s="44">
        <v>1.6500000000000001E-2</v>
      </c>
      <c r="D115" s="43">
        <f>(D113/(1-C118)*C115)</f>
        <v>77.948943894865693</v>
      </c>
    </row>
    <row r="116" spans="1:4" x14ac:dyDescent="0.3">
      <c r="A116" s="62"/>
      <c r="B116" s="63" t="s">
        <v>103</v>
      </c>
      <c r="C116" s="44">
        <v>7.5999999999999998E-2</v>
      </c>
      <c r="D116" s="43">
        <f>(D113/(1-C118)*C116)</f>
        <v>359.03755975816921</v>
      </c>
    </row>
    <row r="117" spans="1:4" x14ac:dyDescent="0.3">
      <c r="A117" s="62"/>
      <c r="B117" s="63" t="s">
        <v>104</v>
      </c>
      <c r="C117" s="45">
        <v>0.05</v>
      </c>
      <c r="D117" s="43">
        <f>(D113/(1-C118)*C117)</f>
        <v>236.20892089353239</v>
      </c>
    </row>
    <row r="118" spans="1:4" x14ac:dyDescent="0.3">
      <c r="A118" s="240" t="s">
        <v>105</v>
      </c>
      <c r="B118" s="242"/>
      <c r="C118" s="46">
        <f>SUM(C115:C117)</f>
        <v>0.14250000000000002</v>
      </c>
      <c r="D118" s="43">
        <f>SUM(D115:D117)</f>
        <v>673.19542454656732</v>
      </c>
    </row>
    <row r="119" spans="1:4" x14ac:dyDescent="0.3">
      <c r="A119" s="253" t="s">
        <v>106</v>
      </c>
      <c r="B119" s="254"/>
      <c r="C119" s="47">
        <f>SUM(C110+C112+C118)</f>
        <v>0.29420880232907465</v>
      </c>
      <c r="D119" s="15">
        <f>SUM(D118+D110+D112)</f>
        <v>1224.1001160299738</v>
      </c>
    </row>
    <row r="120" spans="1:4" x14ac:dyDescent="0.3">
      <c r="A120" s="240"/>
      <c r="B120" s="241"/>
      <c r="C120" s="241"/>
      <c r="D120" s="242"/>
    </row>
    <row r="121" spans="1:4" x14ac:dyDescent="0.3">
      <c r="A121" s="246" t="s">
        <v>107</v>
      </c>
      <c r="B121" s="248"/>
      <c r="C121" s="247"/>
      <c r="D121" s="48" t="s">
        <v>47</v>
      </c>
    </row>
    <row r="122" spans="1:4" x14ac:dyDescent="0.3">
      <c r="A122" s="227" t="s">
        <v>108</v>
      </c>
      <c r="B122" s="278"/>
      <c r="C122" s="278"/>
      <c r="D122" s="228"/>
    </row>
    <row r="123" spans="1:4" x14ac:dyDescent="0.3">
      <c r="A123" s="64" t="s">
        <v>48</v>
      </c>
      <c r="B123" s="227" t="s">
        <v>109</v>
      </c>
      <c r="C123" s="228"/>
      <c r="D123" s="10">
        <f>D33</f>
        <v>1702.6</v>
      </c>
    </row>
    <row r="124" spans="1:4" x14ac:dyDescent="0.3">
      <c r="A124" s="64" t="s">
        <v>24</v>
      </c>
      <c r="B124" s="227" t="s">
        <v>110</v>
      </c>
      <c r="C124" s="228"/>
      <c r="D124" s="10">
        <f>D67</f>
        <v>1423.0142000000001</v>
      </c>
    </row>
    <row r="125" spans="1:4" x14ac:dyDescent="0.3">
      <c r="A125" s="64" t="s">
        <v>26</v>
      </c>
      <c r="B125" s="227" t="s">
        <v>111</v>
      </c>
      <c r="C125" s="228"/>
      <c r="D125" s="10">
        <f>D82</f>
        <v>52.979988251999991</v>
      </c>
    </row>
    <row r="126" spans="1:4" x14ac:dyDescent="0.3">
      <c r="A126" s="64" t="s">
        <v>28</v>
      </c>
      <c r="B126" s="227" t="s">
        <v>112</v>
      </c>
      <c r="C126" s="228"/>
      <c r="D126" s="10">
        <f>D94</f>
        <v>283.74250142934432</v>
      </c>
    </row>
    <row r="127" spans="1:4" x14ac:dyDescent="0.3">
      <c r="A127" s="64" t="s">
        <v>31</v>
      </c>
      <c r="B127" s="227" t="s">
        <v>113</v>
      </c>
      <c r="C127" s="228"/>
      <c r="D127" s="10">
        <f>D103</f>
        <v>37.741612159329136</v>
      </c>
    </row>
    <row r="128" spans="1:4" x14ac:dyDescent="0.3">
      <c r="A128" s="282" t="s">
        <v>114</v>
      </c>
      <c r="B128" s="283"/>
      <c r="C128" s="284"/>
      <c r="D128" s="10">
        <f>SUM(D123:D127)</f>
        <v>3500.0783018406737</v>
      </c>
    </row>
    <row r="129" spans="1:4" x14ac:dyDescent="0.3">
      <c r="A129" s="64" t="s">
        <v>115</v>
      </c>
      <c r="B129" s="227" t="s">
        <v>116</v>
      </c>
      <c r="C129" s="228"/>
      <c r="D129" s="10">
        <f>D119</f>
        <v>1224.1001160299738</v>
      </c>
    </row>
    <row r="130" spans="1:4" x14ac:dyDescent="0.3">
      <c r="A130" s="246" t="s">
        <v>117</v>
      </c>
      <c r="B130" s="248"/>
      <c r="C130" s="247"/>
      <c r="D130" s="22">
        <f xml:space="preserve"> D128+D129</f>
        <v>4724.1784178706475</v>
      </c>
    </row>
    <row r="131" spans="1:4" x14ac:dyDescent="0.3">
      <c r="A131" s="1"/>
      <c r="B131" s="1"/>
      <c r="C131" s="1"/>
      <c r="D131" s="1"/>
    </row>
    <row r="132" spans="1:4" x14ac:dyDescent="0.3">
      <c r="A132" s="285" t="s">
        <v>3</v>
      </c>
      <c r="B132" s="286"/>
      <c r="C132" s="286"/>
      <c r="D132" s="53" t="s">
        <v>2</v>
      </c>
    </row>
    <row r="133" spans="1:4" x14ac:dyDescent="0.3">
      <c r="A133" s="279" t="s">
        <v>19</v>
      </c>
      <c r="B133" s="280"/>
      <c r="C133" s="281"/>
      <c r="D133" s="54">
        <f>D130</f>
        <v>4724.1784178706475</v>
      </c>
    </row>
    <row r="134" spans="1:4" x14ac:dyDescent="0.3">
      <c r="A134" s="279" t="s">
        <v>17</v>
      </c>
      <c r="B134" s="280"/>
      <c r="C134" s="281"/>
      <c r="D134" s="55">
        <f>C11</f>
        <v>4</v>
      </c>
    </row>
    <row r="135" spans="1:4" x14ac:dyDescent="0.3">
      <c r="A135" s="279" t="s">
        <v>0</v>
      </c>
      <c r="B135" s="280"/>
      <c r="C135" s="281"/>
      <c r="D135" s="56">
        <f>D134*D133</f>
        <v>18896.71367148259</v>
      </c>
    </row>
    <row r="136" spans="1:4" x14ac:dyDescent="0.3">
      <c r="A136" s="279" t="s">
        <v>134</v>
      </c>
      <c r="B136" s="280"/>
      <c r="C136" s="281"/>
      <c r="D136" s="49">
        <f>D135*24</f>
        <v>453521.12811558216</v>
      </c>
    </row>
    <row r="137" spans="1:4" x14ac:dyDescent="0.3">
      <c r="A137" s="1"/>
      <c r="B137" s="1"/>
      <c r="C137" s="1"/>
      <c r="D137" s="1"/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hidden="1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  <row r="148" spans="1:4" hidden="1" x14ac:dyDescent="0.3"/>
  </sheetData>
  <mergeCells count="82">
    <mergeCell ref="A136:C136"/>
    <mergeCell ref="B124:C124"/>
    <mergeCell ref="B125:C125"/>
    <mergeCell ref="B126:C126"/>
    <mergeCell ref="B127:C127"/>
    <mergeCell ref="A128:C128"/>
    <mergeCell ref="B129:C129"/>
    <mergeCell ref="A130:C130"/>
    <mergeCell ref="A132:C132"/>
    <mergeCell ref="A133:C133"/>
    <mergeCell ref="A134:C134"/>
    <mergeCell ref="A135:C135"/>
    <mergeCell ref="B123:C123"/>
    <mergeCell ref="A106:D106"/>
    <mergeCell ref="A107:D107"/>
    <mergeCell ref="A108:D108"/>
    <mergeCell ref="A111:C111"/>
    <mergeCell ref="A113:C113"/>
    <mergeCell ref="B114:D114"/>
    <mergeCell ref="A118:B118"/>
    <mergeCell ref="A119:B119"/>
    <mergeCell ref="A120:D120"/>
    <mergeCell ref="A121:C121"/>
    <mergeCell ref="A122:D122"/>
    <mergeCell ref="A105:C105"/>
    <mergeCell ref="A85:D85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04:D104"/>
    <mergeCell ref="A84:D84"/>
    <mergeCell ref="A61:C61"/>
    <mergeCell ref="A62:D62"/>
    <mergeCell ref="A63:B63"/>
    <mergeCell ref="A67:C67"/>
    <mergeCell ref="A68:D68"/>
    <mergeCell ref="A69:D69"/>
    <mergeCell ref="A70:B70"/>
    <mergeCell ref="A82:B82"/>
    <mergeCell ref="A83:D83"/>
    <mergeCell ref="A52:D52"/>
    <mergeCell ref="A23:D23"/>
    <mergeCell ref="A24:D24"/>
    <mergeCell ref="A25:D25"/>
    <mergeCell ref="B26:C26"/>
    <mergeCell ref="A33:C33"/>
    <mergeCell ref="A34:D34"/>
    <mergeCell ref="A35:D35"/>
    <mergeCell ref="A36:D36"/>
    <mergeCell ref="A40:B40"/>
    <mergeCell ref="A41:D41"/>
    <mergeCell ref="A51:B51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Proposta</vt:lpstr>
      <vt:lpstr>INSUMOS</vt:lpstr>
      <vt:lpstr>SR - Aux. Esc.</vt:lpstr>
      <vt:lpstr>SR - Encarregado</vt:lpstr>
      <vt:lpstr>SR - Motorista</vt:lpstr>
      <vt:lpstr>ITAJAÍ - Aux. Esc.</vt:lpstr>
      <vt:lpstr>ITAJAÍ - Motorista</vt:lpstr>
      <vt:lpstr>ITAJAÍ - Líder</vt:lpstr>
      <vt:lpstr>JOINVILLE - Aux. Esc.</vt:lpstr>
      <vt:lpstr>JOINVILLE - Líder</vt:lpstr>
      <vt:lpstr>CRICIÚMA - Aux. Esc.</vt:lpstr>
      <vt:lpstr>CRICIÚMA - Líder</vt:lpstr>
      <vt:lpstr>LAGES - Aux. Esc.</vt:lpstr>
      <vt:lpstr>LAGES - Líder</vt:lpstr>
      <vt:lpstr>CHAPECÓ - Aux. Esc.</vt:lpstr>
      <vt:lpstr>CHAPECÓ - Líder</vt:lpstr>
      <vt:lpstr>Dionísio Cerq. - Aux. Esc.</vt:lpstr>
      <vt:lpstr>Dionísio Cerq. - Líder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LUAN LUCIO DA SILVA</cp:lastModifiedBy>
  <dcterms:created xsi:type="dcterms:W3CDTF">2020-03-24T19:39:58Z</dcterms:created>
  <dcterms:modified xsi:type="dcterms:W3CDTF">2020-06-29T21:50:13Z</dcterms:modified>
</cp:coreProperties>
</file>