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ELOG\B. CPL - 2020\A. Licitações\PREGÃO\03-2020 - Vigilância Armada\1. Peças\"/>
    </mc:Choice>
  </mc:AlternateContent>
  <xr:revisionPtr revIDLastSave="0" documentId="13_ncr:1_{79D5DD79-B24E-4CE7-AE3D-A8FC4808CB03}" xr6:coauthVersionLast="44" xr6:coauthVersionMax="44" xr10:uidLastSave="{00000000-0000-0000-0000-000000000000}"/>
  <bookViews>
    <workbookView xWindow="-20610" yWindow="-120" windowWidth="20730" windowHeight="11160" tabRatio="772" xr2:uid="{00000000-000D-0000-FFFF-FFFF00000000}"/>
  </bookViews>
  <sheets>
    <sheet name="Dados_da_empresa" sheetId="1" r:id="rId1"/>
    <sheet name="Instruções_de_preenchimento" sheetId="2" state="hidden" r:id="rId2"/>
    <sheet name="Proposta GLOBAL" sheetId="3" r:id="rId3"/>
    <sheet name="Postos de PVH" sheetId="6" r:id="rId4"/>
    <sheet name="Postos de JPN" sheetId="19" r:id="rId5"/>
    <sheet name="Postos de GMI-VLA-PBO" sheetId="20" r:id="rId6"/>
    <sheet name="Uniforme" sheetId="17" r:id="rId7"/>
    <sheet name="Uniformes" sheetId="11" state="hidden" r:id="rId8"/>
    <sheet name="área" sheetId="12" state="hidden" r:id="rId9"/>
    <sheet name="Equip_limpeza" sheetId="15" state="hidden" r:id="rId10"/>
    <sheet name="Equip_lavador" sheetId="16" state="hidden" r:id="rId11"/>
    <sheet name="EPIs e materiais" sheetId="18" r:id="rId12"/>
  </sheets>
  <definedNames>
    <definedName name="_xlnm.Print_Area" localSheetId="9">Equip_limpeza!$A$1:$U$64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3" i="20" l="1"/>
  <c r="I83" i="20"/>
  <c r="J84" i="19"/>
  <c r="I84" i="19"/>
  <c r="J84" i="6"/>
  <c r="I84" i="6"/>
  <c r="H100" i="20" l="1"/>
  <c r="J91" i="20"/>
  <c r="I91" i="20"/>
  <c r="H69" i="20"/>
  <c r="H66" i="20" s="1"/>
  <c r="H67" i="20"/>
  <c r="H65" i="20"/>
  <c r="J49" i="20"/>
  <c r="I49" i="20"/>
  <c r="J48" i="20"/>
  <c r="J54" i="20" s="1"/>
  <c r="J60" i="20" s="1"/>
  <c r="I48" i="20"/>
  <c r="I54" i="20"/>
  <c r="I60" i="20" s="1"/>
  <c r="H45" i="20"/>
  <c r="H68" i="20" s="1"/>
  <c r="H31" i="20"/>
  <c r="H30" i="20"/>
  <c r="H32" i="20" s="1"/>
  <c r="I24" i="20"/>
  <c r="I25" i="20" s="1"/>
  <c r="J22" i="20"/>
  <c r="J21" i="20"/>
  <c r="J24" i="20" s="1"/>
  <c r="I21" i="20"/>
  <c r="H101" i="19"/>
  <c r="J92" i="19"/>
  <c r="I92" i="19"/>
  <c r="H80" i="19"/>
  <c r="H70" i="19"/>
  <c r="H69" i="19"/>
  <c r="H68" i="19"/>
  <c r="H67" i="19"/>
  <c r="I66" i="19"/>
  <c r="H66" i="19"/>
  <c r="H60" i="19"/>
  <c r="J50" i="19"/>
  <c r="I50" i="19"/>
  <c r="J49" i="19"/>
  <c r="I49" i="19"/>
  <c r="F48" i="19"/>
  <c r="H45" i="19"/>
  <c r="I42" i="19"/>
  <c r="I38" i="19"/>
  <c r="H33" i="19"/>
  <c r="H32" i="19"/>
  <c r="H31" i="19"/>
  <c r="H30" i="19"/>
  <c r="I26" i="19"/>
  <c r="J25" i="19"/>
  <c r="I24" i="19"/>
  <c r="I25" i="19" s="1"/>
  <c r="J22" i="19"/>
  <c r="J24" i="19" s="1"/>
  <c r="J21" i="19"/>
  <c r="I21" i="19"/>
  <c r="H70" i="20" l="1"/>
  <c r="H79" i="20"/>
  <c r="H80" i="20" s="1"/>
  <c r="J25" i="20"/>
  <c r="J26" i="20" s="1"/>
  <c r="H58" i="20"/>
  <c r="H33" i="20"/>
  <c r="H34" i="20"/>
  <c r="I26" i="20"/>
  <c r="H59" i="20"/>
  <c r="I79" i="19"/>
  <c r="I76" i="19"/>
  <c r="I67" i="19"/>
  <c r="I88" i="19"/>
  <c r="I77" i="19"/>
  <c r="I68" i="19"/>
  <c r="I43" i="19"/>
  <c r="I41" i="19"/>
  <c r="I39" i="19"/>
  <c r="I37" i="19"/>
  <c r="I45" i="19" s="1"/>
  <c r="I60" i="19" s="1"/>
  <c r="I111" i="19"/>
  <c r="I78" i="19"/>
  <c r="I74" i="19"/>
  <c r="I69" i="19"/>
  <c r="I31" i="19"/>
  <c r="H71" i="19"/>
  <c r="I75" i="19"/>
  <c r="J26" i="19"/>
  <c r="I40" i="19"/>
  <c r="I44" i="19"/>
  <c r="J48" i="19"/>
  <c r="J55" i="19" s="1"/>
  <c r="J61" i="19" s="1"/>
  <c r="I48" i="19"/>
  <c r="I55" i="19" s="1"/>
  <c r="I61" i="19" s="1"/>
  <c r="I65" i="19"/>
  <c r="I70" i="19"/>
  <c r="I30" i="19"/>
  <c r="I32" i="19" s="1"/>
  <c r="H34" i="19"/>
  <c r="H59" i="19"/>
  <c r="H62" i="19" s="1"/>
  <c r="H81" i="19"/>
  <c r="H82" i="19" s="1"/>
  <c r="G7" i="18"/>
  <c r="H81" i="20" l="1"/>
  <c r="H61" i="20"/>
  <c r="J110" i="20"/>
  <c r="J77" i="20"/>
  <c r="J73" i="20"/>
  <c r="J68" i="20"/>
  <c r="J64" i="20"/>
  <c r="J44" i="20"/>
  <c r="J42" i="20"/>
  <c r="J40" i="20"/>
  <c r="J38" i="20"/>
  <c r="J30" i="20"/>
  <c r="J78" i="20"/>
  <c r="J75" i="20"/>
  <c r="J66" i="20"/>
  <c r="J31" i="20"/>
  <c r="J74" i="20"/>
  <c r="J69" i="20"/>
  <c r="J65" i="20"/>
  <c r="J39" i="20"/>
  <c r="J37" i="20"/>
  <c r="J87" i="20"/>
  <c r="J43" i="20"/>
  <c r="J76" i="20"/>
  <c r="J67" i="20"/>
  <c r="J41" i="20"/>
  <c r="I87" i="20"/>
  <c r="I76" i="20"/>
  <c r="I67" i="20"/>
  <c r="I43" i="20"/>
  <c r="I41" i="20"/>
  <c r="I39" i="20"/>
  <c r="I37" i="20"/>
  <c r="I74" i="20"/>
  <c r="I69" i="20"/>
  <c r="I65" i="20"/>
  <c r="I44" i="20"/>
  <c r="I42" i="20"/>
  <c r="I40" i="20"/>
  <c r="I38" i="20"/>
  <c r="I30" i="20"/>
  <c r="I32" i="20" s="1"/>
  <c r="I110" i="20"/>
  <c r="I77" i="20"/>
  <c r="I73" i="20"/>
  <c r="I68" i="20"/>
  <c r="I64" i="20"/>
  <c r="I31" i="20"/>
  <c r="I78" i="20"/>
  <c r="I75" i="20"/>
  <c r="I66" i="20"/>
  <c r="J88" i="19"/>
  <c r="J77" i="19"/>
  <c r="J68" i="19"/>
  <c r="J43" i="19"/>
  <c r="J41" i="19"/>
  <c r="J39" i="19"/>
  <c r="J37" i="19"/>
  <c r="J111" i="19"/>
  <c r="J78" i="19"/>
  <c r="J74" i="19"/>
  <c r="J69" i="19"/>
  <c r="J65" i="19"/>
  <c r="J75" i="19"/>
  <c r="J70" i="19"/>
  <c r="J66" i="19"/>
  <c r="J76" i="19"/>
  <c r="J44" i="19"/>
  <c r="J40" i="19"/>
  <c r="J79" i="19"/>
  <c r="J67" i="19"/>
  <c r="J31" i="19"/>
  <c r="J42" i="19"/>
  <c r="J38" i="19"/>
  <c r="J30" i="19"/>
  <c r="J32" i="19" s="1"/>
  <c r="I33" i="19"/>
  <c r="I34" i="19" s="1"/>
  <c r="I59" i="19" s="1"/>
  <c r="I62" i="19" s="1"/>
  <c r="I112" i="19" s="1"/>
  <c r="I80" i="19"/>
  <c r="I71" i="19"/>
  <c r="I113" i="19" s="1"/>
  <c r="F48" i="6"/>
  <c r="I70" i="20" l="1"/>
  <c r="I112" i="20" s="1"/>
  <c r="I33" i="20"/>
  <c r="I34" i="20" s="1"/>
  <c r="I58" i="20" s="1"/>
  <c r="I61" i="20" s="1"/>
  <c r="I111" i="20" s="1"/>
  <c r="J45" i="20"/>
  <c r="J59" i="20" s="1"/>
  <c r="I79" i="20"/>
  <c r="J32" i="20"/>
  <c r="I45" i="20"/>
  <c r="I59" i="20" s="1"/>
  <c r="J79" i="20"/>
  <c r="J70" i="20"/>
  <c r="J112" i="20" s="1"/>
  <c r="J33" i="19"/>
  <c r="J34" i="19"/>
  <c r="J59" i="19" s="1"/>
  <c r="J71" i="19"/>
  <c r="J113" i="19" s="1"/>
  <c r="I81" i="19"/>
  <c r="I82" i="19" s="1"/>
  <c r="I87" i="19" s="1"/>
  <c r="I89" i="19" s="1"/>
  <c r="I114" i="19" s="1"/>
  <c r="J45" i="19"/>
  <c r="J60" i="19" s="1"/>
  <c r="J80" i="19"/>
  <c r="J22" i="6"/>
  <c r="I80" i="20" l="1"/>
  <c r="I81" i="20" s="1"/>
  <c r="I86" i="20" s="1"/>
  <c r="I88" i="20" s="1"/>
  <c r="I113" i="20" s="1"/>
  <c r="J80" i="20"/>
  <c r="J81" i="20" s="1"/>
  <c r="J86" i="20" s="1"/>
  <c r="J88" i="20" s="1"/>
  <c r="J113" i="20" s="1"/>
  <c r="J33" i="20"/>
  <c r="J34" i="20" s="1"/>
  <c r="J58" i="20" s="1"/>
  <c r="J61" i="20" s="1"/>
  <c r="J111" i="20" s="1"/>
  <c r="J62" i="19"/>
  <c r="J112" i="19" s="1"/>
  <c r="J81" i="19"/>
  <c r="J82" i="19" s="1"/>
  <c r="J87" i="19" s="1"/>
  <c r="J89" i="19" s="1"/>
  <c r="J114" i="19" s="1"/>
  <c r="G4" i="17"/>
  <c r="G5" i="17"/>
  <c r="G6" i="17"/>
  <c r="G7" i="17"/>
  <c r="G8" i="17"/>
  <c r="G9" i="17"/>
  <c r="G10" i="17"/>
  <c r="G3" i="17"/>
  <c r="G5" i="18" l="1"/>
  <c r="G6" i="18"/>
  <c r="G8" i="18"/>
  <c r="G9" i="18"/>
  <c r="G10" i="18"/>
  <c r="G11" i="18"/>
  <c r="G12" i="18"/>
  <c r="G13" i="18"/>
  <c r="G14" i="18"/>
  <c r="G4" i="18"/>
  <c r="G3" i="18"/>
  <c r="G15" i="18" l="1"/>
  <c r="J93" i="19" l="1"/>
  <c r="J95" i="19" s="1"/>
  <c r="J115" i="19" s="1"/>
  <c r="J116" i="19" s="1"/>
  <c r="J99" i="19" s="1"/>
  <c r="J100" i="19" s="1"/>
  <c r="J118" i="19" s="1"/>
  <c r="I92" i="20"/>
  <c r="I94" i="20" s="1"/>
  <c r="I114" i="20" s="1"/>
  <c r="I115" i="20" s="1"/>
  <c r="I93" i="19"/>
  <c r="I95" i="19" s="1"/>
  <c r="I115" i="19" s="1"/>
  <c r="I116" i="19" s="1"/>
  <c r="J92" i="20"/>
  <c r="J94" i="20" s="1"/>
  <c r="J114" i="20" s="1"/>
  <c r="J115" i="20" s="1"/>
  <c r="J98" i="20" s="1"/>
  <c r="G11" i="17"/>
  <c r="G12" i="17" s="1"/>
  <c r="J93" i="6"/>
  <c r="I93" i="6"/>
  <c r="I48" i="6"/>
  <c r="I99" i="19" l="1"/>
  <c r="I100" i="19" s="1"/>
  <c r="I118" i="19" s="1"/>
  <c r="J99" i="20"/>
  <c r="J117" i="20" s="1"/>
  <c r="J104" i="20" s="1"/>
  <c r="I98" i="20"/>
  <c r="I99" i="20" s="1"/>
  <c r="I117" i="20" s="1"/>
  <c r="J119" i="19"/>
  <c r="G7" i="3" s="1"/>
  <c r="H7" i="3" s="1"/>
  <c r="J106" i="19"/>
  <c r="J104" i="19"/>
  <c r="J105" i="19"/>
  <c r="J103" i="19"/>
  <c r="J92" i="6"/>
  <c r="J103" i="20" l="1"/>
  <c r="I104" i="20"/>
  <c r="I103" i="20"/>
  <c r="I118" i="20"/>
  <c r="G8" i="3" s="1"/>
  <c r="H8" i="3" s="1"/>
  <c r="I105" i="20"/>
  <c r="I102" i="20"/>
  <c r="I119" i="19"/>
  <c r="G6" i="3" s="1"/>
  <c r="H6" i="3" s="1"/>
  <c r="I106" i="19"/>
  <c r="I105" i="19"/>
  <c r="I104" i="19"/>
  <c r="I103" i="19"/>
  <c r="J102" i="20"/>
  <c r="J118" i="20"/>
  <c r="G9" i="3" s="1"/>
  <c r="H9" i="3" s="1"/>
  <c r="J105" i="20"/>
  <c r="J101" i="19"/>
  <c r="J107" i="19" s="1"/>
  <c r="J117" i="19" s="1"/>
  <c r="I92" i="6"/>
  <c r="J100" i="20" l="1"/>
  <c r="J106" i="20" s="1"/>
  <c r="J116" i="20" s="1"/>
  <c r="I101" i="19"/>
  <c r="I107" i="19" s="1"/>
  <c r="I117" i="19" s="1"/>
  <c r="I100" i="20"/>
  <c r="I106" i="20" s="1"/>
  <c r="I116" i="20" s="1"/>
  <c r="H70" i="6"/>
  <c r="H67" i="6" s="1"/>
  <c r="J48" i="6" l="1"/>
  <c r="H31" i="6" l="1"/>
  <c r="H68" i="6" l="1"/>
  <c r="J50" i="6"/>
  <c r="I50" i="6"/>
  <c r="I49" i="6" l="1"/>
  <c r="J49" i="6"/>
  <c r="T11" i="16" l="1"/>
  <c r="T12" i="16" s="1"/>
  <c r="T13" i="16" s="1"/>
  <c r="M10" i="16"/>
  <c r="J10" i="16"/>
  <c r="R9" i="16"/>
  <c r="M8" i="16"/>
  <c r="J8" i="16"/>
  <c r="R7" i="16"/>
  <c r="H5" i="16"/>
  <c r="M6" i="16" s="1"/>
  <c r="H3" i="16"/>
  <c r="M4" i="16" s="1"/>
  <c r="J55" i="15"/>
  <c r="S55" i="15" s="1"/>
  <c r="J53" i="15"/>
  <c r="U53" i="15" s="1"/>
  <c r="J47" i="15"/>
  <c r="J45" i="15"/>
  <c r="U43" i="15"/>
  <c r="S43" i="15"/>
  <c r="J41" i="15"/>
  <c r="U41" i="15" s="1"/>
  <c r="J39" i="15"/>
  <c r="J37" i="15"/>
  <c r="S37" i="15" s="1"/>
  <c r="J35" i="15"/>
  <c r="U35" i="15" s="1"/>
  <c r="J33" i="15"/>
  <c r="U33" i="15" s="1"/>
  <c r="J31" i="15"/>
  <c r="J29" i="15"/>
  <c r="S29" i="15" s="1"/>
  <c r="J27" i="15"/>
  <c r="U27" i="15" s="1"/>
  <c r="J25" i="15"/>
  <c r="U25" i="15" s="1"/>
  <c r="J23" i="15"/>
  <c r="J21" i="15"/>
  <c r="S21" i="15" s="1"/>
  <c r="J19" i="15"/>
  <c r="J17" i="15"/>
  <c r="U17" i="15" s="1"/>
  <c r="J15" i="15"/>
  <c r="J13" i="15"/>
  <c r="S13" i="15" s="1"/>
  <c r="J11" i="15"/>
  <c r="U11" i="15" s="1"/>
  <c r="J9" i="15"/>
  <c r="U9" i="15" s="1"/>
  <c r="U7" i="15"/>
  <c r="S7" i="15"/>
  <c r="J5" i="15"/>
  <c r="U5" i="15" s="1"/>
  <c r="J3" i="15"/>
  <c r="N4" i="15" s="1"/>
  <c r="L78" i="12"/>
  <c r="I78" i="12"/>
  <c r="F77" i="12"/>
  <c r="G77" i="12" s="1"/>
  <c r="F76" i="12"/>
  <c r="G76" i="12" s="1"/>
  <c r="F75" i="12"/>
  <c r="G75" i="12" s="1"/>
  <c r="F74" i="12"/>
  <c r="G74" i="12" s="1"/>
  <c r="F73" i="12"/>
  <c r="F72" i="12"/>
  <c r="F71" i="12"/>
  <c r="G71" i="12" s="1"/>
  <c r="F70" i="12"/>
  <c r="G70" i="12" s="1"/>
  <c r="D69" i="12"/>
  <c r="F69" i="12" s="1"/>
  <c r="G69" i="12" s="1"/>
  <c r="F68" i="12"/>
  <c r="F67" i="12"/>
  <c r="G67" i="12" s="1"/>
  <c r="F66" i="12"/>
  <c r="F65" i="12"/>
  <c r="F64" i="12"/>
  <c r="F63" i="12"/>
  <c r="F62" i="12"/>
  <c r="F61" i="12"/>
  <c r="F60" i="12"/>
  <c r="F59" i="12"/>
  <c r="F58" i="12"/>
  <c r="F57" i="12"/>
  <c r="F56" i="12"/>
  <c r="F55" i="12"/>
  <c r="F54" i="12"/>
  <c r="F53" i="12"/>
  <c r="F52" i="12"/>
  <c r="F51" i="12"/>
  <c r="F50" i="12"/>
  <c r="D49" i="12"/>
  <c r="F49" i="12" s="1"/>
  <c r="F48" i="12"/>
  <c r="F47" i="12"/>
  <c r="F46" i="12"/>
  <c r="F45" i="12"/>
  <c r="F44" i="12"/>
  <c r="F43" i="12"/>
  <c r="F42" i="12"/>
  <c r="F41" i="12"/>
  <c r="F40" i="12"/>
  <c r="F39" i="12"/>
  <c r="F38" i="12"/>
  <c r="D37" i="12"/>
  <c r="F37" i="12" s="1"/>
  <c r="G37" i="12" s="1"/>
  <c r="F36" i="12"/>
  <c r="F35" i="12"/>
  <c r="G35" i="12" s="1"/>
  <c r="F34" i="12"/>
  <c r="G34" i="12" s="1"/>
  <c r="F33" i="12"/>
  <c r="G33" i="12" s="1"/>
  <c r="F32" i="12"/>
  <c r="F31" i="12"/>
  <c r="F30" i="12"/>
  <c r="F29" i="12"/>
  <c r="F28" i="12"/>
  <c r="F27" i="12"/>
  <c r="F26" i="12"/>
  <c r="F25" i="12"/>
  <c r="D24" i="12"/>
  <c r="F24" i="12" s="1"/>
  <c r="F23" i="12"/>
  <c r="F22" i="12"/>
  <c r="F21" i="12"/>
  <c r="F20" i="12"/>
  <c r="F19" i="12"/>
  <c r="D18" i="12"/>
  <c r="F18" i="12" s="1"/>
  <c r="G18" i="12" s="1"/>
  <c r="F17" i="12"/>
  <c r="F15" i="12"/>
  <c r="F14" i="12"/>
  <c r="O13" i="12"/>
  <c r="O23" i="12" s="1"/>
  <c r="F13" i="12"/>
  <c r="O12" i="12"/>
  <c r="F12" i="12"/>
  <c r="F11" i="12"/>
  <c r="F10" i="12"/>
  <c r="F9" i="12"/>
  <c r="F8" i="12"/>
  <c r="F7" i="12"/>
  <c r="F6" i="12"/>
  <c r="F5" i="12"/>
  <c r="F4" i="12"/>
  <c r="F3" i="12"/>
  <c r="D2" i="12"/>
  <c r="F2" i="12" s="1"/>
  <c r="H24" i="11"/>
  <c r="H23" i="11"/>
  <c r="H22" i="11"/>
  <c r="H21" i="11"/>
  <c r="H17" i="11"/>
  <c r="H16" i="11"/>
  <c r="H15" i="11"/>
  <c r="H14" i="11"/>
  <c r="H13" i="11"/>
  <c r="H12" i="11"/>
  <c r="H11" i="11"/>
  <c r="H10" i="11"/>
  <c r="H7" i="11"/>
  <c r="H6" i="11"/>
  <c r="H5" i="11"/>
  <c r="H4" i="11"/>
  <c r="H3" i="11"/>
  <c r="H101" i="6"/>
  <c r="H80" i="6"/>
  <c r="H66" i="6"/>
  <c r="H45" i="6"/>
  <c r="H30" i="6"/>
  <c r="J21" i="6"/>
  <c r="I21" i="6"/>
  <c r="D37" i="1"/>
  <c r="U19" i="15" l="1"/>
  <c r="S19" i="15"/>
  <c r="G22" i="12"/>
  <c r="G58" i="12"/>
  <c r="G62" i="12"/>
  <c r="G19" i="12"/>
  <c r="G60" i="12"/>
  <c r="J6" i="16"/>
  <c r="I55" i="6"/>
  <c r="I61" i="6" s="1"/>
  <c r="I24" i="6"/>
  <c r="J55" i="6"/>
  <c r="J61" i="6" s="1"/>
  <c r="J24" i="6"/>
  <c r="S11" i="15"/>
  <c r="S25" i="15"/>
  <c r="S35" i="15"/>
  <c r="S41" i="15"/>
  <c r="G7" i="12"/>
  <c r="S3" i="15"/>
  <c r="S17" i="15"/>
  <c r="S9" i="15"/>
  <c r="S27" i="15"/>
  <c r="S33" i="15"/>
  <c r="S53" i="15"/>
  <c r="R5" i="16"/>
  <c r="H33" i="12"/>
  <c r="G31" i="12"/>
  <c r="G47" i="12"/>
  <c r="G72" i="12"/>
  <c r="H69" i="12" s="1"/>
  <c r="S5" i="15"/>
  <c r="R3" i="16"/>
  <c r="O24" i="12"/>
  <c r="G24" i="12"/>
  <c r="G28" i="12"/>
  <c r="J4" i="16"/>
  <c r="H32" i="6"/>
  <c r="H59" i="6" s="1"/>
  <c r="H25" i="11"/>
  <c r="H26" i="11" s="1"/>
  <c r="G14" i="12"/>
  <c r="G41" i="12"/>
  <c r="H37" i="12" s="1"/>
  <c r="G49" i="12"/>
  <c r="H74" i="12"/>
  <c r="U3" i="15"/>
  <c r="U13" i="15"/>
  <c r="U21" i="15"/>
  <c r="U29" i="15"/>
  <c r="U37" i="15"/>
  <c r="U55" i="15"/>
  <c r="H81" i="6"/>
  <c r="H82" i="6" s="1"/>
  <c r="H69" i="6"/>
  <c r="H71" i="6" s="1"/>
  <c r="H8" i="11"/>
  <c r="H9" i="11" s="1"/>
  <c r="H60" i="6"/>
  <c r="U45" i="15"/>
  <c r="S45" i="15"/>
  <c r="G2" i="12"/>
  <c r="U47" i="15"/>
  <c r="S47" i="15"/>
  <c r="H18" i="11"/>
  <c r="H19" i="11" s="1"/>
  <c r="H76" i="12"/>
  <c r="D16" i="12"/>
  <c r="F16" i="12" s="1"/>
  <c r="G16" i="12" s="1"/>
  <c r="G51" i="12"/>
  <c r="U15" i="15"/>
  <c r="S15" i="15"/>
  <c r="U23" i="15"/>
  <c r="S23" i="15"/>
  <c r="U31" i="15"/>
  <c r="S31" i="15"/>
  <c r="U39" i="15"/>
  <c r="S39" i="15"/>
  <c r="H62" i="6" l="1"/>
  <c r="J25" i="6"/>
  <c r="J26" i="6" s="1"/>
  <c r="I25" i="6"/>
  <c r="I26" i="6" s="1"/>
  <c r="H60" i="12"/>
  <c r="H49" i="12"/>
  <c r="H16" i="12"/>
  <c r="H24" i="12"/>
  <c r="H33" i="6"/>
  <c r="H34" i="6" s="1"/>
  <c r="U58" i="15"/>
  <c r="U59" i="15" s="1"/>
  <c r="U60" i="15" s="1"/>
  <c r="H20" i="11"/>
  <c r="R11" i="16"/>
  <c r="R12" i="16" s="1"/>
  <c r="R13" i="16" s="1"/>
  <c r="H2" i="12"/>
  <c r="I30" i="6"/>
  <c r="I74" i="6"/>
  <c r="I111" i="6"/>
  <c r="I31" i="6"/>
  <c r="S58" i="15"/>
  <c r="S59" i="15" s="1"/>
  <c r="S60" i="15" s="1"/>
  <c r="D78" i="12"/>
  <c r="J30" i="6" l="1"/>
  <c r="J111" i="6"/>
  <c r="J74" i="6"/>
  <c r="I79" i="6"/>
  <c r="I76" i="6"/>
  <c r="I77" i="6"/>
  <c r="I78" i="6"/>
  <c r="I75" i="6"/>
  <c r="I70" i="6"/>
  <c r="I69" i="6"/>
  <c r="I67" i="6"/>
  <c r="I66" i="6"/>
  <c r="J79" i="6"/>
  <c r="J76" i="6"/>
  <c r="J77" i="6"/>
  <c r="J78" i="6"/>
  <c r="J75" i="6"/>
  <c r="J67" i="6"/>
  <c r="J70" i="6"/>
  <c r="J69" i="6"/>
  <c r="J66" i="6"/>
  <c r="J68" i="6"/>
  <c r="J65" i="6"/>
  <c r="J37" i="6"/>
  <c r="J38" i="6"/>
  <c r="J39" i="6"/>
  <c r="J40" i="6"/>
  <c r="J41" i="6"/>
  <c r="J42" i="6"/>
  <c r="J43" i="6"/>
  <c r="J44" i="6"/>
  <c r="I65" i="6"/>
  <c r="I68" i="6"/>
  <c r="I38" i="6"/>
  <c r="I39" i="6"/>
  <c r="I40" i="6"/>
  <c r="I41" i="6"/>
  <c r="I42" i="6"/>
  <c r="I43" i="6"/>
  <c r="I44" i="6"/>
  <c r="I37" i="6"/>
  <c r="J31" i="6"/>
  <c r="J32" i="6" s="1"/>
  <c r="J33" i="6" s="1"/>
  <c r="J34" i="6" s="1"/>
  <c r="H78" i="12"/>
  <c r="I80" i="6"/>
  <c r="I32" i="6"/>
  <c r="I45" i="6"/>
  <c r="I60" i="6" s="1"/>
  <c r="J80" i="6" l="1"/>
  <c r="J45" i="6"/>
  <c r="J60" i="6" s="1"/>
  <c r="J59" i="6"/>
  <c r="J71" i="6"/>
  <c r="J113" i="6" s="1"/>
  <c r="J62" i="6"/>
  <c r="I81" i="6"/>
  <c r="I82" i="6" s="1"/>
  <c r="I33" i="6"/>
  <c r="I34" i="6" s="1"/>
  <c r="J81" i="6"/>
  <c r="J82" i="6" s="1"/>
  <c r="J88" i="6" l="1"/>
  <c r="I59" i="6"/>
  <c r="I62" i="6" s="1"/>
  <c r="J87" i="6"/>
  <c r="I87" i="6"/>
  <c r="I112" i="6"/>
  <c r="J112" i="6"/>
  <c r="J89" i="6" l="1"/>
  <c r="J114" i="6" s="1"/>
  <c r="J95" i="6"/>
  <c r="J115" i="6" s="1"/>
  <c r="I71" i="6"/>
  <c r="I88" i="6"/>
  <c r="I89" i="6" s="1"/>
  <c r="J116" i="6" l="1"/>
  <c r="J99" i="6" s="1"/>
  <c r="I113" i="6"/>
  <c r="I114" i="6"/>
  <c r="I95" i="6"/>
  <c r="I115" i="6" s="1"/>
  <c r="J100" i="6" l="1"/>
  <c r="J118" i="6" s="1"/>
  <c r="J119" i="6" s="1"/>
  <c r="G5" i="3" s="1"/>
  <c r="H5" i="3" s="1"/>
  <c r="I116" i="6"/>
  <c r="I99" i="6" s="1"/>
  <c r="I100" i="6" s="1"/>
  <c r="I118" i="6" l="1"/>
  <c r="I119" i="6" s="1"/>
  <c r="G4" i="3" s="1"/>
  <c r="H4" i="3" s="1"/>
  <c r="H10" i="3" s="1"/>
  <c r="H11" i="3" s="1"/>
  <c r="J105" i="6"/>
  <c r="J106" i="6"/>
  <c r="J104" i="6"/>
  <c r="J103" i="6"/>
  <c r="I104" i="6" l="1"/>
  <c r="I106" i="6"/>
  <c r="I105" i="6"/>
  <c r="I103" i="6"/>
  <c r="J101" i="6"/>
  <c r="J107" i="6" s="1"/>
  <c r="J117" i="6" s="1"/>
  <c r="I101" i="6" l="1"/>
  <c r="I107" i="6" s="1"/>
  <c r="I117" i="6" s="1"/>
  <c r="C33" i="1"/>
</calcChain>
</file>

<file path=xl/sharedStrings.xml><?xml version="1.0" encoding="utf-8"?>
<sst xmlns="http://schemas.openxmlformats.org/spreadsheetml/2006/main" count="1492" uniqueCount="422">
  <si>
    <t>PROPOSTA DE PREÇOS</t>
  </si>
  <si>
    <r>
      <t>ATENÇÃO:</t>
    </r>
    <r>
      <rPr>
        <sz val="10"/>
        <color rgb="FF000000"/>
        <rFont val="Calibri"/>
        <family val="2"/>
      </rPr>
      <t xml:space="preserve"> PREENCHER SOMENTE AS CÉLULAS COM FUNDO </t>
    </r>
    <r>
      <rPr>
        <u/>
        <sz val="10"/>
        <color rgb="FF000000"/>
        <rFont val="Times New Roman1"/>
      </rPr>
      <t>AMARELO</t>
    </r>
    <r>
      <rPr>
        <sz val="10"/>
        <color rgb="FF000000"/>
        <rFont val="Calibri"/>
        <family val="2"/>
      </rPr>
      <t>.</t>
    </r>
  </si>
  <si>
    <t>IDENTIFICAÇÃO DA EMPRESA</t>
  </si>
  <si>
    <t>RAZÃO SOCIAL:</t>
  </si>
  <si>
    <t>CNPJ:</t>
  </si>
  <si>
    <t>TEL.:</t>
  </si>
  <si>
    <t>E-MAIL:</t>
  </si>
  <si>
    <t>ENDEREÇO:</t>
  </si>
  <si>
    <t>CIDADE:</t>
  </si>
  <si>
    <t>ESTADO:</t>
  </si>
  <si>
    <t>NOME P/ CONTATO:</t>
  </si>
  <si>
    <t>DADOS BANCÁRIOS DA EMPRESA</t>
  </si>
  <si>
    <t>BANCO:</t>
  </si>
  <si>
    <t>AGÊNCIA:</t>
  </si>
  <si>
    <t>CONTA-CORRENTE:</t>
  </si>
  <si>
    <t>DADOS DO REPRESENTANTE LEGAL</t>
  </si>
  <si>
    <t>NOME:</t>
  </si>
  <si>
    <t>CPF:</t>
  </si>
  <si>
    <t>RG:</t>
  </si>
  <si>
    <t>CARGO OCUPADO NA EMPRESA:</t>
  </si>
  <si>
    <t>INFORMAÇÕES REFERENTES AO OBJETO</t>
  </si>
  <si>
    <t>DECLARAÇÃO 1</t>
  </si>
  <si>
    <t>Declaramos que no preço proposto estão incluídos todos os custos relacionados com salários, encargos trabalhistas, previdenciários e sociais, e todos os demais impostos, taxas e outras despesas decorrentes de exigência legal.</t>
  </si>
  <si>
    <t>OPTANTE  DO SIMPLES NACIONAL?</t>
  </si>
  <si>
    <t>sim</t>
  </si>
  <si>
    <t>(Informe SIM ou NÃO)</t>
  </si>
  <si>
    <t>PRAZO DE VALIDADE DA PROPOSTA:</t>
  </si>
  <si>
    <r>
      <t>dias</t>
    </r>
    <r>
      <rPr>
        <sz val="10"/>
        <color rgb="FF000000"/>
        <rFont val="Calibri"/>
        <family val="2"/>
      </rPr>
      <t xml:space="preserve"> (mínimo 60)</t>
    </r>
  </si>
  <si>
    <t xml:space="preserve">PREÇO GLOBAL PARA 20 MESES* ==&gt;
</t>
  </si>
  <si>
    <t>VALOR TOTAL DA PROPOSTA POR EXTENSO</t>
  </si>
  <si>
    <t>LOCAL E DATA</t>
  </si>
  <si>
    <t>NOME E ASSINATURA DO RESPONSÁVEL LEGAL</t>
  </si>
  <si>
    <t>INSTRUÇÕES PARA O PREENCHIMENTO DAS PLANILHAS</t>
  </si>
  <si>
    <r>
      <t>(1</t>
    </r>
    <r>
      <rPr>
        <sz val="12"/>
        <color rgb="FF000000"/>
        <rFont val="Calibri"/>
        <family val="2"/>
      </rPr>
      <t>) Deverá ser observado o piso salarial da respectiva categoria, firmado em instrumento coletivo de trabalho vigente.</t>
    </r>
  </si>
  <si>
    <r>
      <t>(2)</t>
    </r>
    <r>
      <rPr>
        <sz val="12"/>
        <color rgb="FF000000"/>
        <rFont val="Calibri"/>
        <family val="2"/>
      </rPr>
      <t xml:space="preserve"> Em razão de Laudo Técnico Pericial há previsão para o pagamento do </t>
    </r>
    <r>
      <rPr>
        <b/>
        <sz val="12"/>
        <color rgb="FF000000"/>
        <rFont val="Times New Roman1"/>
      </rPr>
      <t>ADICIONAL DE PERICULOSIDADE de 30%</t>
    </r>
    <r>
      <rPr>
        <sz val="12"/>
        <color rgb="FF000000"/>
        <rFont val="Calibri"/>
        <family val="2"/>
      </rPr>
      <t xml:space="preserve"> sobre o salário-base da categoria para todas as Unidades de Polícia Federal contempladas neste. Relativo a higienização por servente das instalações sanitárias utilizadas pelo público em geral há previsão de pagamento de 40% de adicional de insalubridade sobre o salário mínimo nacional vigente. </t>
    </r>
    <r>
      <rPr>
        <b/>
        <sz val="12"/>
        <color rgb="FF000000"/>
        <rFont val="Times New Roman1"/>
      </rPr>
      <t>Referidos adicionais não são cumulativos</t>
    </r>
    <r>
      <rPr>
        <sz val="12"/>
        <color rgb="FF000000"/>
        <rFont val="Calibri"/>
        <family val="2"/>
      </rPr>
      <t>;</t>
    </r>
  </si>
  <si>
    <r>
      <t>(3)</t>
    </r>
    <r>
      <rPr>
        <sz val="12"/>
        <color rgb="FF000000"/>
        <rFont val="Calibri"/>
        <family val="2"/>
      </rPr>
      <t xml:space="preserve"> Face a previsão de pagamento de 40% de adicional de insalubridade para os serventes que higienizam as instalações sanitárias utilizadas pelo público em geral, deverão ser destacados serventes específicos para referidos trabalhos, estimando-se no mínimo 01 servente para cada localidade com previsão de serviços com insalubridade;</t>
    </r>
  </si>
  <si>
    <r>
      <t xml:space="preserve">(4) </t>
    </r>
    <r>
      <rPr>
        <sz val="12"/>
        <color rgb="FF000000"/>
        <rFont val="Calibri"/>
        <family val="2"/>
      </rPr>
      <t>Deverão ser preenchidas as planilhas abaixo, as quais deverão ser apresentadas juntamente com a proposta de preços:</t>
    </r>
    <r>
      <rPr>
        <sz val="12"/>
        <color rgb="FF000000"/>
        <rFont val="Calibri"/>
        <family val="2"/>
      </rPr>
      <t xml:space="preserve">
a) SERVENTE com vale transporte (Porto Velho) – </t>
    </r>
    <r>
      <rPr>
        <b/>
        <sz val="12"/>
        <color rgb="FF000000"/>
        <rFont val="Times New Roman1"/>
      </rPr>
      <t>Periculosidade</t>
    </r>
    <r>
      <rPr>
        <sz val="12"/>
        <color rgb="FF000000"/>
        <rFont val="Calibri"/>
        <family val="2"/>
      </rPr>
      <t xml:space="preserve"> / </t>
    </r>
    <r>
      <rPr>
        <b/>
        <sz val="12"/>
        <color rgb="FF000000"/>
        <rFont val="Times New Roman1"/>
      </rPr>
      <t>Insalubridade</t>
    </r>
    <r>
      <rPr>
        <sz val="12"/>
        <color rgb="FF000000"/>
        <rFont val="Calibri"/>
        <family val="2"/>
      </rPr>
      <t>;</t>
    </r>
    <r>
      <rPr>
        <sz val="12"/>
        <color rgb="FF000000"/>
        <rFont val="Calibri"/>
        <family val="2"/>
      </rPr>
      <t xml:space="preserve">
b) SERVENTE com vale transporte (Ji-Paraná) – </t>
    </r>
    <r>
      <rPr>
        <b/>
        <sz val="12"/>
        <color rgb="FF000000"/>
        <rFont val="Times New Roman1"/>
      </rPr>
      <t>Periculosidade</t>
    </r>
    <r>
      <rPr>
        <sz val="12"/>
        <color rgb="FF000000"/>
        <rFont val="Calibri"/>
        <family val="2"/>
      </rPr>
      <t xml:space="preserve"> / </t>
    </r>
    <r>
      <rPr>
        <b/>
        <sz val="12"/>
        <color rgb="FF000000"/>
        <rFont val="Times New Roman1"/>
      </rPr>
      <t>Insalubridade</t>
    </r>
    <r>
      <rPr>
        <sz val="12"/>
        <color rgb="FF000000"/>
        <rFont val="Calibri"/>
        <family val="2"/>
      </rPr>
      <t>;</t>
    </r>
    <r>
      <rPr>
        <sz val="12"/>
        <color rgb="FF000000"/>
        <rFont val="Calibri"/>
        <family val="2"/>
      </rPr>
      <t xml:space="preserve">
c) SERVENTE SEM vale transporte (GMI, P. Bueno, VLA, Pimenteiras e Bases Operacionais) - </t>
    </r>
    <r>
      <rPr>
        <b/>
        <sz val="12"/>
        <color rgb="FF000000"/>
        <rFont val="Times New Roman1"/>
      </rPr>
      <t>Periculosidade</t>
    </r>
    <r>
      <rPr>
        <sz val="12"/>
        <color rgb="FF000000"/>
        <rFont val="Calibri"/>
        <family val="2"/>
      </rPr>
      <t xml:space="preserve"> / </t>
    </r>
    <r>
      <rPr>
        <b/>
        <sz val="12"/>
        <color rgb="FF000000"/>
        <rFont val="Times New Roman1"/>
      </rPr>
      <t>Insalubridade</t>
    </r>
    <r>
      <rPr>
        <sz val="12"/>
        <color rgb="FF000000"/>
        <rFont val="Calibri"/>
        <family val="2"/>
      </rPr>
      <t>; d) Planilha com áreas, produtividade e valores por m² (Anexo I-B);</t>
    </r>
    <r>
      <rPr>
        <sz val="12"/>
        <color rgb="FF000000"/>
        <rFont val="Calibri"/>
        <family val="2"/>
      </rPr>
      <t xml:space="preserve">
e) LAVADOR DE CARRO com </t>
    </r>
    <r>
      <rPr>
        <b/>
        <sz val="12"/>
        <color rgb="FF000000"/>
        <rFont val="Times New Roman1"/>
      </rPr>
      <t>periculosidade e vale transporte</t>
    </r>
    <r>
      <rPr>
        <sz val="12"/>
        <color rgb="FF000000"/>
        <rFont val="Calibri"/>
        <family val="2"/>
      </rPr>
      <t xml:space="preserve"> (PVH);</t>
    </r>
    <r>
      <rPr>
        <sz val="12"/>
        <color rgb="FF000000"/>
        <rFont val="Calibri"/>
        <family val="2"/>
      </rPr>
      <t xml:space="preserve">
f) LAVADOR DE CARRO com </t>
    </r>
    <r>
      <rPr>
        <b/>
        <sz val="12"/>
        <color rgb="FF000000"/>
        <rFont val="Times New Roman1"/>
      </rPr>
      <t>periculosidade e vale transporte</t>
    </r>
    <r>
      <rPr>
        <sz val="12"/>
        <color rgb="FF000000"/>
        <rFont val="Calibri"/>
        <family val="2"/>
      </rPr>
      <t xml:space="preserve"> (Ji-Paraná);</t>
    </r>
    <r>
      <rPr>
        <sz val="12"/>
        <color rgb="FF000000"/>
        <rFont val="Calibri"/>
        <family val="2"/>
      </rPr>
      <t xml:space="preserve">
g) LAVADOR DE CARRO com </t>
    </r>
    <r>
      <rPr>
        <b/>
        <sz val="12"/>
        <color rgb="FF000000"/>
        <rFont val="Times New Roman1"/>
      </rPr>
      <t>periculosidade e SEM vale transporte</t>
    </r>
    <r>
      <rPr>
        <sz val="12"/>
        <color rgb="FF000000"/>
        <rFont val="Calibri"/>
        <family val="2"/>
      </rPr>
      <t xml:space="preserve"> (GMI e Vilhena);</t>
    </r>
    <r>
      <rPr>
        <sz val="12"/>
        <color rgb="FF000000"/>
        <rFont val="Calibri"/>
        <family val="2"/>
      </rPr>
      <t xml:space="preserve">
h) Planilha de custos dos uniformes para os serventes das áreas internas / externas e lavador de veículos e; i) Planilhas de preços unitários e totais dos materiais/equipamentos de limpeza predial e de veículos, observado os valores máximos aceitos.</t>
    </r>
    <r>
      <rPr>
        <sz val="12"/>
        <color rgb="FF000000"/>
        <rFont val="Calibri"/>
        <family val="2"/>
      </rPr>
      <t xml:space="preserve">
</t>
    </r>
  </si>
  <si>
    <r>
      <t>(5)</t>
    </r>
    <r>
      <rPr>
        <sz val="12"/>
        <color rgb="FFFF0000"/>
        <rFont val="Calibri"/>
        <family val="2"/>
      </rPr>
      <t xml:space="preserve"> Para o campo do SAT (2.2 - C) deverá ser considerada a alíquota de 1%, 2% ou 3% referente ao grau de risco de acidente de trabalho incidente para a licitante. Tratando-se de empresa optante do simples, cuja alíquota do RAT na GFIP seja 0, a licitante deverá considerar para definição do RAT que constará de sua planilha de custos e formação de preços, o correspondente a atividade preponderante da empresa - RAT do CNAE preponderante, para fins de retenção para a conta vinculada;</t>
    </r>
  </si>
  <si>
    <r>
      <t>(6)</t>
    </r>
    <r>
      <rPr>
        <sz val="12"/>
        <color rgb="FF000000"/>
        <rFont val="Calibri"/>
        <family val="2"/>
      </rPr>
      <t xml:space="preserve"> Para o cálculo do auxílio transporte estabelecem-se: a) 21 dias de trabalho/mês, jornada de 44 horas semanais; b) Informar o valor da passagem praticada nos munícipios de Porto Velho e Ji-Paraná e; c) Para as demais localidades que não possuem transporte coletivo dever-se-á prever a título de reembolso com despesas mensais de transporte o valor R$ 90,00, conforme previsto na Convenção Coletiva 2018/2018 do SINTELPES.</t>
    </r>
  </si>
  <si>
    <r>
      <t>(7)</t>
    </r>
    <r>
      <rPr>
        <sz val="12"/>
        <color rgb="FF000000"/>
        <rFont val="Calibri"/>
        <family val="2"/>
      </rPr>
      <t xml:space="preserve"> Vale alimentação/ (mercado) e respectivo desconto, conforme previsto no acordo coletivo da categoria.</t>
    </r>
  </si>
  <si>
    <r>
      <t xml:space="preserve">(8) </t>
    </r>
    <r>
      <rPr>
        <sz val="12"/>
        <color rgb="FF000000"/>
        <rFont val="Calibri"/>
        <family val="2"/>
      </rPr>
      <t xml:space="preserve">Considerando que há previsão de retenção mensal de valores para a conta vinculada, conforme previsto na IN 05/2017 SLTI/MP deverão ser considerados os percentuais a seguir indicados: </t>
    </r>
    <r>
      <rPr>
        <b/>
        <sz val="12"/>
        <color rgb="FF000000"/>
        <rFont val="Times New Roman1"/>
      </rPr>
      <t>a)</t>
    </r>
    <r>
      <rPr>
        <sz val="12"/>
        <color rgb="FF000000"/>
        <rFont val="Calibri"/>
        <family val="2"/>
      </rPr>
      <t xml:space="preserve"> Submódulo 2.1 – letra A - 8,33%;</t>
    </r>
    <r>
      <rPr>
        <b/>
        <sz val="12"/>
        <color rgb="FF000000"/>
        <rFont val="Times New Roman1"/>
      </rPr>
      <t xml:space="preserve"> b)</t>
    </r>
    <r>
      <rPr>
        <sz val="12"/>
        <color rgb="FF000000"/>
        <rFont val="Calibri"/>
        <family val="2"/>
      </rPr>
      <t xml:space="preserve"> Submódulo 2.1 – letra B - 2,98%; </t>
    </r>
    <r>
      <rPr>
        <b/>
        <sz val="12"/>
        <color rgb="FF000000"/>
        <rFont val="Times New Roman1"/>
      </rPr>
      <t>c)</t>
    </r>
    <r>
      <rPr>
        <sz val="12"/>
        <color rgb="FF000000"/>
        <rFont val="Calibri"/>
        <family val="2"/>
      </rPr>
      <t xml:space="preserve"> Módulo 3 – letra C - 4,35%; </t>
    </r>
    <r>
      <rPr>
        <b/>
        <sz val="12"/>
        <color rgb="FF000000"/>
        <rFont val="Times New Roman1"/>
      </rPr>
      <t>d)</t>
    </r>
    <r>
      <rPr>
        <sz val="12"/>
        <color rgb="FF000000"/>
        <rFont val="Calibri"/>
        <family val="2"/>
      </rPr>
      <t xml:space="preserve"> Módulo 3 – letra F - 0,65% e </t>
    </r>
    <r>
      <rPr>
        <b/>
        <sz val="12"/>
        <color rgb="FF000000"/>
        <rFont val="Times New Roman1"/>
      </rPr>
      <t xml:space="preserve">e) </t>
    </r>
    <r>
      <rPr>
        <sz val="12"/>
        <color rgb="FF000000"/>
        <rFont val="Calibri"/>
        <family val="2"/>
      </rPr>
      <t>Submódulo 4.1 - A - 9,12%.</t>
    </r>
  </si>
  <si>
    <r>
      <t>(9)</t>
    </r>
    <r>
      <rPr>
        <sz val="12"/>
        <color rgb="FF000000"/>
        <rFont val="Calibri"/>
        <family val="2"/>
      </rPr>
      <t xml:space="preserve"> Observar como percentual máximo para o Módulo 3 – letra D - 1,94%;</t>
    </r>
  </si>
  <si>
    <r>
      <t>(10)</t>
    </r>
    <r>
      <rPr>
        <b/>
        <sz val="12"/>
        <color rgb="FF800000"/>
        <rFont val="Calibri"/>
        <family val="2"/>
      </rPr>
      <t xml:space="preserve"> </t>
    </r>
    <r>
      <rPr>
        <sz val="12"/>
        <color rgb="FF000000"/>
        <rFont val="Calibri"/>
        <family val="2"/>
      </rPr>
      <t xml:space="preserve">Em cumprimento ao disposto no </t>
    </r>
    <r>
      <rPr>
        <b/>
        <sz val="12"/>
        <color rgb="FF000000"/>
        <rFont val="Calibri"/>
        <family val="2"/>
      </rPr>
      <t>Acórdão TCU 950/2007 – Plenário de 23/05/2007 não deverão ser previstos na planilha de custos os valores referentes ao</t>
    </r>
    <r>
      <rPr>
        <sz val="12"/>
        <color rgb="FF000000"/>
        <rFont val="Calibri"/>
        <family val="2"/>
      </rPr>
      <t xml:space="preserve"> Imposto sobre a Renda da Pessoa Juridica (</t>
    </r>
    <r>
      <rPr>
        <b/>
        <sz val="12"/>
        <color rgb="FF000000"/>
        <rFont val="Calibri"/>
        <family val="2"/>
      </rPr>
      <t>IRPJ</t>
    </r>
    <r>
      <rPr>
        <sz val="12"/>
        <color rgb="FF000000"/>
        <rFont val="Calibri"/>
        <family val="2"/>
      </rPr>
      <t>) e à Contribuição Social sobre o Lucro Liquido (</t>
    </r>
    <r>
      <rPr>
        <b/>
        <sz val="12"/>
        <color rgb="FF000000"/>
        <rFont val="Calibri"/>
        <family val="2"/>
      </rPr>
      <t>CSLL</t>
    </r>
    <r>
      <rPr>
        <sz val="12"/>
        <color rgb="FF000000"/>
        <rFont val="Calibri"/>
        <family val="2"/>
      </rPr>
      <t>).</t>
    </r>
    <r>
      <rPr>
        <sz val="12"/>
        <color rgb="FF000000"/>
        <rFont val="Calibri"/>
        <family val="2"/>
      </rPr>
      <t xml:space="preserve">
Quanto ao </t>
    </r>
    <r>
      <rPr>
        <b/>
        <sz val="12"/>
        <color rgb="FF000000"/>
        <rFont val="Calibri"/>
        <family val="2"/>
      </rPr>
      <t>ISS</t>
    </r>
    <r>
      <rPr>
        <sz val="12"/>
        <color rgb="FF000000"/>
        <rFont val="Calibri"/>
        <family val="2"/>
      </rPr>
      <t xml:space="preserve">, </t>
    </r>
    <r>
      <rPr>
        <b/>
        <sz val="12"/>
        <color rgb="FF000000"/>
        <rFont val="Calibri"/>
        <family val="2"/>
      </rPr>
      <t>informar a alíquota prevista na legislação municipal onde os serviços serão prestados</t>
    </r>
    <r>
      <rPr>
        <sz val="12"/>
        <color rgb="FF000000"/>
        <rFont val="Calibri"/>
        <family val="2"/>
      </rPr>
      <t>.</t>
    </r>
    <r>
      <rPr>
        <sz val="12"/>
        <color rgb="FF000000"/>
        <rFont val="Calibri"/>
        <family val="2"/>
      </rPr>
      <t xml:space="preserve">
Na formulação da proposta, a licitante deverá observar o regime de tributação ao qual está submetida.</t>
    </r>
    <r>
      <rPr>
        <sz val="12"/>
        <color rgb="FF000000"/>
        <rFont val="Calibri"/>
        <family val="2"/>
      </rPr>
      <t xml:space="preserve">
Caso a empresa seja optante do simples nacional, deverá informar as alíquotas a que está obrigada a recolher, em conformidade com o disposto na Lei Complementar 123/06.</t>
    </r>
    <r>
      <rPr>
        <sz val="12"/>
        <color rgb="FF000000"/>
        <rFont val="Calibri"/>
        <family val="2"/>
      </rPr>
      <t xml:space="preserve">
</t>
    </r>
  </si>
  <si>
    <r>
      <t>(11)</t>
    </r>
    <r>
      <rPr>
        <b/>
        <sz val="12"/>
        <color rgb="FF800000"/>
        <rFont val="Calibri"/>
        <family val="2"/>
      </rPr>
      <t xml:space="preserve"> </t>
    </r>
    <r>
      <rPr>
        <sz val="12"/>
        <color rgb="FF000000"/>
        <rFont val="Calibri"/>
        <family val="2"/>
      </rPr>
      <t>A licitante, Microempresa ou Empresa de Pequeno Porte, que venha a ser contratada para a prestação de serviços mediante cessão de mão de obra, não poderá beneficiar-se da condição de optante pelo Simples Nacional, salvo as exceções previstas no § 5º-C do art. 18 da LC no 123, de 2006.</t>
    </r>
  </si>
  <si>
    <t>PROPOSTA GLOBAL</t>
  </si>
  <si>
    <t>GRUPO</t>
  </si>
  <si>
    <t>ITEM</t>
  </si>
  <si>
    <t>LOCAL</t>
  </si>
  <si>
    <t>Unidade de Medida</t>
  </si>
  <si>
    <t>DIURNO</t>
  </si>
  <si>
    <t>Porto Velho</t>
  </si>
  <si>
    <t>Posto</t>
  </si>
  <si>
    <t>NOTURNO</t>
  </si>
  <si>
    <t>Ji-Paraná</t>
  </si>
  <si>
    <t>Guajará-mirim e Vilhena</t>
  </si>
  <si>
    <t>Guajará-mirim, Vilhena e Pimenta Bueno</t>
  </si>
  <si>
    <t>VALOR TOTAL para 20 meses</t>
  </si>
  <si>
    <t>VALOR total MENSAL</t>
  </si>
  <si>
    <t>SERVIÇOS DE VIGILÂNCIA ARMADA</t>
  </si>
  <si>
    <t>PLANILHA DE CUSTOS E FORMAÇÃO DE PREÇOS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</si>
  <si>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</si>
  <si>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</si>
  <si>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</si>
  <si>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</si>
  <si>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</si>
  <si>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Porto Velho/RO</t>
  </si>
  <si>
    <t>C</t>
  </si>
  <si>
    <t>Ano do Acordo, Convenção ou Sentença Normativa em Dissídio Coletivo</t>
  </si>
  <si>
    <t>RO000051/2019</t>
  </si>
  <si>
    <t>D</t>
  </si>
  <si>
    <t>Número de meses de execução contratual</t>
  </si>
  <si>
    <t>Identificação do Serviço</t>
  </si>
  <si>
    <t>Tipo de serviço</t>
  </si>
  <si>
    <t>Quantidade total a contratar (em função da unidade de medida)</t>
  </si>
  <si>
    <t>Dados complementares para composição dos custos referente à mão de obra</t>
  </si>
  <si>
    <t>Tipo de serviço (mesmo serviço com características distintas)</t>
  </si>
  <si>
    <t>Vigilância armada</t>
  </si>
  <si>
    <t>Salário normativo da categoria profissional</t>
  </si>
  <si>
    <t>Categoria profissional (vinculada à execução contratual)</t>
  </si>
  <si>
    <t>VIGILANTE</t>
  </si>
  <si>
    <t>Data base da categoria (dia/mês/ano)</t>
  </si>
  <si>
    <t>Dias trabalhados no mês</t>
  </si>
  <si>
    <t>MÓDULO 1: COMPOSIÇÃO DA REMUNERAÇÃO</t>
  </si>
  <si>
    <t>Composição da Remuneração</t>
  </si>
  <si>
    <t>%</t>
  </si>
  <si>
    <t>Valor (R$)</t>
  </si>
  <si>
    <t>Outros (especificar)</t>
  </si>
  <si>
    <t>SUBTOTAL</t>
  </si>
  <si>
    <t>Adicional de Periculosidade</t>
  </si>
  <si>
    <t>Total da Remuneração</t>
  </si>
  <si>
    <t>MÓDULO 2: ENCARGOS e BENEFÍCIOS ANUAIS, MENSAIS E DIÁRIOS</t>
  </si>
  <si>
    <t>Submódulo 2.1 - 13º (décimo terceiro) Salário e Adicional de Férias</t>
  </si>
  <si>
    <t>2.1</t>
  </si>
  <si>
    <t>13º (décimo terceiro) Salário e Adicional de Férias</t>
  </si>
  <si>
    <r>
      <t xml:space="preserve">13º (décimo terceiro) Salário </t>
    </r>
    <r>
      <rPr>
        <b/>
        <sz val="12"/>
        <color rgb="FFFF0000"/>
        <rFont val="Calibri"/>
        <family val="2"/>
        <scheme val="minor"/>
      </rPr>
      <t>= (1/12)*100</t>
    </r>
  </si>
  <si>
    <t>Subtotal</t>
  </si>
  <si>
    <t>Incidência do submódulo 2.2 sobre 13º Salário e Adicional de Férias</t>
  </si>
  <si>
    <t>TOTAL</t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</si>
  <si>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</si>
  <si>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</si>
  <si>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</si>
  <si>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</si>
  <si>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</si>
  <si>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r>
      <t xml:space="preserve">SAT (Seguro acidente de trabalho) </t>
    </r>
    <r>
      <rPr>
        <b/>
        <sz val="12"/>
        <color rgb="FFFF0000"/>
        <rFont val="Calibri"/>
        <family val="2"/>
        <scheme val="minor"/>
      </rPr>
      <t>1%, 2% ou 3%</t>
    </r>
  </si>
  <si>
    <t>SESC ou SESI</t>
  </si>
  <si>
    <t>E</t>
  </si>
  <si>
    <t>SENAI-SENAC</t>
  </si>
  <si>
    <t>F</t>
  </si>
  <si>
    <t>SEBRAE</t>
  </si>
  <si>
    <t>G</t>
  </si>
  <si>
    <t>INCRA</t>
  </si>
  <si>
    <t>H</t>
  </si>
  <si>
    <t>FGTS</t>
  </si>
  <si>
    <t>Submódulo 2.3 - Benefícios Mensais e Diários</t>
  </si>
  <si>
    <t>2.3</t>
  </si>
  <si>
    <t>Benefícios Mensais e Diários</t>
  </si>
  <si>
    <r>
      <t>Vale Alimentação (</t>
    </r>
    <r>
      <rPr>
        <b/>
        <sz val="11"/>
        <color rgb="FFFF0000"/>
        <rFont val="Calibri"/>
        <family val="2"/>
        <scheme val="minor"/>
      </rPr>
      <t>R$ 28,00 x 15 (dias)</t>
    </r>
    <r>
      <rPr>
        <b/>
        <sz val="11"/>
        <color rgb="FF000000"/>
        <rFont val="Calibri"/>
        <family val="2"/>
        <scheme val="minor"/>
      </rPr>
      <t>)</t>
    </r>
    <r>
      <rPr>
        <b/>
        <sz val="11"/>
        <color rgb="FFFF0000"/>
        <rFont val="Calibri"/>
        <family val="2"/>
        <scheme val="minor"/>
      </rPr>
      <t xml:space="preserve">* 99,00% </t>
    </r>
    <r>
      <rPr>
        <b/>
        <sz val="11"/>
        <color rgb="FF000000"/>
        <rFont val="Calibri"/>
        <family val="2"/>
        <scheme val="minor"/>
      </rPr>
      <t>(</t>
    </r>
    <r>
      <rPr>
        <b/>
        <sz val="11"/>
        <color rgb="FFFF0000"/>
        <rFont val="Calibri"/>
        <family val="2"/>
        <scheme val="minor"/>
      </rPr>
      <t>clausula 13ª da CCT 2019</t>
    </r>
    <r>
      <rPr>
        <b/>
        <sz val="11"/>
        <color rgb="FF000000"/>
        <rFont val="Calibri"/>
        <family val="2"/>
        <scheme val="minor"/>
      </rPr>
      <t>)</t>
    </r>
  </si>
  <si>
    <t>Cesta básica ((16% x SB)-(1% x SB)/12) (Cláusula 17ª da CCT 2019)</t>
  </si>
  <si>
    <t>Assistência médica e familiar</t>
  </si>
  <si>
    <t>Auxílio-creche</t>
  </si>
  <si>
    <t>Seguro de vida, invalidez e funeral</t>
  </si>
  <si>
    <t>Total de Benefícios Mensais e Diários</t>
  </si>
  <si>
    <t>Quadro-Resumo do Módulo 2 - Encargos e Benefícios anuais, mensais e diários</t>
  </si>
  <si>
    <t>Encargos e Benefícios Anuais, Mensais e Diários</t>
  </si>
  <si>
    <t>13º (décimo terceiro) Salário, Férias e Adicional de Férias</t>
  </si>
  <si>
    <t>-</t>
  </si>
  <si>
    <t>Módulo 3 - Provisão para Rescisão</t>
  </si>
  <si>
    <t>Provisão para Rescisão</t>
  </si>
  <si>
    <r>
      <rPr>
        <b/>
        <sz val="12"/>
        <rFont val="Calibri"/>
        <family val="2"/>
        <scheme val="minor"/>
      </rPr>
      <t>Aviso-prévio indenizado</t>
    </r>
    <r>
      <rPr>
        <b/>
        <sz val="12"/>
        <color rgb="FFFF0000"/>
        <rFont val="Calibri"/>
        <family val="2"/>
        <scheme val="minor"/>
      </rPr>
      <t xml:space="preserve"> ((1/12)X0,055)x100</t>
    </r>
  </si>
  <si>
    <t>Incidência do FGTS sobre o aviso-prévio indenizado</t>
  </si>
  <si>
    <r>
      <rPr>
        <b/>
        <sz val="11"/>
        <rFont val="Calibri"/>
        <family val="2"/>
        <scheme val="minor"/>
      </rPr>
      <t>Multa do FGTS sobre aviso-prévio indenizado</t>
    </r>
    <r>
      <rPr>
        <b/>
        <sz val="11"/>
        <color rgb="FFFF0000"/>
        <rFont val="Calibri"/>
        <family val="2"/>
        <scheme val="minor"/>
      </rPr>
      <t xml:space="preserve"> (4% (CV - Anexo II da IN 5/2017) - 3,20 (valor provisionado no AVT)</t>
    </r>
  </si>
  <si>
    <r>
      <rPr>
        <b/>
        <sz val="12"/>
        <rFont val="Calibri"/>
        <family val="2"/>
        <scheme val="minor"/>
      </rPr>
      <t>Aviso-previo trabalhado</t>
    </r>
    <r>
      <rPr>
        <b/>
        <sz val="12"/>
        <color rgb="FFFF0000"/>
        <rFont val="Calibri"/>
        <family val="2"/>
        <scheme val="minor"/>
      </rPr>
      <t xml:space="preserve"> ((7/30)/12)x100</t>
    </r>
  </si>
  <si>
    <t>Incidência do submódulo 2.2 sobre o aviso-prévio trabalhado</t>
  </si>
  <si>
    <r>
      <rPr>
        <b/>
        <sz val="12"/>
        <rFont val="Calibri"/>
        <family val="2"/>
        <scheme val="minor"/>
      </rPr>
      <t>Multa do FGTS sobre aviso-prévio trabalhado</t>
    </r>
    <r>
      <rPr>
        <b/>
        <sz val="12"/>
        <color rgb="FFFF0000"/>
        <rFont val="Calibri"/>
        <family val="2"/>
        <scheme val="minor"/>
      </rPr>
      <t xml:space="preserve"> (8% de FGTS x 40% de multa do FGTS)</t>
    </r>
  </si>
  <si>
    <t>Módulo 4 - Custo de Reposição do Profissional Ausente</t>
  </si>
  <si>
    <t>4.1</t>
  </si>
  <si>
    <t>Substituto nas Ausências legais</t>
  </si>
  <si>
    <r>
      <t xml:space="preserve">Substituto na cobertura de Férias </t>
    </r>
    <r>
      <rPr>
        <b/>
        <sz val="11"/>
        <color rgb="FFFF0000"/>
        <rFont val="Calibri"/>
        <family val="2"/>
        <scheme val="minor"/>
      </rPr>
      <t>(CV = 2,78 (2.1.B) + 9,32 = 12,10) - Anexo XII da IN 5/2017</t>
    </r>
  </si>
  <si>
    <t>Substituto nas ausência legais</t>
  </si>
  <si>
    <t>Substituto nas ausências para curso de reciclagem</t>
  </si>
  <si>
    <t>Substituto nas ausências por acidente trabalho</t>
  </si>
  <si>
    <t>Substituto nas ausências por afastamento de doença</t>
  </si>
  <si>
    <t>Incidência do submódulo 2.2 sobre o Custo de Reposição</t>
  </si>
  <si>
    <t>4.2</t>
  </si>
  <si>
    <t>Intrajornada</t>
  </si>
  <si>
    <t>Quadro-Resumo do MÓDULO 4</t>
  </si>
  <si>
    <t>Custo reposição profissional ausente + intervalo intrajornada</t>
  </si>
  <si>
    <t>Custo de reposição do profissional ausente</t>
  </si>
  <si>
    <t>Intervalo intrajornada</t>
  </si>
  <si>
    <t>MÓDULO 5: INSUMOS DIVERSOS</t>
  </si>
  <si>
    <t>Insumos Diversos</t>
  </si>
  <si>
    <t>UNIFORMES</t>
  </si>
  <si>
    <t>EPIs</t>
  </si>
  <si>
    <t>Total de Insumos Diversos</t>
  </si>
  <si>
    <t>Nota: Valores mensais por empregado</t>
  </si>
  <si>
    <t>MÓDULO 6 - CUSTOS INDIRETOS, TRIBUTOS E LUCROS</t>
  </si>
  <si>
    <t>Custos Indiretos, Lucro e Tributos</t>
  </si>
  <si>
    <t>Custos Indiretos</t>
  </si>
  <si>
    <t>Lucro</t>
  </si>
  <si>
    <t>Tributos</t>
  </si>
  <si>
    <t>C.1    Tributos (especificar)</t>
  </si>
  <si>
    <r>
      <rPr>
        <b/>
        <sz val="12"/>
        <color rgb="FF000000"/>
        <rFont val="Calibri"/>
        <family val="2"/>
        <scheme val="minor"/>
      </rPr>
      <t xml:space="preserve">a) Cofins </t>
    </r>
    <r>
      <rPr>
        <sz val="12"/>
        <color rgb="FFFF0000"/>
        <rFont val="Calibri"/>
        <family val="2"/>
        <scheme val="minor"/>
      </rPr>
      <t>(depende do regime de tributação)</t>
    </r>
  </si>
  <si>
    <r>
      <rPr>
        <b/>
        <sz val="12"/>
        <color rgb="FF000000"/>
        <rFont val="Calibri"/>
        <family val="2"/>
        <scheme val="minor"/>
      </rPr>
      <t xml:space="preserve">b) PIS </t>
    </r>
    <r>
      <rPr>
        <sz val="12"/>
        <color rgb="FFFF0000"/>
        <rFont val="Calibri"/>
        <family val="2"/>
        <scheme val="minor"/>
      </rPr>
      <t>(depende do regime de tributação)</t>
    </r>
  </si>
  <si>
    <t xml:space="preserve"> c) ISS                </t>
  </si>
  <si>
    <t xml:space="preserve"> d) Outros               </t>
  </si>
  <si>
    <t>TOTAL DOS CUSTOS INDIRETOS, LUCRO E TRIBUTOS</t>
  </si>
  <si>
    <t>Quadro-resumo do Custo por Empregado</t>
  </si>
  <si>
    <t>Mão de obra vinculada à execução contratual (valor por empregado)</t>
  </si>
  <si>
    <t>Módulo 1 - Composição da Remuneração</t>
  </si>
  <si>
    <t>Módulo 2 - Encargos e Benefícios Anuais, Mensais e Diários</t>
  </si>
  <si>
    <t>Módulo 4 - Custo de Reposição do Profissional Ausente + Intrajornada</t>
  </si>
  <si>
    <t>Módulo 5 - Insumos Diversos</t>
  </si>
  <si>
    <t>Custo Direto - Subtotal (A + B + C + D + E)</t>
  </si>
  <si>
    <t>Módulo 6 - Custos Indiretos, Lucro e Tributos</t>
  </si>
  <si>
    <t>Valor total por vigilante</t>
  </si>
  <si>
    <t>VALOR TOTAL por POSTO ( 2 vigilantes)</t>
  </si>
  <si>
    <t>DESCRIÇÃO</t>
  </si>
  <si>
    <t>UNIDADE DE MEDIDA</t>
  </si>
  <si>
    <t>QDT ANUAL</t>
  </si>
  <si>
    <t>Quantidade total em 60 meses</t>
  </si>
  <si>
    <t>VALOR TOTAL p/ 60 MESES (R$)</t>
  </si>
  <si>
    <t>Calça para vigilante, tipo militar em brim, com logotipo da empresa no bolso direito</t>
  </si>
  <si>
    <t>UN.</t>
  </si>
  <si>
    <t>Camisa para vigilante, tipo militar em brim, com logotipo da empresa no bolso direito, manga curta</t>
  </si>
  <si>
    <t>Cinto de nylon</t>
  </si>
  <si>
    <t>Quepe ou boné com emblema</t>
  </si>
  <si>
    <t>Capa de chuva</t>
  </si>
  <si>
    <t>Crachá</t>
  </si>
  <si>
    <t>Par de meias</t>
  </si>
  <si>
    <r>
      <t>VALOR TOTAL PARA 60 MESES</t>
    </r>
    <r>
      <rPr>
        <b/>
        <sz val="12"/>
        <color rgb="FFFF0000"/>
        <rFont val="Calibri"/>
        <family val="2"/>
      </rPr>
      <t xml:space="preserve"> (A)</t>
    </r>
  </si>
  <si>
    <r>
      <t>VALOR TOTAL MENSAL POR VIGILANTE</t>
    </r>
    <r>
      <rPr>
        <b/>
        <sz val="12"/>
        <color rgb="FFFF0000"/>
        <rFont val="Calibri"/>
        <family val="2"/>
      </rPr>
      <t xml:space="preserve"> (A/60)</t>
    </r>
  </si>
  <si>
    <t>CONSUMO ESTIMADO DE UNIFORME TOTAL AO ANO</t>
  </si>
  <si>
    <t>POSTO</t>
  </si>
  <si>
    <t>UNIFORME</t>
  </si>
  <si>
    <t>QUANT.</t>
  </si>
  <si>
    <t>VALOR  UNITÁRIO (R$)</t>
  </si>
  <si>
    <t>VALOR      TOTAL ANUAL      (R$)</t>
  </si>
  <si>
    <t>SERVENTE AREA INTERNA</t>
  </si>
  <si>
    <t>CAMISA: 100% algodão, manga curta, Polybrim Light, tergal Verão ou Cedroleve</t>
  </si>
  <si>
    <t>Unidade</t>
  </si>
  <si>
    <t>CALÇA: tecido jeans ou brim leve</t>
  </si>
  <si>
    <t>CALÇADO:tipo tênis, sapato baixo (tipo extremo conforto) ou botina, solado antiderrapante</t>
  </si>
  <si>
    <t>Par</t>
  </si>
  <si>
    <t>BOTA DE BORRACHA</t>
  </si>
  <si>
    <t>MEIA</t>
  </si>
  <si>
    <t>Custo ANUAL por funcionário</t>
  </si>
  <si>
    <t>(A) Custo MENSAL por funcionário AI</t>
  </si>
  <si>
    <t>SERVENTE AREA EXTERNA</t>
  </si>
  <si>
    <t>CAMISA:  manga curta em tecido 100% algodão, Polybrim Light, tergal Verão ou Cedroleve</t>
  </si>
  <si>
    <t>CAMISA: manga longa em tecido 100% algodão, Polybrim Light, tergal Verão ou Cedroleve</t>
  </si>
  <si>
    <t>CALÇA: tipo pijama em brim leve</t>
  </si>
  <si>
    <t>CALÇADO: tipo tênis, sapato baixo (tipo extremo conforto) ou botina, solado antiderrapante</t>
  </si>
  <si>
    <t>CAPA DE CHUVA</t>
  </si>
  <si>
    <r>
      <t xml:space="preserve">CHAPÉU: </t>
    </r>
    <r>
      <rPr>
        <sz val="11"/>
        <color rgb="FF000000"/>
        <rFont val="Calibri"/>
        <family val="2"/>
      </rPr>
      <t>tipo mexicano</t>
    </r>
  </si>
  <si>
    <t>(B) Custo MENSAL por funcionário AE</t>
  </si>
  <si>
    <t>Custo Mensal por funcionário                                                          Cálculo = (A + B / 2)</t>
  </si>
  <si>
    <t>LAVADOR DE VEÍCULOS</t>
  </si>
  <si>
    <t>Camisa de manga curta em tecido malha PV (malha fria) de 33% poliéster e 67% de viscose ou tecido dry fit 100% polyester</t>
  </si>
  <si>
    <t>CALÇA de elástico, tecido tactel 100% poliamida, características: tecido leve e de toque macio</t>
  </si>
  <si>
    <t>CALÇADO: tipo bota ou botina impermeável fechado, solado antiderrapante</t>
  </si>
  <si>
    <t>Valor ANUAL estimado por funcionário</t>
  </si>
  <si>
    <t>R$  MENSAL estimado por funcionário</t>
  </si>
  <si>
    <t>Tipo de Área</t>
  </si>
  <si>
    <t>Detalhamento</t>
  </si>
  <si>
    <t>Área Existente M²</t>
  </si>
  <si>
    <t>Produtividade em m²</t>
  </si>
  <si>
    <t>Funcionários Estimados</t>
  </si>
  <si>
    <t>Funcionáiros por Tipo de Área</t>
  </si>
  <si>
    <t>Funcionários</t>
  </si>
  <si>
    <t>Quantidade de postos</t>
  </si>
  <si>
    <t>Vale Transporte</t>
  </si>
  <si>
    <t>Total Área Existente M²</t>
  </si>
  <si>
    <t>SR/RO</t>
  </si>
  <si>
    <t>AI</t>
  </si>
  <si>
    <t>1.1 Piso Frio</t>
  </si>
  <si>
    <t>SIM</t>
  </si>
  <si>
    <t>1.2 Banheiros</t>
  </si>
  <si>
    <t>1.3 Laboratório</t>
  </si>
  <si>
    <t>1.4 Almoxarifado/galpão</t>
  </si>
  <si>
    <t>1.5 Espaços livres (TELECENTRO, AUDITORIO, etc.)</t>
  </si>
  <si>
    <t>AE</t>
  </si>
  <si>
    <t>2.1 Piso Pavimentado</t>
  </si>
  <si>
    <t>2.2 Varrição de passeios e arruamentos (estacionamentos, inclusive garagens cobertas, etc)</t>
  </si>
  <si>
    <t>2.3 Pátios e áreas verdes – ALTA frequência</t>
  </si>
  <si>
    <t>2.4 Pátios e áreas verdes – MÉDIA frequência (QUINZENAL)</t>
  </si>
  <si>
    <t>EI E EE</t>
  </si>
  <si>
    <t>2.5 Pátios e áreas verdes – BAIXA frequência</t>
  </si>
  <si>
    <t>2.6 Campo de futebol (gramado)</t>
  </si>
  <si>
    <t>2.7 Coleta de detritos em pátios e áreas verdes com FREQUENCIA DIÁRIA</t>
  </si>
  <si>
    <t>NÃO</t>
  </si>
  <si>
    <t>EI</t>
  </si>
  <si>
    <t>3.1 Esquadrias internas</t>
  </si>
  <si>
    <t>EE</t>
  </si>
  <si>
    <t>GISE/PVH</t>
  </si>
  <si>
    <t>1.2 Almoxarifado/galpão</t>
  </si>
  <si>
    <t>1.3 Banheiros</t>
  </si>
  <si>
    <t>2.3 Pátios e áreas verdes – BAIXA frequência</t>
  </si>
  <si>
    <t>3.1 Esquadria internas</t>
  </si>
  <si>
    <t>3.2 Esquadrias Externas</t>
  </si>
  <si>
    <t>DPF/GMI</t>
  </si>
  <si>
    <t>Total COM e SEM VT</t>
  </si>
  <si>
    <t>1.2 Banheiro</t>
  </si>
  <si>
    <t>1.3 Almoxarifado/galpão</t>
  </si>
  <si>
    <t>1.4 Espaços livres (TELECENTRO, AUDITORIO, etc.)</t>
  </si>
  <si>
    <t>2.3 Pátios e áreas verdes – ALTA frequência (SEMANAL)</t>
  </si>
  <si>
    <t>CRISTAL</t>
  </si>
  <si>
    <t>2.1 Pátios e áreas verdes - QUINZENAL</t>
  </si>
  <si>
    <t>DPF/JPN</t>
  </si>
  <si>
    <t>DPF/VLA</t>
  </si>
  <si>
    <t>2.7 Coleta de detrito em pátios e áreas verdes com FREQUÊNCIA DIÁRIA</t>
  </si>
  <si>
    <t>CONFRON</t>
  </si>
  <si>
    <t>ROOSEVELT</t>
  </si>
  <si>
    <t>=</t>
  </si>
  <si>
    <t>2.1 Varrição de passeios e arruamentos (estacionamentos, inclusive garagens cobertas, etc)</t>
  </si>
  <si>
    <t>DIAMANTE</t>
  </si>
  <si>
    <t>BRADESCO</t>
  </si>
  <si>
    <t>Total</t>
  </si>
  <si>
    <t>DESCRIÇÃO E QUANTIDADE ESTIMADA DE EQUIPAMENTOS DE LIMPEZA</t>
  </si>
  <si>
    <t>SITES ELETRÔNICOS E EMPRESAS                                                  VALORES UNITÁRIOS (R$)</t>
  </si>
  <si>
    <t>VALORES ESTIMADOS (R$)</t>
  </si>
  <si>
    <r>
      <t>V</t>
    </r>
    <r>
      <rPr>
        <b/>
        <sz val="9"/>
        <color rgb="FF000000"/>
        <rFont val="Calibri"/>
        <family val="2"/>
      </rPr>
      <t>ALORES ESTIMADOS</t>
    </r>
    <r>
      <rPr>
        <b/>
        <sz val="9"/>
        <color rgb="FFFF0000"/>
        <rFont val="Calibri"/>
        <family val="2"/>
      </rPr>
      <t xml:space="preserve"> INICIALMENTE</t>
    </r>
  </si>
  <si>
    <t>ESPECIFICAÇÃO</t>
  </si>
  <si>
    <t>TOTAL ANUAL</t>
  </si>
  <si>
    <t>PREÇO MÉDIO UNITÁRIO</t>
  </si>
  <si>
    <t>Aspirador para pós e líquidos, profissional, sem a necessidade de mudar de filtro ou desligar o equipamento, reservatório com capacidade para 20 lts</t>
  </si>
  <si>
    <t>UNIDADE</t>
  </si>
  <si>
    <t>SUBMARINO.COM</t>
  </si>
  <si>
    <t>WALMART.COM</t>
  </si>
  <si>
    <t>FG.COM</t>
  </si>
  <si>
    <t>COMBATE</t>
  </si>
  <si>
    <t>NOVA PROVA</t>
  </si>
  <si>
    <t>HM BALBI</t>
  </si>
  <si>
    <t>Bomba pulverizadora</t>
  </si>
  <si>
    <t>AMERICANAS.COM</t>
  </si>
  <si>
    <t>GWRSHOP.COM</t>
  </si>
  <si>
    <t>Carrinho de carregar material de limpeza, em polipropileno, com rodinhas, suporte com saco de lixo com capacidade para 90 L, aproximadamente, duas bandejas, lugar para colocar balde com espremedor. O carrinho deverá conter os seguintes acessórios: 01 balde espremedor de 30 litros, aproximadamente, com divisão para água limpa e água suja; 01 conjunto Mop líquido (01 cabo em alumínio, 01 haste, 01 refil mop líquido 320g, aproximadamente); 01 pá coletora pop; 01 conjunto Mop Pó (01 cabo em alumínio, 01 armação, 01 refil Mop pó de aproximadamente 60 cm); 01 placa de sinalização para piso molhado. Qualidade igual ou similar a kit funcional América</t>
  </si>
  <si>
    <t>GADOTTICAR.COM</t>
  </si>
  <si>
    <t>LOJADOPROFISSIONAL.COM</t>
  </si>
  <si>
    <t>E-COZINHAS.COM</t>
  </si>
  <si>
    <t>Carrinho de mão com caçamba em polipropileno, estrutura tubular bipartida em aço SAE 1020, Capacidade da caçamba: 90L, Pneu com câmara</t>
  </si>
  <si>
    <t>AGROTAMA.COM</t>
  </si>
  <si>
    <t>LOJADOMECANICO.COM</t>
  </si>
  <si>
    <t>CARRO PARA LEVAR GARRAFÕES DE ÁGUA</t>
  </si>
  <si>
    <t>CARRINHOSNET.COM</t>
  </si>
  <si>
    <t>CARRINHOSINDUSTRIAIS.NET</t>
  </si>
  <si>
    <t>CESTO fechado de 30 litros para escritório</t>
  </si>
  <si>
    <t>SILVALAR.COM</t>
  </si>
  <si>
    <t>MULTIECON.COM</t>
  </si>
  <si>
    <t>CESTO LIXO Gari, com tampa, de 120 lts, roda de 200 mm X 240 A</t>
  </si>
  <si>
    <t>MAGAZINELUIZA.COM</t>
  </si>
  <si>
    <t>BR.MELINTEREST.COM</t>
  </si>
  <si>
    <t>BENZOLIMP.COM</t>
  </si>
  <si>
    <t>CISCADOR leque cabo longo</t>
  </si>
  <si>
    <t>DUTRAMAQUINAS.COM</t>
  </si>
  <si>
    <t>DISPENSADOR P/ COPO 2 TUBOS de 180 ml cada</t>
  </si>
  <si>
    <t>CONTRISUL.COM</t>
  </si>
  <si>
    <t>DISPENSER para álcool gel</t>
  </si>
  <si>
    <t>DISPENSER PARA PAPEL HIGIÊNICO EM ROLO, capacidade para no mínimo rolos de 250 metros</t>
  </si>
  <si>
    <t>DISPENSER para saboneteira, resistente, produzido em material plástico ABS, com sistema autocolante, visor frontal, facilitando o abastecimento do produto, válvula de supervisor, proporcionando correta dosagem e impedindo vazamento, para acondicionamento dos refis</t>
  </si>
  <si>
    <t>DISPENSER para toalha de papel interfolhada, capacidade de no mínimo 1 maço de 250 folhas</t>
  </si>
  <si>
    <t>SHOPFACIL.COM</t>
  </si>
  <si>
    <t>ENCERADEIRA industrial acompanhado de  todos os acessórios</t>
  </si>
  <si>
    <t>TTMAQUINAS.COM</t>
  </si>
  <si>
    <t>ESCADA de aço/alumínio 12 degraus – Tipo cavalete</t>
  </si>
  <si>
    <t>SHOPTIME.COM</t>
  </si>
  <si>
    <t>ESCADA de aço/alumínio 7 degraus – Tipo cavalete</t>
  </si>
  <si>
    <t>ESCADA DOBRÁVEL, material: ferro e aço galvanizado pintado, com cinco degraus, e sapatas antiderrapantes</t>
  </si>
  <si>
    <t>CEC.COM</t>
  </si>
  <si>
    <t>EXTENSÃO ELÉTRICA 50m com tomadas de entrada e saída – 3/2,5mm</t>
  </si>
  <si>
    <t>RRMAQUINAS.COM</t>
  </si>
  <si>
    <t>Lavadora profissional de alta pressão (Vazão: 7 lt/min; Pressão: 1600 libras; Potência do Motor:2000W)</t>
  </si>
  <si>
    <t>LIXEIRA CILINDRICA, plástica, para banheiro, mínimo de 15 lts</t>
  </si>
  <si>
    <t>KALUNGA.COM</t>
  </si>
  <si>
    <t>LIXEIRA, plástica, de 100 lts, com tampa, para área externa</t>
  </si>
  <si>
    <t>MANGUEIRA nylon trançado 3/4”, 100 metros</t>
  </si>
  <si>
    <t>TDAFERRAMENTAS.COM</t>
  </si>
  <si>
    <t>CASAAMERICA.COM</t>
  </si>
  <si>
    <t>PLACA DE SINALIZAÇÃO c/ aviso de piso molhado, banheiro fora de uso, não entre, chão úmido e outras indicações necessárias</t>
  </si>
  <si>
    <t>FACÃO</t>
  </si>
  <si>
    <t>FOICE</t>
  </si>
  <si>
    <t>ENXADA</t>
  </si>
  <si>
    <t>PÁ TIPO PEDREIRO/COLHER</t>
  </si>
  <si>
    <t>ROÇADEIRA e seus insumos (lamina, FIO DE NYLON, gasolina, lima chata, óleo 2 tempos, etc)</t>
  </si>
  <si>
    <t>TESOURA DE PODA (grande)</t>
  </si>
  <si>
    <t>ESTRELA10.COM</t>
  </si>
  <si>
    <r>
      <rPr>
        <b/>
        <sz val="11"/>
        <color rgb="FFFF0000"/>
        <rFont val="Calibri"/>
        <family val="2"/>
      </rPr>
      <t>(A)</t>
    </r>
    <r>
      <rPr>
        <b/>
        <sz val="11"/>
        <color rgb="FF000000"/>
        <rFont val="Times New Roman1"/>
      </rPr>
      <t xml:space="preserve"> Valor TOTAL Anual dos Equipamentos (R$)</t>
    </r>
  </si>
  <si>
    <r>
      <t xml:space="preserve">(B) </t>
    </r>
    <r>
      <rPr>
        <b/>
        <sz val="11"/>
        <color rgb="FF000000"/>
        <rFont val="Calibri"/>
        <family val="2"/>
      </rPr>
      <t>Custo Anual da Depreciação (</t>
    </r>
    <r>
      <rPr>
        <b/>
        <sz val="11"/>
        <color rgb="FFFF0000"/>
        <rFont val="Times New Roman1"/>
      </rPr>
      <t xml:space="preserve">Cálculo: = (R$ A * 0,9) / (12 * 8) * 12)¹
</t>
    </r>
  </si>
  <si>
    <r>
      <t xml:space="preserve">(C) </t>
    </r>
    <r>
      <rPr>
        <b/>
        <sz val="11"/>
        <color rgb="FF000000"/>
        <rFont val="Calibri"/>
        <family val="2"/>
      </rPr>
      <t xml:space="preserve">Custo MENSAL da Depreciação a ser considerado na planilha de cada posto (R$) </t>
    </r>
    <r>
      <rPr>
        <b/>
        <sz val="11"/>
        <color rgb="FFFF0000"/>
        <rFont val="Times New Roman1"/>
      </rPr>
      <t xml:space="preserve">(Cálculo: = (R$ B / 12 / 24)²
</t>
    </r>
  </si>
  <si>
    <t>¹ No cálculo do custo dos equipamentos, a Administração considerou o valor residual de 10% e vida útil de 08 anos.</t>
  </si>
  <si>
    <t>² 12 é o nº de meses e 24 o nº de serventes estimados.</t>
  </si>
  <si>
    <t>Observação:</t>
  </si>
  <si>
    <t>1. Tendo em vista a discrepância com os demais valores pesquisados, foi desconsiderado para o cálculo da média dos ITENS 1 e 3 o valor cotado pela empresa NOVA PROVA, e para os ITENS 3, 10 e 26 os cotados pela empresa HM BALBI.</t>
  </si>
  <si>
    <t>EQUIPAMENTOS/UTENSÍLIOS POR LAVADOR AO ANO</t>
  </si>
  <si>
    <r>
      <t xml:space="preserve">VALORES ESTIMADOS (R$) </t>
    </r>
    <r>
      <rPr>
        <b/>
        <sz val="11"/>
        <color rgb="FFFF0000"/>
        <rFont val="Calibri"/>
        <family val="2"/>
      </rPr>
      <t>INICIALMENTE</t>
    </r>
  </si>
  <si>
    <t>SITES ELETRÔNICOS E EMPRESAS                                                                                                                          VALORES UNITÁRIOS (R$)</t>
  </si>
  <si>
    <t>Aspirador de pó e água profissional, de baixo ruído</t>
  </si>
  <si>
    <t>Compressor com moto-bomba</t>
  </si>
  <si>
    <t>Mangueira de ar de 1/4  com 50 metros</t>
  </si>
  <si>
    <t>CCPPARAFUSOS.COM</t>
  </si>
  <si>
    <t>MAXIFERRAMENTA.COM</t>
  </si>
  <si>
    <t>Mangueira de água  de 3/4 com 100 metros</t>
  </si>
  <si>
    <r>
      <t>(A)</t>
    </r>
    <r>
      <rPr>
        <sz val="11"/>
        <color rgb="FF000000"/>
        <rFont val="Calibri"/>
        <family val="2"/>
      </rPr>
      <t xml:space="preserve"> Valor Total Anual dos equipamentos (R$)</t>
    </r>
  </si>
  <si>
    <r>
      <t>(B)</t>
    </r>
    <r>
      <rPr>
        <sz val="11"/>
        <color rgb="FF000000"/>
        <rFont val="Calibri"/>
        <family val="2"/>
      </rPr>
      <t xml:space="preserve"> Custo Anual da Depreciação R$ ( </t>
    </r>
    <r>
      <rPr>
        <sz val="11"/>
        <color rgb="FFFF0000"/>
        <rFont val="Times New Roman1"/>
      </rPr>
      <t>Cálculo: = (R$ A * 0,9) / (12 * 8) * 12)¹</t>
    </r>
  </si>
  <si>
    <r>
      <t xml:space="preserve">(C) </t>
    </r>
    <r>
      <rPr>
        <sz val="11"/>
        <color rgb="FF000000"/>
        <rFont val="Calibri"/>
        <family val="2"/>
      </rPr>
      <t xml:space="preserve">Custo MENSAL da depreciação que deverá ser considerado na planilha do Lavador R$ </t>
    </r>
    <r>
      <rPr>
        <sz val="11"/>
        <color rgb="FFFF0000"/>
        <rFont val="Times New Roman1"/>
      </rPr>
      <t>(Cálculo: = (R$ B / 12 / 4)²</t>
    </r>
  </si>
  <si>
    <t>² 12 é o nº de meses e 4 é o nº de postos.</t>
  </si>
  <si>
    <t>OBSERVAÇÕES:</t>
  </si>
  <si>
    <t>1. Considerando a discrepância com os demais valores pesquisados, foi desconsiderado para o cálculo da média do valor estimado para cada ITEM e para os itens 1 e 2 os valores cotados pela empresa HM BALBI.</t>
  </si>
  <si>
    <t>2. Os valores dos itens 1  e 2 orçados pela HM BALBI não foram considerados para o preço médio, pois mostram-se consideravelmente superiores se comparados a outras cotações de preços.</t>
  </si>
  <si>
    <t>ESTIMATIVA DE EQUIPAMENTOS POR POSTO 12 x 36 (2 VIGILANTES) POR UM PERÍODO DE 60 MESES</t>
  </si>
  <si>
    <r>
      <t xml:space="preserve">QDT POR POSTO </t>
    </r>
    <r>
      <rPr>
        <b/>
        <sz val="12"/>
        <color rgb="FFFF0000"/>
        <rFont val="Calibri"/>
        <family val="2"/>
      </rPr>
      <t>(A)</t>
    </r>
  </si>
  <si>
    <r>
      <t xml:space="preserve">VIDA ÚTIL (meses)   </t>
    </r>
    <r>
      <rPr>
        <b/>
        <sz val="12"/>
        <color rgb="FFFF0000"/>
        <rFont val="Calibri"/>
        <family val="2"/>
      </rPr>
      <t xml:space="preserve">  (C)</t>
    </r>
  </si>
  <si>
    <r>
      <t xml:space="preserve">VALOR POR VIGILANTE (R$)   </t>
    </r>
    <r>
      <rPr>
        <b/>
        <sz val="12"/>
        <color rgb="FFFF0000"/>
        <rFont val="Calibri"/>
        <family val="2"/>
      </rPr>
      <t>((AxB)/C/2)</t>
    </r>
  </si>
  <si>
    <t>Revólver calibre 38</t>
  </si>
  <si>
    <t>Munição calibre 38</t>
  </si>
  <si>
    <t>Cinto com coldre e baleiro</t>
  </si>
  <si>
    <t>Colete balístico no tamanho do vigilante</t>
  </si>
  <si>
    <t>Capa para colete balístico</t>
  </si>
  <si>
    <t>Rádio comunicador (HT) ou “walkie-talkie”</t>
  </si>
  <si>
    <t>Cassetete tipo tonfa</t>
  </si>
  <si>
    <t xml:space="preserve">	Porta cassetete</t>
  </si>
  <si>
    <t xml:space="preserve">	Apito com cordão</t>
  </si>
  <si>
    <t>Lanterna recarregável acima de 12 LEDs</t>
  </si>
  <si>
    <t>Livros de ocorrências</t>
  </si>
  <si>
    <t>Bastão ou outro equipamento próprio para ronda eletrônica e buttons</t>
  </si>
  <si>
    <t>VALOR TOTAL MENSAL POR VIGILANTE</t>
  </si>
  <si>
    <t xml:space="preserve">Obs. </t>
  </si>
  <si>
    <t>1. Estima-se que a quantidade prevista na tabela acima seja suficiente para suprir um posto pelo período de 60 meses, tempo de duração prevista do contrato.</t>
  </si>
  <si>
    <t>2. Para a vida útil dos equipamentos e materiais tivemos por base as licitações de outros órgãos e o CADTERC/SP.</t>
  </si>
  <si>
    <t>3. Para o cálculo dividimos o custo unitário pela vida útil e multiplicamos pela quantidade prevista no posto, obtendo assim, o custo mensal do posto para após dividir por 2 (nº de vigilantes de um posto).</t>
  </si>
  <si>
    <t>ESTIMATIVA DE UNIFORME E CUSTOS POR VIGILANTE</t>
  </si>
  <si>
    <t>Ji-Paraná/RO</t>
  </si>
  <si>
    <t>Guajará-Mirim, Vilhena e Pimenta Bueno/RO</t>
  </si>
  <si>
    <t>Municípios/UF</t>
  </si>
  <si>
    <r>
      <t xml:space="preserve">QTD     </t>
    </r>
    <r>
      <rPr>
        <b/>
        <sz val="12"/>
        <color rgb="FFFF0000"/>
        <rFont val="Calibri"/>
        <family val="2"/>
        <scheme val="minor"/>
      </rPr>
      <t xml:space="preserve"> (A)</t>
    </r>
  </si>
  <si>
    <r>
      <t>Valor Unitário por POSTO</t>
    </r>
    <r>
      <rPr>
        <b/>
        <sz val="12"/>
        <color rgb="FFFF0000"/>
        <rFont val="Calibri"/>
        <family val="2"/>
        <scheme val="minor"/>
      </rPr>
      <t xml:space="preserve">       (B)</t>
    </r>
  </si>
  <si>
    <r>
      <t>Valor TOTAL para 20 meses</t>
    </r>
    <r>
      <rPr>
        <b/>
        <sz val="12"/>
        <color rgb="FFFF0000"/>
        <rFont val="Calibri"/>
        <family val="2"/>
        <scheme val="minor"/>
      </rPr>
      <t xml:space="preserve">                      (A x B x 20)</t>
    </r>
  </si>
  <si>
    <t>VIGILANTES: GMI - VLA - PBO</t>
  </si>
  <si>
    <t>VIGILANTES: JPN</t>
  </si>
  <si>
    <t>VIGILANTES: PVH</t>
  </si>
  <si>
    <r>
      <rPr>
        <b/>
        <sz val="11"/>
        <color theme="1"/>
        <rFont val="Calibri"/>
        <family val="2"/>
        <scheme val="minor"/>
      </rPr>
      <t xml:space="preserve">Cesta básica </t>
    </r>
    <r>
      <rPr>
        <b/>
        <sz val="11"/>
        <color rgb="FFFF0000"/>
        <rFont val="Calibri"/>
        <family val="2"/>
        <scheme val="minor"/>
      </rPr>
      <t>((16% x SB)-(1% x SB)/12) (Cláusula 17ª da CCT 2019)</t>
    </r>
  </si>
  <si>
    <r>
      <t xml:space="preserve">Transporte </t>
    </r>
    <r>
      <rPr>
        <b/>
        <sz val="11"/>
        <color rgb="FFFF0000"/>
        <rFont val="Calibri"/>
        <family val="2"/>
        <scheme val="minor"/>
      </rPr>
      <t>=(15,21 dias x 2 vales x VT) – ((SB/2)*6%)</t>
    </r>
  </si>
  <si>
    <r>
      <rPr>
        <b/>
        <sz val="11"/>
        <color theme="1"/>
        <rFont val="Calibri"/>
        <family val="2"/>
        <scheme val="minor"/>
      </rPr>
      <t>Cesta básica</t>
    </r>
    <r>
      <rPr>
        <b/>
        <sz val="11"/>
        <color rgb="FFFF0000"/>
        <rFont val="Calibri"/>
        <family val="2"/>
        <scheme val="minor"/>
      </rPr>
      <t xml:space="preserve"> ((16% x SB)-(1% x SB)/12) (Cláusula 17ª da CCT 2019)</t>
    </r>
  </si>
  <si>
    <t xml:space="preserve">SERVIÇOS DE VIGILÂNCIA </t>
  </si>
  <si>
    <t>POSTOS         12 X 36</t>
  </si>
  <si>
    <r>
      <t xml:space="preserve">Salário base = piso da categoria </t>
    </r>
    <r>
      <rPr>
        <b/>
        <sz val="12"/>
        <color rgb="FFFF0000"/>
        <rFont val="Calibri"/>
        <family val="2"/>
        <scheme val="minor"/>
      </rPr>
      <t>(valor para somente 1 vigilante)</t>
    </r>
  </si>
  <si>
    <r>
      <t xml:space="preserve">VALOR </t>
    </r>
    <r>
      <rPr>
        <b/>
        <sz val="11"/>
        <color rgb="FFFF0000"/>
        <rFont val="Calibri"/>
        <family val="2"/>
      </rPr>
      <t>MÁXIMO</t>
    </r>
    <r>
      <rPr>
        <b/>
        <sz val="11"/>
        <color rgb="FF000000"/>
        <rFont val="Calibri"/>
        <family val="2"/>
      </rPr>
      <t xml:space="preserve"> UNITÁRIO (R$)</t>
    </r>
  </si>
  <si>
    <r>
      <t xml:space="preserve">VALOR </t>
    </r>
    <r>
      <rPr>
        <b/>
        <sz val="12"/>
        <color rgb="FFFF0000"/>
        <rFont val="Calibri"/>
        <family val="2"/>
      </rPr>
      <t>MÁXIMO</t>
    </r>
    <r>
      <rPr>
        <b/>
        <sz val="12"/>
        <color rgb="FF000000"/>
        <rFont val="Calibri"/>
        <family val="2"/>
      </rPr>
      <t xml:space="preserve"> UNITÁRIO (R$) </t>
    </r>
    <r>
      <rPr>
        <b/>
        <sz val="12"/>
        <color rgb="FFFF0000"/>
        <rFont val="Calibri"/>
        <family val="2"/>
      </rPr>
      <t>(B)</t>
    </r>
  </si>
  <si>
    <t>Par de sapatos pretos ou marrom tipo coturno</t>
  </si>
  <si>
    <r>
      <t>Adicional de Férias</t>
    </r>
    <r>
      <rPr>
        <b/>
        <sz val="12"/>
        <color rgb="FFFF0000"/>
        <rFont val="Calibri"/>
        <family val="2"/>
        <scheme val="minor"/>
      </rPr>
      <t xml:space="preserve"> =((1/12)/3)*100))</t>
    </r>
  </si>
  <si>
    <r>
      <t xml:space="preserve">Adicional Noturno  </t>
    </r>
    <r>
      <rPr>
        <b/>
        <sz val="12"/>
        <color rgb="FFFF0000"/>
        <rFont val="Calibri"/>
        <family val="2"/>
        <scheme val="minor"/>
      </rPr>
      <t xml:space="preserve"> ((8 * R$ 1,45 * 15,21 dias) Cláusula 31ª CCT 2019)</t>
    </r>
  </si>
  <si>
    <t>Classificação Brasileira de Ocupações (CBO)</t>
  </si>
  <si>
    <t>5173-30</t>
  </si>
  <si>
    <r>
      <t xml:space="preserve">Adicional Noturno  </t>
    </r>
    <r>
      <rPr>
        <b/>
        <sz val="12"/>
        <color rgb="FFFF0000"/>
        <rFont val="Calibri"/>
        <family val="2"/>
        <scheme val="minor"/>
      </rPr>
      <t>((8 * R$ 1,45 * 15,21 dias) Cláusula 31ª CCT 2019)</t>
    </r>
  </si>
  <si>
    <t xml:space="preserve">Vigilância armada e uniformizada </t>
  </si>
  <si>
    <t>Posto 12 x 36</t>
  </si>
  <si>
    <t>Substituto nas ausências legais</t>
  </si>
  <si>
    <t>Substituto na cobertura de outras asuências (especificar)</t>
  </si>
  <si>
    <t>Substituto na cobertura de outras ausências (especificar)</t>
  </si>
  <si>
    <r>
      <t xml:space="preserve">Adicional de Férias </t>
    </r>
    <r>
      <rPr>
        <b/>
        <sz val="12"/>
        <color rgb="FFFF0000"/>
        <rFont val="Calibri"/>
        <family val="2"/>
        <scheme val="minor"/>
      </rPr>
      <t>=((1/12)/3)*100))</t>
    </r>
  </si>
  <si>
    <r>
      <t>Intrajornada</t>
    </r>
    <r>
      <rPr>
        <b/>
        <sz val="12"/>
        <color rgb="FFFF0000"/>
        <rFont val="Calibri"/>
        <family val="2"/>
        <scheme val="minor"/>
      </rPr>
      <t xml:space="preserve"> (15,21 * 8,71)</t>
    </r>
    <r>
      <rPr>
        <b/>
        <sz val="12"/>
        <color rgb="FF000000"/>
        <rFont val="Calibri"/>
        <family val="2"/>
        <scheme val="minor"/>
      </rPr>
      <t xml:space="preserve">						</t>
    </r>
  </si>
  <si>
    <r>
      <t xml:space="preserve">Intrajornada </t>
    </r>
    <r>
      <rPr>
        <b/>
        <sz val="12"/>
        <color rgb="FFFF0000"/>
        <rFont val="Calibri"/>
        <family val="2"/>
        <scheme val="minor"/>
      </rPr>
      <t>(15,21 * 8,71)</t>
    </r>
    <r>
      <rPr>
        <b/>
        <sz val="12"/>
        <color rgb="FF000000"/>
        <rFont val="Calibri"/>
        <family val="2"/>
        <scheme val="minor"/>
      </rPr>
      <t xml:space="preserve">					</t>
    </r>
  </si>
  <si>
    <r>
      <rPr>
        <sz val="10"/>
        <color rgb="FF000000"/>
        <rFont val="Times New Roman1"/>
      </rPr>
      <t xml:space="preserve">OBJETO: </t>
    </r>
    <r>
      <rPr>
        <b/>
        <sz val="10"/>
        <color rgb="FF000000"/>
        <rFont val="Times New Roman1"/>
      </rPr>
      <t>Serviços de VIGILÂNCIA ARMADA E UNIFORMIZADA para atender as Unidades de Polícia Federal em Rondônia, localizadas em Porto Velho, Guajará-Mirim, Ji-Paraná, Pimenta Bueno e Vilhena.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</si>
</sst>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,##0.0000"/>
    <numFmt numFmtId="165" formatCode="#,##0.000000000"/>
    <numFmt numFmtId="166" formatCode="0.0000000"/>
    <numFmt numFmtId="167" formatCode="0.0000000E+00"/>
    <numFmt numFmtId="168" formatCode="0.000000"/>
    <numFmt numFmtId="169" formatCode="0.00000000"/>
    <numFmt numFmtId="170" formatCode="&quot;R$ &quot;#,##0.00"/>
    <numFmt numFmtId="171" formatCode="0.000%"/>
    <numFmt numFmtId="172" formatCode="[$R$]&quot; &quot;#,##0.00"/>
    <numFmt numFmtId="173" formatCode="0.0000"/>
    <numFmt numFmtId="174" formatCode="0.0000%"/>
    <numFmt numFmtId="175" formatCode="&quot; R$ &quot;#,##0.00&quot; &quot;;&quot;-R$ &quot;#,##0.00&quot; &quot;;&quot; R$ -&quot;#&quot; &quot;;@&quot; &quot;"/>
    <numFmt numFmtId="176" formatCode="#,##0.00&quot; &quot;;&quot;-&quot;#,##0.00&quot; &quot;"/>
    <numFmt numFmtId="177" formatCode="#,##0.00&quot; &quot;;&quot;-&quot;#,##0.00&quot; &quot;;&quot;-&quot;00&quot; &quot;;@&quot; &quot;"/>
    <numFmt numFmtId="178" formatCode="[$R$-416]&quot; &quot;#,##0.00;[Red]&quot;-&quot;[$R$-416]&quot; &quot;#,##0.00"/>
    <numFmt numFmtId="179" formatCode="&quot;R$&quot;\ #,##0.00"/>
    <numFmt numFmtId="180" formatCode="[$R$-416]#,##0.00"/>
  </numFmts>
  <fonts count="78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sz val="11"/>
      <color rgb="FF006100"/>
      <name val="Calibri"/>
      <family val="2"/>
    </font>
    <font>
      <b/>
      <i/>
      <sz val="16"/>
      <color rgb="FF000000"/>
      <name val="Calibri"/>
      <family val="2"/>
    </font>
    <font>
      <u/>
      <sz val="11"/>
      <color rgb="FF0000FF"/>
      <name val="Calibri"/>
      <family val="2"/>
    </font>
    <font>
      <sz val="12"/>
      <color rgb="FF000000"/>
      <name val="Tahoma"/>
      <family val="2"/>
    </font>
    <font>
      <sz val="11"/>
      <color rgb="FF000000"/>
      <name val="Arial"/>
      <family val="2"/>
    </font>
    <font>
      <b/>
      <i/>
      <u/>
      <sz val="11"/>
      <color rgb="FF000000"/>
      <name val="Calibri"/>
      <family val="2"/>
    </font>
    <font>
      <b/>
      <sz val="14"/>
      <color rgb="FF000000"/>
      <name val="Arial"/>
      <family val="2"/>
    </font>
    <font>
      <b/>
      <sz val="14"/>
      <color rgb="FF000000"/>
      <name val="Times New Roman1"/>
    </font>
    <font>
      <sz val="10"/>
      <color rgb="FF000000"/>
      <name val="Times New Roman1"/>
    </font>
    <font>
      <b/>
      <sz val="10"/>
      <color rgb="FF000000"/>
      <name val="Times New Roman1"/>
    </font>
    <font>
      <sz val="10"/>
      <color rgb="FF000000"/>
      <name val="Calibri"/>
      <family val="2"/>
    </font>
    <font>
      <u/>
      <sz val="10"/>
      <color rgb="FF000000"/>
      <name val="Times New Roman1"/>
    </font>
    <font>
      <sz val="11"/>
      <color rgb="FF000000"/>
      <name val="Times New Roman1"/>
    </font>
    <font>
      <b/>
      <u/>
      <sz val="10"/>
      <color rgb="FF000000"/>
      <name val="Times New Roman1"/>
    </font>
    <font>
      <b/>
      <sz val="18"/>
      <color rgb="FF000000"/>
      <name val="Times New Roman1"/>
    </font>
    <font>
      <b/>
      <sz val="10"/>
      <color rgb="FF008080"/>
      <name val="Times New Roman1"/>
    </font>
    <font>
      <b/>
      <sz val="12"/>
      <color rgb="FF000000"/>
      <name val="Times New Roman1"/>
    </font>
    <font>
      <sz val="12"/>
      <color rgb="FF000000"/>
      <name val="Calibri"/>
      <family val="2"/>
    </font>
    <font>
      <b/>
      <sz val="12"/>
      <color rgb="FFFF0000"/>
      <name val="Times New Roman1"/>
    </font>
    <font>
      <sz val="12"/>
      <color rgb="FFFF0000"/>
      <name val="Calibri"/>
      <family val="2"/>
    </font>
    <font>
      <b/>
      <sz val="12"/>
      <color rgb="FF800000"/>
      <name val="Calibri"/>
      <family val="2"/>
    </font>
    <font>
      <b/>
      <sz val="12"/>
      <color rgb="FF000000"/>
      <name val="Calibri"/>
      <family val="2"/>
    </font>
    <font>
      <b/>
      <sz val="9"/>
      <color rgb="FF000000"/>
      <name val="Times New Roman1"/>
    </font>
    <font>
      <sz val="9"/>
      <color rgb="FF000000"/>
      <name val="Times New Roman1"/>
    </font>
    <font>
      <b/>
      <sz val="11"/>
      <color rgb="FF000000"/>
      <name val="Times New Roman1"/>
    </font>
    <font>
      <b/>
      <sz val="16"/>
      <color rgb="FF000000"/>
      <name val="Times New Roman1"/>
    </font>
    <font>
      <sz val="8"/>
      <color rgb="FF000000"/>
      <name val="Times New Roman1"/>
    </font>
    <font>
      <b/>
      <sz val="9"/>
      <color rgb="FFFF0000"/>
      <name val="Calibri"/>
      <family val="2"/>
    </font>
    <font>
      <b/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rgb="FF000000"/>
      <name val="Courier New"/>
      <family val="3"/>
    </font>
    <font>
      <sz val="11"/>
      <color rgb="FF000000"/>
      <name val="Courier New"/>
      <family val="3"/>
    </font>
    <font>
      <b/>
      <sz val="11"/>
      <color rgb="FF000000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9"/>
      <color rgb="FF000000"/>
      <name val="Courier New"/>
      <family val="3"/>
    </font>
    <font>
      <sz val="9"/>
      <color rgb="FF000000"/>
      <name val="Courier New"/>
      <family val="3"/>
    </font>
    <font>
      <u/>
      <sz val="9"/>
      <color rgb="FFFF0000"/>
      <name val="Times New Roman1"/>
    </font>
    <font>
      <b/>
      <sz val="11"/>
      <color rgb="FFFF0000"/>
      <name val="Calibri"/>
      <family val="2"/>
    </font>
    <font>
      <b/>
      <u/>
      <sz val="11"/>
      <color rgb="FF000000"/>
      <name val="Times New Roman1"/>
    </font>
    <font>
      <u/>
      <sz val="9"/>
      <color rgb="FF000000"/>
      <name val="Times New Roman1"/>
    </font>
    <font>
      <b/>
      <sz val="11"/>
      <color rgb="FFFF0000"/>
      <name val="Times New Roman1"/>
    </font>
    <font>
      <u/>
      <sz val="11"/>
      <color rgb="FF000000"/>
      <name val="Times New Roman1"/>
    </font>
    <font>
      <b/>
      <u/>
      <sz val="12"/>
      <color rgb="FF000000"/>
      <name val="Times New Roman1"/>
    </font>
    <font>
      <sz val="12"/>
      <color rgb="FFFF0000"/>
      <name val="Times New Roman1"/>
    </font>
    <font>
      <b/>
      <u/>
      <sz val="9"/>
      <color rgb="FFFF0000"/>
      <name val="Times New Roman1"/>
    </font>
    <font>
      <sz val="11"/>
      <color rgb="FFFF0000"/>
      <name val="Times New Roman1"/>
    </font>
    <font>
      <b/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244062"/>
      <name val="Calibri"/>
      <family val="2"/>
      <scheme val="minor"/>
    </font>
    <font>
      <b/>
      <sz val="12"/>
      <color rgb="FF538DD5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rgb="FF000000"/>
      <name val="Calibri"/>
      <scheme val="minor"/>
    </font>
    <font>
      <b/>
      <sz val="14"/>
      <color rgb="FFFFFFFF"/>
      <name val="Calibri"/>
      <family val="2"/>
      <scheme val="minor"/>
    </font>
    <font>
      <b/>
      <sz val="12"/>
      <color rgb="FF000000"/>
      <name val="Calibri"/>
      <scheme val="minor"/>
    </font>
    <font>
      <b/>
      <sz val="12"/>
      <color rgb="FFFFFFFF"/>
      <name val="Calibri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CCCCFF"/>
        <bgColor rgb="FFCCCCFF"/>
      </patternFill>
    </fill>
    <fill>
      <patternFill patternType="solid">
        <fgColor rgb="FF99CCFF"/>
        <bgColor rgb="FF99CCFF"/>
      </patternFill>
    </fill>
    <fill>
      <patternFill patternType="solid">
        <fgColor rgb="FFCCFFFF"/>
        <bgColor rgb="FFCCFFFF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00FFFF"/>
        <bgColor rgb="FF00FFFF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00CCFF"/>
        <bgColor rgb="FF00CCFF"/>
      </patternFill>
    </fill>
    <fill>
      <patternFill patternType="solid">
        <fgColor rgb="FFFFCC00"/>
        <bgColor rgb="FFFFCC00"/>
      </patternFill>
    </fill>
    <fill>
      <patternFill patternType="solid">
        <fgColor rgb="FF99CC00"/>
        <bgColor rgb="FF99CC00"/>
      </patternFill>
    </fill>
    <fill>
      <patternFill patternType="solid">
        <fgColor rgb="FF00B0F0"/>
        <bgColor rgb="FF00B0F0"/>
      </patternFill>
    </fill>
    <fill>
      <patternFill patternType="solid">
        <fgColor rgb="FFFCD5B4"/>
        <bgColor rgb="FFFCD5B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D9D9D9"/>
        <bgColor indexed="64"/>
      </patternFill>
    </fill>
    <fill>
      <patternFill patternType="solid">
        <fgColor theme="4" tint="0.59999389629810485"/>
        <bgColor rgb="FFFFFF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rgb="FFFF0000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FFFFFF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FFFFFF"/>
      </right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177" fontId="1" fillId="0" borderId="0"/>
    <xf numFmtId="175" fontId="1" fillId="0" borderId="0"/>
    <xf numFmtId="9" fontId="1" fillId="0" borderId="0"/>
    <xf numFmtId="0" fontId="2" fillId="2" borderId="0"/>
    <xf numFmtId="0" fontId="3" fillId="3" borderId="0"/>
    <xf numFmtId="0" fontId="2" fillId="2" borderId="0"/>
    <xf numFmtId="0" fontId="4" fillId="0" borderId="0">
      <alignment horizontal="center"/>
    </xf>
    <xf numFmtId="0" fontId="4" fillId="0" borderId="0">
      <alignment horizontal="center" textRotation="90"/>
    </xf>
    <xf numFmtId="0" fontId="5" fillId="0" borderId="0"/>
    <xf numFmtId="0" fontId="6" fillId="0" borderId="1">
      <alignment vertical="center" wrapText="1"/>
    </xf>
    <xf numFmtId="49" fontId="7" fillId="0" borderId="1">
      <alignment horizontal="left" vertical="center" wrapText="1"/>
    </xf>
    <xf numFmtId="0" fontId="8" fillId="0" borderId="0"/>
    <xf numFmtId="178" fontId="8" fillId="0" borderId="0"/>
    <xf numFmtId="0" fontId="9" fillId="4" borderId="1">
      <alignment horizontal="center" vertical="center"/>
      <protection locked="0"/>
    </xf>
  </cellStyleXfs>
  <cellXfs count="470">
    <xf numFmtId="0" fontId="0" fillId="0" borderId="0" xfId="0"/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49" fontId="11" fillId="4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4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vertical="center"/>
    </xf>
    <xf numFmtId="0" fontId="12" fillId="6" borderId="1" xfId="0" applyFont="1" applyFill="1" applyBorder="1" applyAlignment="1" applyProtection="1">
      <alignment horizontal="right" vertical="center"/>
    </xf>
    <xf numFmtId="0" fontId="12" fillId="0" borderId="1" xfId="0" applyFont="1" applyBorder="1" applyAlignment="1" applyProtection="1">
      <alignment vertical="center"/>
    </xf>
    <xf numFmtId="0" fontId="12" fillId="4" borderId="1" xfId="14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right" vertical="center" wrapText="1"/>
    </xf>
    <xf numFmtId="0" fontId="11" fillId="0" borderId="0" xfId="0" applyFont="1" applyAlignment="1" applyProtection="1">
      <alignment horizontal="center" vertical="center" wrapText="1"/>
    </xf>
    <xf numFmtId="0" fontId="11" fillId="0" borderId="0" xfId="0" applyFont="1" applyAlignment="1" applyProtection="1">
      <alignment horizontal="justify" vertical="center" wrapText="1"/>
    </xf>
    <xf numFmtId="170" fontId="11" fillId="0" borderId="0" xfId="0" applyNumberFormat="1" applyFont="1" applyAlignment="1" applyProtection="1">
      <alignment vertical="center" wrapText="1"/>
    </xf>
    <xf numFmtId="10" fontId="11" fillId="0" borderId="0" xfId="3" applyNumberFormat="1" applyFont="1" applyAlignment="1">
      <alignment vertical="center" wrapText="1"/>
    </xf>
    <xf numFmtId="0" fontId="18" fillId="0" borderId="0" xfId="0" applyFont="1"/>
    <xf numFmtId="0" fontId="19" fillId="8" borderId="1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19" fillId="0" borderId="1" xfId="0" applyFont="1" applyBorder="1" applyAlignment="1">
      <alignment horizontal="justify" vertical="top"/>
    </xf>
    <xf numFmtId="0" fontId="0" fillId="0" borderId="0" xfId="0" applyAlignment="1" applyProtection="1">
      <alignment vertical="center"/>
    </xf>
    <xf numFmtId="0" fontId="19" fillId="0" borderId="1" xfId="0" applyFont="1" applyBorder="1" applyAlignment="1">
      <alignment horizontal="justify" vertical="top" wrapText="1"/>
    </xf>
    <xf numFmtId="0" fontId="21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wrapText="1"/>
    </xf>
    <xf numFmtId="0" fontId="15" fillId="0" borderId="0" xfId="0" applyFont="1"/>
    <xf numFmtId="0" fontId="26" fillId="0" borderId="0" xfId="0" applyFont="1"/>
    <xf numFmtId="0" fontId="25" fillId="9" borderId="4" xfId="0" applyFont="1" applyFill="1" applyBorder="1" applyAlignment="1">
      <alignment horizontal="center" vertical="top" wrapText="1"/>
    </xf>
    <xf numFmtId="0" fontId="11" fillId="0" borderId="0" xfId="0" applyFont="1"/>
    <xf numFmtId="0" fontId="34" fillId="0" borderId="0" xfId="0" applyFont="1" applyAlignment="1">
      <alignment horizontal="center" vertical="top"/>
    </xf>
    <xf numFmtId="0" fontId="35" fillId="14" borderId="1" xfId="0" applyFont="1" applyFill="1" applyBorder="1" applyAlignment="1">
      <alignment horizontal="center" vertical="center"/>
    </xf>
    <xf numFmtId="4" fontId="35" fillId="14" borderId="1" xfId="0" applyNumberFormat="1" applyFont="1" applyFill="1" applyBorder="1" applyAlignment="1">
      <alignment horizontal="center" vertical="center" wrapText="1"/>
    </xf>
    <xf numFmtId="0" fontId="34" fillId="12" borderId="1" xfId="0" applyFont="1" applyFill="1" applyBorder="1" applyAlignment="1">
      <alignment horizontal="center" vertical="top"/>
    </xf>
    <xf numFmtId="0" fontId="36" fillId="12" borderId="1" xfId="0" applyFont="1" applyFill="1" applyBorder="1" applyAlignment="1">
      <alignment horizontal="justify" vertical="top" wrapText="1"/>
    </xf>
    <xf numFmtId="0" fontId="34" fillId="12" borderId="1" xfId="0" applyFont="1" applyFill="1" applyBorder="1" applyAlignment="1">
      <alignment horizontal="center" vertical="top" wrapText="1"/>
    </xf>
    <xf numFmtId="4" fontId="34" fillId="16" borderId="1" xfId="0" applyNumberFormat="1" applyFont="1" applyFill="1" applyBorder="1" applyAlignment="1">
      <alignment horizontal="center" vertical="top"/>
    </xf>
    <xf numFmtId="4" fontId="34" fillId="12" borderId="1" xfId="2" applyNumberFormat="1" applyFont="1" applyFill="1" applyBorder="1" applyAlignment="1">
      <alignment vertical="top"/>
    </xf>
    <xf numFmtId="0" fontId="34" fillId="12" borderId="1" xfId="0" applyFont="1" applyFill="1" applyBorder="1" applyAlignment="1">
      <alignment horizontal="center" vertical="center"/>
    </xf>
    <xf numFmtId="0" fontId="36" fillId="12" borderId="1" xfId="0" applyFont="1" applyFill="1" applyBorder="1" applyAlignment="1">
      <alignment horizontal="justify" vertical="center" wrapText="1"/>
    </xf>
    <xf numFmtId="4" fontId="34" fillId="16" borderId="1" xfId="0" applyNumberFormat="1" applyFont="1" applyFill="1" applyBorder="1" applyAlignment="1">
      <alignment horizontal="center" vertical="center"/>
    </xf>
    <xf numFmtId="4" fontId="34" fillId="12" borderId="1" xfId="2" applyNumberFormat="1" applyFont="1" applyFill="1" applyBorder="1" applyAlignment="1">
      <alignment horizontal="right" vertical="center"/>
    </xf>
    <xf numFmtId="0" fontId="36" fillId="12" borderId="1" xfId="0" applyFont="1" applyFill="1" applyBorder="1" applyAlignment="1">
      <alignment horizontal="justify" vertical="center"/>
    </xf>
    <xf numFmtId="4" fontId="35" fillId="12" borderId="1" xfId="2" applyNumberFormat="1" applyFont="1" applyFill="1" applyBorder="1" applyAlignment="1">
      <alignment horizontal="right" vertical="center"/>
    </xf>
    <xf numFmtId="4" fontId="34" fillId="0" borderId="0" xfId="0" applyNumberFormat="1" applyFont="1" applyAlignment="1">
      <alignment horizontal="center" vertical="top"/>
    </xf>
    <xf numFmtId="4" fontId="34" fillId="17" borderId="13" xfId="2" applyNumberFormat="1" applyFont="1" applyFill="1" applyBorder="1" applyAlignment="1">
      <alignment horizontal="right" vertical="center"/>
    </xf>
    <xf numFmtId="0" fontId="36" fillId="12" borderId="1" xfId="0" applyFont="1" applyFill="1" applyBorder="1" applyAlignment="1">
      <alignment horizontal="center" vertical="center"/>
    </xf>
    <xf numFmtId="0" fontId="36" fillId="12" borderId="1" xfId="0" applyFont="1" applyFill="1" applyBorder="1" applyAlignment="1">
      <alignment horizontal="center" vertical="center" wrapText="1"/>
    </xf>
    <xf numFmtId="4" fontId="36" fillId="12" borderId="1" xfId="2" applyNumberFormat="1" applyFont="1" applyFill="1" applyBorder="1" applyAlignment="1">
      <alignment vertical="center"/>
    </xf>
    <xf numFmtId="4" fontId="37" fillId="12" borderId="1" xfId="0" applyNumberFormat="1" applyFont="1" applyFill="1" applyBorder="1" applyAlignment="1">
      <alignment vertical="top"/>
    </xf>
    <xf numFmtId="4" fontId="36" fillId="17" borderId="1" xfId="0" applyNumberFormat="1" applyFont="1" applyFill="1" applyBorder="1" applyAlignment="1">
      <alignment vertical="top"/>
    </xf>
    <xf numFmtId="0" fontId="38" fillId="17" borderId="1" xfId="0" applyFont="1" applyFill="1" applyBorder="1" applyAlignment="1">
      <alignment horizontal="center" vertical="top" wrapText="1"/>
    </xf>
    <xf numFmtId="0" fontId="38" fillId="17" borderId="13" xfId="0" applyFont="1" applyFill="1" applyBorder="1" applyAlignment="1">
      <alignment horizontal="center" vertical="top" wrapText="1"/>
    </xf>
    <xf numFmtId="0" fontId="39" fillId="17" borderId="5" xfId="0" applyFont="1" applyFill="1" applyBorder="1" applyAlignment="1">
      <alignment horizontal="center" vertical="top" wrapText="1"/>
    </xf>
    <xf numFmtId="0" fontId="39" fillId="0" borderId="0" xfId="0" applyFont="1" applyAlignment="1">
      <alignment vertical="top"/>
    </xf>
    <xf numFmtId="0" fontId="39" fillId="4" borderId="1" xfId="0" applyFont="1" applyFill="1" applyBorder="1" applyAlignment="1">
      <alignment horizontal="center" vertical="top"/>
    </xf>
    <xf numFmtId="0" fontId="39" fillId="4" borderId="13" xfId="0" applyFont="1" applyFill="1" applyBorder="1" applyAlignment="1">
      <alignment horizontal="justify" vertical="top" wrapText="1"/>
    </xf>
    <xf numFmtId="4" fontId="39" fillId="18" borderId="1" xfId="0" applyNumberFormat="1" applyFont="1" applyFill="1" applyBorder="1" applyAlignment="1">
      <alignment horizontal="center" vertical="top"/>
    </xf>
    <xf numFmtId="0" fontId="39" fillId="0" borderId="1" xfId="0" applyFont="1" applyBorder="1" applyAlignment="1">
      <alignment horizontal="center" vertical="top" wrapText="1"/>
    </xf>
    <xf numFmtId="0" fontId="39" fillId="18" borderId="1" xfId="0" applyFont="1" applyFill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/>
    </xf>
    <xf numFmtId="0" fontId="39" fillId="4" borderId="1" xfId="0" applyFont="1" applyFill="1" applyBorder="1" applyAlignment="1">
      <alignment horizontal="center" vertical="top" wrapText="1"/>
    </xf>
    <xf numFmtId="0" fontId="39" fillId="0" borderId="0" xfId="0" applyFont="1"/>
    <xf numFmtId="4" fontId="39" fillId="0" borderId="1" xfId="0" applyNumberFormat="1" applyFont="1" applyBorder="1" applyAlignment="1">
      <alignment horizontal="center" vertical="top"/>
    </xf>
    <xf numFmtId="3" fontId="39" fillId="4" borderId="1" xfId="0" applyNumberFormat="1" applyFont="1" applyFill="1" applyBorder="1" applyAlignment="1">
      <alignment horizontal="center" vertical="top" wrapText="1"/>
    </xf>
    <xf numFmtId="3" fontId="39" fillId="0" borderId="1" xfId="0" applyNumberFormat="1" applyFont="1" applyBorder="1" applyAlignment="1">
      <alignment horizontal="center" vertical="top" wrapText="1"/>
    </xf>
    <xf numFmtId="4" fontId="39" fillId="0" borderId="0" xfId="0" applyNumberFormat="1" applyFont="1" applyAlignment="1">
      <alignment vertical="top"/>
    </xf>
    <xf numFmtId="0" fontId="39" fillId="4" borderId="13" xfId="0" applyFont="1" applyFill="1" applyBorder="1" applyAlignment="1">
      <alignment vertical="top"/>
    </xf>
    <xf numFmtId="4" fontId="39" fillId="0" borderId="1" xfId="0" applyNumberFormat="1" applyFont="1" applyBorder="1" applyAlignment="1">
      <alignment horizontal="center" vertical="top" wrapText="1"/>
    </xf>
    <xf numFmtId="0" fontId="39" fillId="4" borderId="13" xfId="0" applyFont="1" applyFill="1" applyBorder="1" applyAlignment="1">
      <alignment vertical="top" wrapText="1"/>
    </xf>
    <xf numFmtId="4" fontId="39" fillId="0" borderId="0" xfId="0" applyNumberFormat="1" applyFont="1"/>
    <xf numFmtId="0" fontId="39" fillId="14" borderId="1" xfId="0" applyFont="1" applyFill="1" applyBorder="1" applyAlignment="1">
      <alignment horizontal="center" vertical="top"/>
    </xf>
    <xf numFmtId="0" fontId="39" fillId="14" borderId="1" xfId="0" applyFont="1" applyFill="1" applyBorder="1" applyAlignment="1">
      <alignment horizontal="center" vertical="top" wrapText="1"/>
    </xf>
    <xf numFmtId="4" fontId="39" fillId="14" borderId="1" xfId="0" applyNumberFormat="1" applyFont="1" applyFill="1" applyBorder="1" applyAlignment="1">
      <alignment horizontal="center" vertical="top"/>
    </xf>
    <xf numFmtId="4" fontId="39" fillId="19" borderId="1" xfId="0" applyNumberFormat="1" applyFont="1" applyFill="1" applyBorder="1" applyAlignment="1">
      <alignment horizontal="center" vertical="top"/>
    </xf>
    <xf numFmtId="0" fontId="39" fillId="19" borderId="1" xfId="0" applyFont="1" applyFill="1" applyBorder="1" applyAlignment="1">
      <alignment horizontal="center" vertical="top" wrapText="1"/>
    </xf>
    <xf numFmtId="0" fontId="39" fillId="17" borderId="13" xfId="0" applyFont="1" applyFill="1" applyBorder="1" applyAlignment="1">
      <alignment horizontal="justify" vertical="top" wrapText="1"/>
    </xf>
    <xf numFmtId="4" fontId="39" fillId="18" borderId="1" xfId="0" applyNumberFormat="1" applyFont="1" applyFill="1" applyBorder="1" applyAlignment="1">
      <alignment horizontal="center" vertical="top" wrapText="1"/>
    </xf>
    <xf numFmtId="3" fontId="39" fillId="14" borderId="1" xfId="0" applyNumberFormat="1" applyFont="1" applyFill="1" applyBorder="1" applyAlignment="1">
      <alignment horizontal="center" vertical="top" wrapText="1"/>
    </xf>
    <xf numFmtId="0" fontId="39" fillId="17" borderId="22" xfId="0" applyFont="1" applyFill="1" applyBorder="1" applyAlignment="1">
      <alignment horizontal="center" vertical="top" wrapText="1"/>
    </xf>
    <xf numFmtId="0" fontId="39" fillId="17" borderId="13" xfId="0" applyFont="1" applyFill="1" applyBorder="1" applyAlignment="1">
      <alignment vertical="top"/>
    </xf>
    <xf numFmtId="2" fontId="39" fillId="0" borderId="1" xfId="0" applyNumberFormat="1" applyFont="1" applyBorder="1" applyAlignment="1">
      <alignment horizontal="center" vertical="top"/>
    </xf>
    <xf numFmtId="3" fontId="39" fillId="17" borderId="1" xfId="0" applyNumberFormat="1" applyFont="1" applyFill="1" applyBorder="1" applyAlignment="1">
      <alignment horizontal="center" vertical="top" wrapText="1"/>
    </xf>
    <xf numFmtId="0" fontId="39" fillId="14" borderId="4" xfId="0" applyFont="1" applyFill="1" applyBorder="1" applyAlignment="1">
      <alignment horizontal="center" vertical="top"/>
    </xf>
    <xf numFmtId="0" fontId="39" fillId="14" borderId="4" xfId="0" applyFont="1" applyFill="1" applyBorder="1" applyAlignment="1">
      <alignment horizontal="center" vertical="top" wrapText="1"/>
    </xf>
    <xf numFmtId="4" fontId="39" fillId="14" borderId="4" xfId="0" applyNumberFormat="1" applyFont="1" applyFill="1" applyBorder="1" applyAlignment="1">
      <alignment horizontal="center" vertical="top"/>
    </xf>
    <xf numFmtId="4" fontId="39" fillId="17" borderId="1" xfId="0" applyNumberFormat="1" applyFont="1" applyFill="1" applyBorder="1" applyAlignment="1">
      <alignment horizontal="center" vertical="top"/>
    </xf>
    <xf numFmtId="0" fontId="39" fillId="17" borderId="1" xfId="0" applyFont="1" applyFill="1" applyBorder="1" applyAlignment="1">
      <alignment vertical="top"/>
    </xf>
    <xf numFmtId="0" fontId="39" fillId="17" borderId="6" xfId="0" applyFont="1" applyFill="1" applyBorder="1" applyAlignment="1">
      <alignment vertical="top"/>
    </xf>
    <xf numFmtId="0" fontId="39" fillId="17" borderId="3" xfId="0" applyFont="1" applyFill="1" applyBorder="1" applyAlignment="1">
      <alignment horizontal="center" vertical="top"/>
    </xf>
    <xf numFmtId="4" fontId="39" fillId="17" borderId="3" xfId="0" applyNumberFormat="1" applyFont="1" applyFill="1" applyBorder="1" applyAlignment="1">
      <alignment horizontal="center" vertical="top"/>
    </xf>
    <xf numFmtId="2" fontId="39" fillId="18" borderId="1" xfId="0" applyNumberFormat="1" applyFont="1" applyFill="1" applyBorder="1" applyAlignment="1">
      <alignment horizontal="center" vertical="top" wrapText="1"/>
    </xf>
    <xf numFmtId="167" fontId="39" fillId="0" borderId="0" xfId="0" applyNumberFormat="1" applyFont="1" applyAlignment="1">
      <alignment vertical="top"/>
    </xf>
    <xf numFmtId="168" fontId="39" fillId="0" borderId="0" xfId="0" applyNumberFormat="1" applyFont="1" applyAlignment="1">
      <alignment vertical="top"/>
    </xf>
    <xf numFmtId="166" fontId="39" fillId="0" borderId="0" xfId="0" applyNumberFormat="1" applyFont="1" applyAlignment="1">
      <alignment vertical="top"/>
    </xf>
    <xf numFmtId="169" fontId="39" fillId="0" borderId="0" xfId="0" applyNumberFormat="1" applyFont="1" applyAlignment="1">
      <alignment vertical="top"/>
    </xf>
    <xf numFmtId="2" fontId="39" fillId="19" borderId="1" xfId="0" applyNumberFormat="1" applyFont="1" applyFill="1" applyBorder="1" applyAlignment="1">
      <alignment horizontal="center" vertical="top"/>
    </xf>
    <xf numFmtId="0" fontId="39" fillId="17" borderId="20" xfId="0" applyFont="1" applyFill="1" applyBorder="1" applyAlignment="1">
      <alignment horizontal="justify" vertical="top" wrapText="1"/>
    </xf>
    <xf numFmtId="0" fontId="39" fillId="17" borderId="1" xfId="0" applyFont="1" applyFill="1" applyBorder="1" applyAlignment="1">
      <alignment horizontal="justify" vertical="top" wrapText="1"/>
    </xf>
    <xf numFmtId="0" fontId="39" fillId="18" borderId="13" xfId="0" applyFont="1" applyFill="1" applyBorder="1" applyAlignment="1">
      <alignment horizontal="center" vertical="top" wrapText="1"/>
    </xf>
    <xf numFmtId="164" fontId="39" fillId="0" borderId="1" xfId="0" applyNumberFormat="1" applyFont="1" applyBorder="1" applyAlignment="1">
      <alignment horizontal="center" vertical="top" wrapText="1"/>
    </xf>
    <xf numFmtId="165" fontId="39" fillId="17" borderId="1" xfId="0" applyNumberFormat="1" applyFont="1" applyFill="1" applyBorder="1" applyAlignment="1">
      <alignment horizontal="center" vertical="top" wrapText="1"/>
    </xf>
    <xf numFmtId="4" fontId="38" fillId="19" borderId="1" xfId="0" applyNumberFormat="1" applyFont="1" applyFill="1" applyBorder="1" applyAlignment="1">
      <alignment horizontal="center" vertical="top"/>
    </xf>
    <xf numFmtId="0" fontId="39" fillId="19" borderId="1" xfId="0" applyFont="1" applyFill="1" applyBorder="1" applyAlignment="1">
      <alignment horizontal="center" vertical="top"/>
    </xf>
    <xf numFmtId="0" fontId="39" fillId="0" borderId="0" xfId="0" applyFont="1" applyAlignment="1">
      <alignment horizontal="center" vertical="top"/>
    </xf>
    <xf numFmtId="0" fontId="39" fillId="0" borderId="0" xfId="0" applyFont="1" applyAlignment="1">
      <alignment horizontal="center" vertical="top" wrapText="1"/>
    </xf>
    <xf numFmtId="0" fontId="15" fillId="12" borderId="1" xfId="0" applyFont="1" applyFill="1" applyBorder="1" applyAlignment="1">
      <alignment horizontal="center" vertical="center"/>
    </xf>
    <xf numFmtId="0" fontId="25" fillId="14" borderId="22" xfId="0" applyFont="1" applyFill="1" applyBorder="1" applyAlignment="1">
      <alignment horizontal="center" vertical="top" wrapText="1"/>
    </xf>
    <xf numFmtId="0" fontId="25" fillId="9" borderId="22" xfId="0" applyFont="1" applyFill="1" applyBorder="1" applyAlignment="1">
      <alignment horizontal="center" vertical="top" wrapText="1"/>
    </xf>
    <xf numFmtId="0" fontId="25" fillId="15" borderId="1" xfId="0" applyFont="1" applyFill="1" applyBorder="1" applyAlignment="1">
      <alignment horizontal="center" vertical="top" wrapText="1"/>
    </xf>
    <xf numFmtId="0" fontId="15" fillId="0" borderId="0" xfId="0" applyFont="1" applyAlignment="1">
      <alignment vertical="top"/>
    </xf>
    <xf numFmtId="0" fontId="27" fillId="12" borderId="1" xfId="0" applyFont="1" applyFill="1" applyBorder="1" applyAlignment="1">
      <alignment horizontal="center" vertical="top" wrapText="1"/>
    </xf>
    <xf numFmtId="0" fontId="26" fillId="12" borderId="5" xfId="0" applyFont="1" applyFill="1" applyBorder="1" applyAlignment="1">
      <alignment horizontal="center" vertical="top" wrapText="1"/>
    </xf>
    <xf numFmtId="0" fontId="26" fillId="9" borderId="5" xfId="0" applyFont="1" applyFill="1" applyBorder="1" applyAlignment="1">
      <alignment horizontal="center" vertical="top" wrapText="1"/>
    </xf>
    <xf numFmtId="4" fontId="26" fillId="12" borderId="5" xfId="0" applyNumberFormat="1" applyFont="1" applyFill="1" applyBorder="1" applyAlignment="1">
      <alignment horizontal="center" vertical="center" wrapText="1"/>
    </xf>
    <xf numFmtId="4" fontId="25" fillId="9" borderId="5" xfId="0" applyNumberFormat="1" applyFont="1" applyFill="1" applyBorder="1" applyAlignment="1">
      <alignment horizontal="center" vertical="center" wrapText="1"/>
    </xf>
    <xf numFmtId="4" fontId="40" fillId="12" borderId="5" xfId="0" applyNumberFormat="1" applyFont="1" applyFill="1" applyBorder="1" applyAlignment="1">
      <alignment horizontal="center" vertical="center" wrapText="1"/>
    </xf>
    <xf numFmtId="4" fontId="26" fillId="10" borderId="5" xfId="0" applyNumberFormat="1" applyFont="1" applyFill="1" applyBorder="1" applyAlignment="1">
      <alignment horizontal="center" vertical="top" wrapText="1"/>
    </xf>
    <xf numFmtId="4" fontId="25" fillId="9" borderId="5" xfId="0" applyNumberFormat="1" applyFont="1" applyFill="1" applyBorder="1" applyAlignment="1">
      <alignment horizontal="center" vertical="top" wrapText="1"/>
    </xf>
    <xf numFmtId="4" fontId="26" fillId="10" borderId="1" xfId="0" applyNumberFormat="1" applyFont="1" applyFill="1" applyBorder="1" applyAlignment="1">
      <alignment horizontal="center" vertical="center" wrapText="1"/>
    </xf>
    <xf numFmtId="4" fontId="25" fillId="9" borderId="1" xfId="0" applyNumberFormat="1" applyFont="1" applyFill="1" applyBorder="1" applyAlignment="1">
      <alignment horizontal="center" vertical="center" wrapText="1"/>
    </xf>
    <xf numFmtId="4" fontId="26" fillId="12" borderId="5" xfId="0" applyNumberFormat="1" applyFont="1" applyFill="1" applyBorder="1" applyAlignment="1">
      <alignment horizontal="center" vertical="top" wrapText="1"/>
    </xf>
    <xf numFmtId="0" fontId="15" fillId="10" borderId="1" xfId="0" applyFont="1" applyFill="1" applyBorder="1" applyAlignment="1">
      <alignment horizontal="center" vertical="center"/>
    </xf>
    <xf numFmtId="4" fontId="26" fillId="10" borderId="5" xfId="0" applyNumberFormat="1" applyFont="1" applyFill="1" applyBorder="1" applyAlignment="1">
      <alignment horizontal="center" vertical="center" wrapText="1"/>
    </xf>
    <xf numFmtId="4" fontId="40" fillId="10" borderId="1" xfId="0" applyNumberFormat="1" applyFont="1" applyFill="1" applyBorder="1" applyAlignment="1">
      <alignment horizontal="center" vertical="center" wrapText="1"/>
    </xf>
    <xf numFmtId="4" fontId="26" fillId="12" borderId="1" xfId="0" applyNumberFormat="1" applyFont="1" applyFill="1" applyBorder="1" applyAlignment="1">
      <alignment horizontal="center" vertical="center" wrapText="1"/>
    </xf>
    <xf numFmtId="4" fontId="29" fillId="10" borderId="5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42" fillId="21" borderId="1" xfId="2" applyNumberFormat="1" applyFont="1" applyFill="1" applyBorder="1" applyAlignment="1">
      <alignment horizontal="center" vertical="center"/>
    </xf>
    <xf numFmtId="4" fontId="26" fillId="12" borderId="0" xfId="2" applyNumberFormat="1" applyFont="1" applyFill="1" applyAlignment="1">
      <alignment horizontal="center" vertical="center"/>
    </xf>
    <xf numFmtId="4" fontId="43" fillId="21" borderId="1" xfId="2" applyNumberFormat="1" applyFont="1" applyFill="1" applyBorder="1" applyAlignment="1">
      <alignment horizontal="center" vertical="center"/>
    </xf>
    <xf numFmtId="4" fontId="45" fillId="21" borderId="1" xfId="2" applyNumberFormat="1" applyFont="1" applyFill="1" applyBorder="1" applyAlignment="1">
      <alignment horizontal="center" vertical="center"/>
    </xf>
    <xf numFmtId="4" fontId="46" fillId="21" borderId="1" xfId="2" applyNumberFormat="1" applyFont="1" applyFill="1" applyBorder="1" applyAlignment="1">
      <alignment horizontal="center" vertical="center"/>
    </xf>
    <xf numFmtId="0" fontId="11" fillId="0" borderId="18" xfId="0" applyFont="1" applyBorder="1" applyAlignment="1">
      <alignment vertical="top"/>
    </xf>
    <xf numFmtId="0" fontId="11" fillId="12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" fontId="15" fillId="0" borderId="0" xfId="0" applyNumberFormat="1" applyFont="1" applyAlignment="1">
      <alignment horizontal="left" wrapText="1"/>
    </xf>
    <xf numFmtId="4" fontId="15" fillId="0" borderId="0" xfId="0" applyNumberFormat="1" applyFont="1" applyAlignment="1">
      <alignment horizontal="center" wrapText="1"/>
    </xf>
    <xf numFmtId="0" fontId="11" fillId="12" borderId="0" xfId="0" applyFont="1" applyFill="1" applyAlignment="1">
      <alignment horizontal="left" wrapText="1"/>
    </xf>
    <xf numFmtId="0" fontId="15" fillId="0" borderId="0" xfId="0" applyFont="1" applyAlignment="1">
      <alignment horizontal="justify" vertical="center"/>
    </xf>
    <xf numFmtId="4" fontId="15" fillId="0" borderId="0" xfId="2" applyNumberFormat="1" applyFont="1" applyFill="1" applyAlignment="1">
      <alignment horizontal="right"/>
    </xf>
    <xf numFmtId="4" fontId="15" fillId="0" borderId="0" xfId="2" applyNumberFormat="1" applyFont="1" applyFill="1" applyAlignment="1">
      <alignment horizontal="center"/>
    </xf>
    <xf numFmtId="0" fontId="25" fillId="14" borderId="4" xfId="0" applyFont="1" applyFill="1" applyBorder="1" applyAlignment="1">
      <alignment horizontal="center" vertical="top" wrapText="1"/>
    </xf>
    <xf numFmtId="0" fontId="27" fillId="14" borderId="1" xfId="0" applyFont="1" applyFill="1" applyBorder="1" applyAlignment="1">
      <alignment horizontal="center" vertical="top" wrapText="1"/>
    </xf>
    <xf numFmtId="175" fontId="27" fillId="15" borderId="1" xfId="2" applyFont="1" applyFill="1" applyBorder="1" applyAlignment="1">
      <alignment horizontal="center" vertical="top" wrapText="1"/>
    </xf>
    <xf numFmtId="175" fontId="27" fillId="12" borderId="1" xfId="2" applyFont="1" applyFill="1" applyBorder="1" applyAlignment="1">
      <alignment horizontal="center" vertical="top" wrapText="1"/>
    </xf>
    <xf numFmtId="175" fontId="26" fillId="12" borderId="5" xfId="2" applyFont="1" applyFill="1" applyBorder="1" applyAlignment="1">
      <alignment horizontal="center" vertical="top" wrapText="1"/>
    </xf>
    <xf numFmtId="175" fontId="25" fillId="9" borderId="22" xfId="2" applyFont="1" applyFill="1" applyBorder="1" applyAlignment="1">
      <alignment horizontal="center" vertical="top" wrapText="1"/>
    </xf>
    <xf numFmtId="4" fontId="26" fillId="12" borderId="5" xfId="2" applyNumberFormat="1" applyFont="1" applyFill="1" applyBorder="1" applyAlignment="1">
      <alignment horizontal="center" vertical="center"/>
    </xf>
    <xf numFmtId="176" fontId="26" fillId="12" borderId="5" xfId="2" applyNumberFormat="1" applyFont="1" applyFill="1" applyBorder="1" applyAlignment="1">
      <alignment horizontal="center" vertical="center" wrapText="1"/>
    </xf>
    <xf numFmtId="176" fontId="26" fillId="9" borderId="1" xfId="2" applyNumberFormat="1" applyFont="1" applyFill="1" applyBorder="1" applyAlignment="1">
      <alignment horizontal="center" vertical="center" wrapText="1"/>
    </xf>
    <xf numFmtId="4" fontId="48" fillId="12" borderId="5" xfId="2" applyNumberFormat="1" applyFont="1" applyFill="1" applyBorder="1" applyAlignment="1">
      <alignment horizontal="center" vertical="center"/>
    </xf>
    <xf numFmtId="4" fontId="15" fillId="0" borderId="0" xfId="0" applyNumberFormat="1" applyFont="1"/>
    <xf numFmtId="4" fontId="26" fillId="10" borderId="5" xfId="2" applyNumberFormat="1" applyFont="1" applyFill="1" applyBorder="1" applyAlignment="1">
      <alignment horizontal="center" vertical="top" wrapText="1"/>
    </xf>
    <xf numFmtId="176" fontId="26" fillId="10" borderId="5" xfId="2" applyNumberFormat="1" applyFont="1" applyFill="1" applyBorder="1" applyAlignment="1">
      <alignment horizontal="center" vertical="top" wrapText="1"/>
    </xf>
    <xf numFmtId="4" fontId="26" fillId="10" borderId="5" xfId="2" applyNumberFormat="1" applyFont="1" applyFill="1" applyBorder="1" applyAlignment="1">
      <alignment horizontal="center" vertical="top"/>
    </xf>
    <xf numFmtId="176" fontId="26" fillId="9" borderId="1" xfId="2" applyNumberFormat="1" applyFont="1" applyFill="1" applyBorder="1" applyAlignment="1">
      <alignment horizontal="center" vertical="top" wrapText="1"/>
    </xf>
    <xf numFmtId="4" fontId="26" fillId="10" borderId="1" xfId="2" applyNumberFormat="1" applyFont="1" applyFill="1" applyBorder="1" applyAlignment="1">
      <alignment horizontal="center" vertical="center"/>
    </xf>
    <xf numFmtId="176" fontId="26" fillId="10" borderId="1" xfId="2" applyNumberFormat="1" applyFont="1" applyFill="1" applyBorder="1" applyAlignment="1">
      <alignment horizontal="center" vertical="center" wrapText="1"/>
    </xf>
    <xf numFmtId="4" fontId="48" fillId="10" borderId="1" xfId="2" applyNumberFormat="1" applyFont="1" applyFill="1" applyBorder="1" applyAlignment="1">
      <alignment horizontal="center" vertical="center"/>
    </xf>
    <xf numFmtId="4" fontId="26" fillId="12" borderId="1" xfId="2" applyNumberFormat="1" applyFont="1" applyFill="1" applyBorder="1" applyAlignment="1">
      <alignment horizontal="center" vertical="top"/>
    </xf>
    <xf numFmtId="176" fontId="26" fillId="12" borderId="1" xfId="2" applyNumberFormat="1" applyFont="1" applyFill="1" applyBorder="1" applyAlignment="1">
      <alignment horizontal="center" vertical="top" wrapText="1"/>
    </xf>
    <xf numFmtId="4" fontId="26" fillId="12" borderId="1" xfId="2" applyNumberFormat="1" applyFont="1" applyFill="1" applyBorder="1" applyAlignment="1">
      <alignment horizontal="center" vertical="top" wrapText="1"/>
    </xf>
    <xf numFmtId="176" fontId="26" fillId="12" borderId="1" xfId="2" applyNumberFormat="1" applyFont="1" applyFill="1" applyBorder="1" applyAlignment="1">
      <alignment horizontal="center" vertical="center" wrapText="1"/>
    </xf>
    <xf numFmtId="4" fontId="48" fillId="12" borderId="1" xfId="2" applyNumberFormat="1" applyFont="1" applyFill="1" applyBorder="1" applyAlignment="1">
      <alignment horizontal="center" vertical="center"/>
    </xf>
    <xf numFmtId="4" fontId="26" fillId="10" borderId="1" xfId="2" applyNumberFormat="1" applyFont="1" applyFill="1" applyBorder="1" applyAlignment="1">
      <alignment horizontal="center" vertical="top" wrapText="1"/>
    </xf>
    <xf numFmtId="176" fontId="26" fillId="10" borderId="1" xfId="2" applyNumberFormat="1" applyFont="1" applyFill="1" applyBorder="1" applyAlignment="1">
      <alignment horizontal="center" vertical="top" wrapText="1"/>
    </xf>
    <xf numFmtId="4" fontId="26" fillId="10" borderId="1" xfId="2" applyNumberFormat="1" applyFont="1" applyFill="1" applyBorder="1" applyAlignment="1">
      <alignment horizontal="center" vertical="top"/>
    </xf>
    <xf numFmtId="176" fontId="27" fillId="15" borderId="1" xfId="2" applyNumberFormat="1" applyFont="1" applyFill="1" applyBorder="1" applyAlignment="1">
      <alignment horizontal="center" vertical="center"/>
    </xf>
    <xf numFmtId="176" fontId="27" fillId="12" borderId="1" xfId="2" applyNumberFormat="1" applyFont="1" applyFill="1" applyBorder="1" applyAlignment="1">
      <alignment horizontal="center" vertical="center"/>
    </xf>
    <xf numFmtId="176" fontId="42" fillId="15" borderId="1" xfId="2" applyNumberFormat="1" applyFont="1" applyFill="1" applyBorder="1" applyAlignment="1">
      <alignment horizontal="center" vertical="center" wrapText="1"/>
    </xf>
    <xf numFmtId="175" fontId="15" fillId="0" borderId="0" xfId="2" applyFont="1" applyFill="1" applyAlignment="1"/>
    <xf numFmtId="175" fontId="15" fillId="12" borderId="0" xfId="2" applyFont="1" applyFill="1" applyAlignment="1"/>
    <xf numFmtId="0" fontId="51" fillId="0" borderId="0" xfId="0" applyFont="1" applyAlignment="1" applyProtection="1">
      <alignment vertical="center"/>
      <protection locked="0"/>
    </xf>
    <xf numFmtId="0" fontId="52" fillId="0" borderId="0" xfId="0" applyFont="1"/>
    <xf numFmtId="0" fontId="53" fillId="0" borderId="0" xfId="0" applyFont="1" applyAlignment="1" applyProtection="1">
      <alignment horizontal="center" vertical="center" wrapText="1"/>
      <protection locked="0"/>
    </xf>
    <xf numFmtId="0" fontId="55" fillId="0" borderId="23" xfId="0" applyFont="1" applyBorder="1" applyAlignment="1" applyProtection="1">
      <alignment horizontal="center"/>
      <protection locked="0"/>
    </xf>
    <xf numFmtId="4" fontId="55" fillId="0" borderId="23" xfId="0" applyNumberFormat="1" applyFont="1" applyBorder="1" applyAlignment="1" applyProtection="1">
      <alignment horizontal="center" vertical="center"/>
      <protection locked="0"/>
    </xf>
    <xf numFmtId="0" fontId="0" fillId="0" borderId="0" xfId="0"/>
    <xf numFmtId="0" fontId="0" fillId="12" borderId="0" xfId="0" applyFill="1"/>
    <xf numFmtId="0" fontId="50" fillId="0" borderId="23" xfId="0" applyFont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4" fontId="20" fillId="0" borderId="5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4" fontId="54" fillId="22" borderId="23" xfId="0" applyNumberFormat="1" applyFont="1" applyFill="1" applyBorder="1" applyAlignment="1" applyProtection="1">
      <alignment horizontal="center" vertical="center"/>
      <protection locked="0"/>
    </xf>
    <xf numFmtId="0" fontId="55" fillId="0" borderId="0" xfId="0" applyFont="1" applyAlignment="1" applyProtection="1">
      <alignment vertical="center"/>
      <protection locked="0"/>
    </xf>
    <xf numFmtId="1" fontId="63" fillId="23" borderId="23" xfId="0" applyNumberFormat="1" applyFont="1" applyFill="1" applyBorder="1" applyAlignment="1" applyProtection="1">
      <alignment horizontal="center" vertical="center" wrapText="1"/>
      <protection locked="0"/>
    </xf>
    <xf numFmtId="0" fontId="63" fillId="23" borderId="23" xfId="0" applyFont="1" applyFill="1" applyBorder="1" applyAlignment="1" applyProtection="1">
      <alignment horizontal="center" vertical="center" wrapText="1"/>
      <protection locked="0"/>
    </xf>
    <xf numFmtId="0" fontId="50" fillId="0" borderId="1" xfId="0" applyFont="1" applyBorder="1" applyAlignment="1" applyProtection="1">
      <alignment horizontal="center" vertical="center"/>
      <protection locked="0"/>
    </xf>
    <xf numFmtId="0" fontId="50" fillId="0" borderId="0" xfId="0" applyFont="1" applyAlignment="1" applyProtection="1">
      <alignment horizontal="center" vertical="center"/>
      <protection locked="0"/>
    </xf>
    <xf numFmtId="0" fontId="50" fillId="0" borderId="0" xfId="0" applyFont="1" applyAlignment="1" applyProtection="1">
      <alignment horizontal="justify" vertical="center"/>
      <protection locked="0"/>
    </xf>
    <xf numFmtId="1" fontId="58" fillId="0" borderId="0" xfId="0" applyNumberFormat="1" applyFont="1" applyAlignment="1" applyProtection="1">
      <alignment horizontal="right" vertical="center"/>
      <protection locked="0"/>
    </xf>
    <xf numFmtId="0" fontId="57" fillId="11" borderId="7" xfId="0" applyFont="1" applyFill="1" applyBorder="1" applyAlignment="1" applyProtection="1">
      <alignment horizontal="center" vertical="center"/>
      <protection locked="0"/>
    </xf>
    <xf numFmtId="0" fontId="57" fillId="11" borderId="14" xfId="0" applyFont="1" applyFill="1" applyBorder="1" applyAlignment="1" applyProtection="1">
      <alignment horizontal="center" vertical="center"/>
      <protection locked="0"/>
    </xf>
    <xf numFmtId="4" fontId="57" fillId="11" borderId="7" xfId="0" applyNumberFormat="1" applyFont="1" applyFill="1" applyBorder="1" applyAlignment="1" applyProtection="1">
      <alignment vertical="center"/>
      <protection locked="0"/>
    </xf>
    <xf numFmtId="4" fontId="57" fillId="11" borderId="14" xfId="0" applyNumberFormat="1" applyFont="1" applyFill="1" applyBorder="1" applyAlignment="1" applyProtection="1">
      <alignment vertical="center"/>
      <protection locked="0"/>
    </xf>
    <xf numFmtId="2" fontId="57" fillId="11" borderId="12" xfId="0" applyNumberFormat="1" applyFont="1" applyFill="1" applyBorder="1" applyAlignment="1" applyProtection="1">
      <alignment vertical="center"/>
      <protection locked="0"/>
    </xf>
    <xf numFmtId="173" fontId="59" fillId="0" borderId="0" xfId="0" applyNumberFormat="1" applyFont="1" applyProtection="1">
      <protection locked="0"/>
    </xf>
    <xf numFmtId="4" fontId="57" fillId="11" borderId="12" xfId="0" applyNumberFormat="1" applyFont="1" applyFill="1" applyBorder="1" applyAlignment="1" applyProtection="1">
      <alignment vertical="center"/>
      <protection locked="0"/>
    </xf>
    <xf numFmtId="10" fontId="50" fillId="0" borderId="6" xfId="0" applyNumberFormat="1" applyFont="1" applyBorder="1" applyAlignment="1" applyProtection="1">
      <alignment horizontal="center" vertical="center"/>
      <protection locked="0"/>
    </xf>
    <xf numFmtId="0" fontId="55" fillId="10" borderId="1" xfId="0" applyFont="1" applyFill="1" applyBorder="1" applyAlignment="1" applyProtection="1">
      <alignment horizontal="center" vertical="center"/>
      <protection locked="0"/>
    </xf>
    <xf numFmtId="0" fontId="50" fillId="10" borderId="4" xfId="0" applyFont="1" applyFill="1" applyBorder="1" applyAlignment="1" applyProtection="1">
      <alignment horizontal="center" vertical="center"/>
      <protection locked="0"/>
    </xf>
    <xf numFmtId="174" fontId="55" fillId="0" borderId="0" xfId="0" applyNumberFormat="1" applyFont="1" applyAlignment="1" applyProtection="1">
      <alignment vertical="center"/>
      <protection locked="0"/>
    </xf>
    <xf numFmtId="4" fontId="57" fillId="11" borderId="7" xfId="0" applyNumberFormat="1" applyFont="1" applyFill="1" applyBorder="1" applyAlignment="1" applyProtection="1">
      <alignment horizontal="right" vertical="center"/>
      <protection locked="0"/>
    </xf>
    <xf numFmtId="4" fontId="57" fillId="11" borderId="14" xfId="0" applyNumberFormat="1" applyFont="1" applyFill="1" applyBorder="1" applyAlignment="1" applyProtection="1">
      <alignment horizontal="right" vertical="center"/>
      <protection locked="0"/>
    </xf>
    <xf numFmtId="0" fontId="55" fillId="0" borderId="0" xfId="0" applyFont="1" applyProtection="1">
      <protection locked="0"/>
    </xf>
    <xf numFmtId="171" fontId="50" fillId="12" borderId="6" xfId="0" applyNumberFormat="1" applyFont="1" applyFill="1" applyBorder="1" applyAlignment="1" applyProtection="1">
      <alignment horizontal="center" vertical="center"/>
      <protection locked="0"/>
    </xf>
    <xf numFmtId="171" fontId="50" fillId="0" borderId="6" xfId="0" applyNumberFormat="1" applyFont="1" applyBorder="1" applyAlignment="1" applyProtection="1">
      <alignment horizontal="center" vertical="center"/>
      <protection locked="0"/>
    </xf>
    <xf numFmtId="10" fontId="50" fillId="12" borderId="6" xfId="0" applyNumberFormat="1" applyFont="1" applyFill="1" applyBorder="1" applyAlignment="1" applyProtection="1">
      <alignment horizontal="center" vertical="center"/>
      <protection locked="0"/>
    </xf>
    <xf numFmtId="4" fontId="65" fillId="11" borderId="7" xfId="0" applyNumberFormat="1" applyFont="1" applyFill="1" applyBorder="1" applyAlignment="1" applyProtection="1">
      <alignment horizontal="right" vertical="center"/>
      <protection locked="0"/>
    </xf>
    <xf numFmtId="4" fontId="57" fillId="11" borderId="29" xfId="0" applyNumberFormat="1" applyFont="1" applyFill="1" applyBorder="1" applyAlignment="1" applyProtection="1">
      <alignment horizontal="right" vertical="center"/>
      <protection locked="0"/>
    </xf>
    <xf numFmtId="4" fontId="57" fillId="11" borderId="30" xfId="0" applyNumberFormat="1" applyFont="1" applyFill="1" applyBorder="1" applyAlignment="1" applyProtection="1">
      <alignment horizontal="right" vertical="center"/>
      <protection locked="0"/>
    </xf>
    <xf numFmtId="0" fontId="55" fillId="12" borderId="0" xfId="0" applyFont="1" applyFill="1" applyAlignment="1" applyProtection="1">
      <alignment vertical="center"/>
      <protection locked="0"/>
    </xf>
    <xf numFmtId="0" fontId="58" fillId="0" borderId="1" xfId="0" applyFont="1" applyBorder="1" applyAlignment="1" applyProtection="1">
      <alignment horizontal="center" vertical="center" wrapText="1"/>
      <protection locked="0"/>
    </xf>
    <xf numFmtId="172" fontId="58" fillId="0" borderId="6" xfId="0" applyNumberFormat="1" applyFont="1" applyBorder="1" applyAlignment="1" applyProtection="1">
      <alignment horizontal="center" vertical="center"/>
      <protection locked="0"/>
    </xf>
    <xf numFmtId="180" fontId="55" fillId="0" borderId="0" xfId="0" applyNumberFormat="1" applyFont="1" applyAlignment="1" applyProtection="1">
      <alignment vertical="center"/>
      <protection locked="0"/>
    </xf>
    <xf numFmtId="179" fontId="58" fillId="0" borderId="1" xfId="0" applyNumberFormat="1" applyFont="1" applyBorder="1" applyAlignment="1" applyProtection="1">
      <alignment horizontal="center" vertical="center"/>
      <protection locked="0"/>
    </xf>
    <xf numFmtId="10" fontId="58" fillId="0" borderId="0" xfId="3" applyNumberFormat="1" applyFont="1" applyAlignment="1" applyProtection="1">
      <alignment horizontal="center" vertical="center"/>
      <protection locked="0"/>
    </xf>
    <xf numFmtId="10" fontId="58" fillId="0" borderId="23" xfId="3" applyNumberFormat="1" applyFont="1" applyBorder="1" applyAlignment="1" applyProtection="1">
      <alignment horizontal="center" vertical="center"/>
      <protection locked="0"/>
    </xf>
    <xf numFmtId="4" fontId="57" fillId="11" borderId="12" xfId="0" applyNumberFormat="1" applyFont="1" applyFill="1" applyBorder="1" applyAlignment="1" applyProtection="1">
      <alignment horizontal="right" vertical="center"/>
      <protection locked="0"/>
    </xf>
    <xf numFmtId="0" fontId="55" fillId="0" borderId="0" xfId="0" applyFont="1" applyAlignment="1" applyProtection="1">
      <alignment horizontal="left" vertical="center"/>
      <protection locked="0"/>
    </xf>
    <xf numFmtId="0" fontId="55" fillId="12" borderId="4" xfId="0" applyFont="1" applyFill="1" applyBorder="1" applyAlignment="1" applyProtection="1">
      <alignment horizontal="center" vertical="center"/>
      <protection locked="0"/>
    </xf>
    <xf numFmtId="4" fontId="57" fillId="11" borderId="10" xfId="0" applyNumberFormat="1" applyFont="1" applyFill="1" applyBorder="1" applyAlignment="1" applyProtection="1">
      <alignment horizontal="right" vertical="center"/>
      <protection locked="0"/>
    </xf>
    <xf numFmtId="4" fontId="57" fillId="11" borderId="19" xfId="0" applyNumberFormat="1" applyFont="1" applyFill="1" applyBorder="1" applyAlignment="1" applyProtection="1">
      <alignment horizontal="right" vertical="center"/>
      <protection locked="0"/>
    </xf>
    <xf numFmtId="0" fontId="55" fillId="0" borderId="3" xfId="0" applyFont="1" applyBorder="1" applyAlignment="1" applyProtection="1">
      <alignment vertical="center"/>
      <protection locked="0"/>
    </xf>
    <xf numFmtId="0" fontId="50" fillId="12" borderId="6" xfId="0" applyFont="1" applyFill="1" applyBorder="1" applyAlignment="1" applyProtection="1">
      <alignment horizontal="center" vertical="center"/>
      <protection locked="0"/>
    </xf>
    <xf numFmtId="4" fontId="55" fillId="0" borderId="0" xfId="0" applyNumberFormat="1" applyFont="1" applyAlignment="1" applyProtection="1">
      <alignment vertical="center"/>
      <protection locked="0"/>
    </xf>
    <xf numFmtId="171" fontId="60" fillId="0" borderId="0" xfId="0" applyNumberFormat="1" applyFont="1" applyAlignment="1" applyProtection="1">
      <alignment vertical="center"/>
      <protection locked="0"/>
    </xf>
    <xf numFmtId="174" fontId="50" fillId="13" borderId="6" xfId="0" applyNumberFormat="1" applyFont="1" applyFill="1" applyBorder="1" applyAlignment="1" applyProtection="1">
      <alignment horizontal="center" vertical="center"/>
      <protection locked="0"/>
    </xf>
    <xf numFmtId="174" fontId="50" fillId="12" borderId="6" xfId="0" applyNumberFormat="1" applyFont="1" applyFill="1" applyBorder="1" applyAlignment="1" applyProtection="1">
      <alignment horizontal="center" vertical="center"/>
      <protection locked="0"/>
    </xf>
    <xf numFmtId="0" fontId="55" fillId="0" borderId="6" xfId="0" applyFont="1" applyBorder="1" applyAlignment="1" applyProtection="1">
      <alignment vertical="center"/>
      <protection locked="0"/>
    </xf>
    <xf numFmtId="4" fontId="50" fillId="10" borderId="4" xfId="0" applyNumberFormat="1" applyFont="1" applyFill="1" applyBorder="1" applyAlignment="1" applyProtection="1">
      <alignment horizontal="center" vertical="center"/>
      <protection locked="0"/>
    </xf>
    <xf numFmtId="4" fontId="50" fillId="10" borderId="11" xfId="0" applyNumberFormat="1" applyFont="1" applyFill="1" applyBorder="1" applyAlignment="1" applyProtection="1">
      <alignment horizontal="center" vertical="center"/>
      <protection locked="0"/>
    </xf>
    <xf numFmtId="10" fontId="62" fillId="12" borderId="6" xfId="0" applyNumberFormat="1" applyFont="1" applyFill="1" applyBorder="1" applyAlignment="1" applyProtection="1">
      <alignment horizontal="center" vertical="center"/>
      <protection locked="0"/>
    </xf>
    <xf numFmtId="12" fontId="50" fillId="0" borderId="6" xfId="0" applyNumberFormat="1" applyFont="1" applyBorder="1" applyAlignment="1" applyProtection="1">
      <alignment horizontal="center" vertical="center"/>
      <protection locked="0"/>
    </xf>
    <xf numFmtId="0" fontId="55" fillId="12" borderId="16" xfId="0" applyFont="1" applyFill="1" applyBorder="1" applyAlignment="1" applyProtection="1">
      <alignment vertical="center"/>
      <protection locked="0"/>
    </xf>
    <xf numFmtId="49" fontId="50" fillId="0" borderId="1" xfId="0" applyNumberFormat="1" applyFont="1" applyBorder="1" applyAlignment="1" applyProtection="1">
      <alignment horizontal="center" vertical="center"/>
      <protection locked="0"/>
    </xf>
    <xf numFmtId="49" fontId="55" fillId="0" borderId="4" xfId="0" applyNumberFormat="1" applyFont="1" applyBorder="1" applyAlignment="1" applyProtection="1">
      <alignment horizontal="center" vertical="center"/>
      <protection locked="0"/>
    </xf>
    <xf numFmtId="0" fontId="55" fillId="0" borderId="0" xfId="0" applyFont="1" applyAlignment="1" applyProtection="1">
      <alignment horizontal="center" vertical="center"/>
      <protection locked="0"/>
    </xf>
    <xf numFmtId="4" fontId="55" fillId="12" borderId="0" xfId="0" applyNumberFormat="1" applyFont="1" applyFill="1" applyAlignment="1" applyProtection="1">
      <alignment vertical="center"/>
      <protection locked="0"/>
    </xf>
    <xf numFmtId="171" fontId="50" fillId="13" borderId="6" xfId="0" applyNumberFormat="1" applyFont="1" applyFill="1" applyBorder="1" applyAlignment="1" applyProtection="1">
      <alignment horizontal="center" vertical="center"/>
    </xf>
    <xf numFmtId="10" fontId="50" fillId="13" borderId="6" xfId="0" applyNumberFormat="1" applyFont="1" applyFill="1" applyBorder="1" applyAlignment="1" applyProtection="1">
      <alignment horizontal="center" vertical="center"/>
    </xf>
    <xf numFmtId="0" fontId="50" fillId="0" borderId="4" xfId="0" applyFont="1" applyBorder="1" applyAlignment="1" applyProtection="1">
      <alignment horizontal="center" vertical="center"/>
      <protection locked="0"/>
    </xf>
    <xf numFmtId="1" fontId="57" fillId="11" borderId="31" xfId="0" applyNumberFormat="1" applyFont="1" applyFill="1" applyBorder="1" applyAlignment="1" applyProtection="1">
      <alignment horizontal="center" vertical="center"/>
      <protection locked="0"/>
    </xf>
    <xf numFmtId="0" fontId="50" fillId="0" borderId="5" xfId="0" applyFont="1" applyBorder="1" applyAlignment="1" applyProtection="1">
      <alignment horizontal="center" vertical="center"/>
      <protection locked="0"/>
    </xf>
    <xf numFmtId="0" fontId="24" fillId="24" borderId="1" xfId="0" applyFont="1" applyFill="1" applyBorder="1" applyAlignment="1">
      <alignment horizontal="center" vertical="top" wrapText="1"/>
    </xf>
    <xf numFmtId="2" fontId="58" fillId="0" borderId="1" xfId="0" applyNumberFormat="1" applyFont="1" applyBorder="1" applyAlignment="1" applyProtection="1">
      <alignment horizontal="center" vertical="center" wrapText="1"/>
      <protection locked="0"/>
    </xf>
    <xf numFmtId="0" fontId="12" fillId="6" borderId="1" xfId="0" applyFont="1" applyFill="1" applyBorder="1" applyAlignment="1" applyProtection="1">
      <alignment horizontal="right" vertical="center" wrapText="1"/>
    </xf>
    <xf numFmtId="0" fontId="11" fillId="4" borderId="1" xfId="0" applyFont="1" applyFill="1" applyBorder="1" applyAlignment="1">
      <alignment vertical="center"/>
    </xf>
    <xf numFmtId="0" fontId="55" fillId="0" borderId="23" xfId="0" applyFont="1" applyBorder="1" applyAlignment="1" applyProtection="1">
      <alignment horizontal="center" vertical="center"/>
      <protection locked="0"/>
    </xf>
    <xf numFmtId="0" fontId="50" fillId="10" borderId="1" xfId="0" applyFont="1" applyFill="1" applyBorder="1" applyAlignment="1" applyProtection="1">
      <alignment horizontal="center" vertical="center"/>
      <protection locked="0"/>
    </xf>
    <xf numFmtId="0" fontId="50" fillId="10" borderId="6" xfId="0" applyFont="1" applyFill="1" applyBorder="1" applyAlignment="1" applyProtection="1">
      <alignment horizontal="center" vertical="center"/>
      <protection locked="0"/>
    </xf>
    <xf numFmtId="0" fontId="50" fillId="10" borderId="11" xfId="0" applyFont="1" applyFill="1" applyBorder="1" applyAlignment="1" applyProtection="1">
      <alignment horizontal="center" vertical="center"/>
      <protection locked="0"/>
    </xf>
    <xf numFmtId="0" fontId="50" fillId="12" borderId="1" xfId="0" applyFont="1" applyFill="1" applyBorder="1" applyAlignment="1" applyProtection="1">
      <alignment horizontal="center" vertical="center"/>
      <protection locked="0"/>
    </xf>
    <xf numFmtId="0" fontId="34" fillId="12" borderId="1" xfId="0" applyFont="1" applyFill="1" applyBorder="1" applyAlignment="1">
      <alignment horizontal="center" vertical="center" wrapText="1"/>
    </xf>
    <xf numFmtId="0" fontId="35" fillId="14" borderId="1" xfId="0" applyFont="1" applyFill="1" applyBorder="1" applyAlignment="1">
      <alignment horizontal="center" vertical="center" wrapText="1"/>
    </xf>
    <xf numFmtId="0" fontId="39" fillId="17" borderId="1" xfId="0" applyFont="1" applyFill="1" applyBorder="1" applyAlignment="1">
      <alignment horizontal="center" vertical="top" wrapText="1"/>
    </xf>
    <xf numFmtId="0" fontId="39" fillId="17" borderId="1" xfId="0" applyFont="1" applyFill="1" applyBorder="1" applyAlignment="1">
      <alignment horizontal="center" vertical="top"/>
    </xf>
    <xf numFmtId="4" fontId="26" fillId="12" borderId="1" xfId="2" applyNumberFormat="1" applyFont="1" applyFill="1" applyBorder="1" applyAlignment="1">
      <alignment horizontal="center" vertical="center"/>
    </xf>
    <xf numFmtId="0" fontId="27" fillId="10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justify" vertical="center" wrapText="1"/>
    </xf>
    <xf numFmtId="0" fontId="25" fillId="10" borderId="1" xfId="0" applyFont="1" applyFill="1" applyBorder="1" applyAlignment="1">
      <alignment horizontal="center" vertical="center" wrapText="1"/>
    </xf>
    <xf numFmtId="4" fontId="27" fillId="15" borderId="1" xfId="2" applyNumberFormat="1" applyFont="1" applyFill="1" applyBorder="1" applyAlignment="1">
      <alignment horizontal="center" vertical="center"/>
    </xf>
    <xf numFmtId="0" fontId="27" fillId="12" borderId="1" xfId="0" applyFont="1" applyFill="1" applyBorder="1" applyAlignment="1">
      <alignment horizontal="center" vertical="center" wrapText="1"/>
    </xf>
    <xf numFmtId="0" fontId="25" fillId="12" borderId="1" xfId="0" applyFont="1" applyFill="1" applyBorder="1" applyAlignment="1">
      <alignment horizontal="center" vertical="top" wrapText="1"/>
    </xf>
    <xf numFmtId="0" fontId="47" fillId="12" borderId="0" xfId="0" applyFont="1" applyFill="1" applyAlignment="1">
      <alignment horizontal="left" vertical="center"/>
    </xf>
    <xf numFmtId="176" fontId="27" fillId="15" borderId="1" xfId="2" applyNumberFormat="1" applyFont="1" applyFill="1" applyBorder="1" applyAlignment="1">
      <alignment horizontal="center" vertical="center" wrapText="1"/>
    </xf>
    <xf numFmtId="176" fontId="27" fillId="12" borderId="1" xfId="2" applyNumberFormat="1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32" fillId="24" borderId="1" xfId="0" applyFont="1" applyFill="1" applyBorder="1" applyAlignment="1">
      <alignment horizontal="center" vertical="top" wrapText="1"/>
    </xf>
    <xf numFmtId="0" fontId="32" fillId="0" borderId="5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70" fillId="0" borderId="0" xfId="0" applyFont="1"/>
    <xf numFmtId="0" fontId="71" fillId="0" borderId="0" xfId="0" applyFont="1"/>
    <xf numFmtId="0" fontId="50" fillId="10" borderId="1" xfId="0" applyFont="1" applyFill="1" applyBorder="1" applyAlignment="1" applyProtection="1">
      <alignment horizontal="center" vertical="center"/>
      <protection locked="0"/>
    </xf>
    <xf numFmtId="0" fontId="50" fillId="10" borderId="6" xfId="0" applyFont="1" applyFill="1" applyBorder="1" applyAlignment="1" applyProtection="1">
      <alignment horizontal="center" vertical="center"/>
      <protection locked="0"/>
    </xf>
    <xf numFmtId="0" fontId="50" fillId="10" borderId="11" xfId="0" applyFont="1" applyFill="1" applyBorder="1" applyAlignment="1" applyProtection="1">
      <alignment horizontal="center" vertical="center"/>
      <protection locked="0"/>
    </xf>
    <xf numFmtId="0" fontId="50" fillId="12" borderId="1" xfId="0" applyFont="1" applyFill="1" applyBorder="1" applyAlignment="1" applyProtection="1">
      <alignment horizontal="center" vertical="center"/>
      <protection locked="0"/>
    </xf>
    <xf numFmtId="10" fontId="73" fillId="12" borderId="6" xfId="0" applyNumberFormat="1" applyFont="1" applyFill="1" applyBorder="1" applyAlignment="1" applyProtection="1">
      <alignment horizontal="center" vertical="center"/>
      <protection locked="0"/>
    </xf>
    <xf numFmtId="10" fontId="73" fillId="0" borderId="6" xfId="0" applyNumberFormat="1" applyFont="1" applyBorder="1" applyAlignment="1" applyProtection="1">
      <alignment horizontal="center" vertical="center"/>
      <protection locked="0"/>
    </xf>
    <xf numFmtId="4" fontId="75" fillId="11" borderId="12" xfId="0" applyNumberFormat="1" applyFont="1" applyFill="1" applyBorder="1" applyAlignment="1" applyProtection="1">
      <alignment horizontal="right" vertical="center"/>
      <protection locked="0"/>
    </xf>
    <xf numFmtId="4" fontId="75" fillId="11" borderId="14" xfId="0" applyNumberFormat="1" applyFont="1" applyFill="1" applyBorder="1" applyAlignment="1" applyProtection="1">
      <alignment horizontal="right" vertical="center"/>
      <protection locked="0"/>
    </xf>
    <xf numFmtId="4" fontId="76" fillId="0" borderId="23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/>
    </xf>
    <xf numFmtId="0" fontId="12" fillId="0" borderId="1" xfId="10" applyFont="1" applyFill="1" applyBorder="1" applyAlignment="1">
      <alignment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170" fontId="17" fillId="0" borderId="1" xfId="0" applyNumberFormat="1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170" fontId="11" fillId="4" borderId="5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 applyProtection="1">
      <alignment horizontal="right" vertical="center" wrapText="1"/>
    </xf>
    <xf numFmtId="0" fontId="11" fillId="4" borderId="1" xfId="0" applyFont="1" applyFill="1" applyBorder="1" applyAlignment="1">
      <alignment vertical="center"/>
    </xf>
    <xf numFmtId="0" fontId="12" fillId="7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justify" vertical="center"/>
    </xf>
    <xf numFmtId="0" fontId="11" fillId="0" borderId="1" xfId="10" applyFont="1" applyFill="1" applyBorder="1" applyAlignment="1">
      <alignment vertical="center" wrapText="1"/>
    </xf>
    <xf numFmtId="49" fontId="15" fillId="4" borderId="1" xfId="9" applyNumberFormat="1" applyFont="1" applyFill="1" applyBorder="1" applyAlignment="1" applyProtection="1">
      <alignment horizontal="left" vertical="center" wrapText="1"/>
      <protection locked="0"/>
    </xf>
    <xf numFmtId="0" fontId="11" fillId="4" borderId="1" xfId="0" applyFont="1" applyFill="1" applyBorder="1" applyAlignment="1">
      <alignment horizontal="left" vertical="center"/>
    </xf>
    <xf numFmtId="0" fontId="12" fillId="6" borderId="1" xfId="0" applyFont="1" applyFill="1" applyBorder="1" applyAlignment="1" applyProtection="1">
      <alignment horizontal="center" vertical="center"/>
    </xf>
    <xf numFmtId="0" fontId="12" fillId="6" borderId="1" xfId="0" applyFont="1" applyFill="1" applyBorder="1" applyAlignment="1" applyProtection="1">
      <alignment horizontal="center" vertical="center" wrapText="1"/>
    </xf>
    <xf numFmtId="0" fontId="0" fillId="0" borderId="3" xfId="0" applyFill="1" applyBorder="1" applyAlignment="1"/>
    <xf numFmtId="0" fontId="10" fillId="0" borderId="0" xfId="0" applyFont="1" applyAlignment="1" applyProtection="1">
      <alignment horizontal="center" vertical="center"/>
    </xf>
    <xf numFmtId="0" fontId="12" fillId="0" borderId="2" xfId="0" applyFont="1" applyFill="1" applyBorder="1" applyAlignment="1">
      <alignment horizontal="justify" vertical="center" wrapText="1"/>
    </xf>
    <xf numFmtId="0" fontId="14" fillId="5" borderId="1" xfId="0" applyFont="1" applyFill="1" applyBorder="1" applyAlignment="1" applyProtection="1">
      <alignment horizontal="center" vertical="center"/>
    </xf>
    <xf numFmtId="0" fontId="54" fillId="9" borderId="15" xfId="0" applyFont="1" applyFill="1" applyBorder="1" applyAlignment="1" applyProtection="1">
      <alignment horizontal="center" vertical="center"/>
      <protection locked="0"/>
    </xf>
    <xf numFmtId="0" fontId="54" fillId="9" borderId="0" xfId="0" applyFont="1" applyFill="1" applyBorder="1" applyAlignment="1" applyProtection="1">
      <alignment horizontal="center" vertical="center"/>
      <protection locked="0"/>
    </xf>
    <xf numFmtId="0" fontId="55" fillId="0" borderId="23" xfId="0" applyFont="1" applyBorder="1" applyAlignment="1" applyProtection="1">
      <alignment horizontal="center" vertical="center"/>
      <protection locked="0"/>
    </xf>
    <xf numFmtId="0" fontId="54" fillId="22" borderId="23" xfId="0" applyFont="1" applyFill="1" applyBorder="1" applyAlignment="1" applyProtection="1">
      <alignment horizontal="right" vertical="center"/>
      <protection locked="0"/>
    </xf>
    <xf numFmtId="0" fontId="74" fillId="0" borderId="32" xfId="0" applyFont="1" applyBorder="1" applyAlignment="1" applyProtection="1">
      <alignment horizontal="center" vertical="center"/>
      <protection locked="0"/>
    </xf>
    <xf numFmtId="0" fontId="74" fillId="0" borderId="33" xfId="0" applyFont="1" applyBorder="1" applyAlignment="1" applyProtection="1">
      <alignment horizontal="center" vertical="center"/>
      <protection locked="0"/>
    </xf>
    <xf numFmtId="49" fontId="57" fillId="11" borderId="7" xfId="0" applyNumberFormat="1" applyFont="1" applyFill="1" applyBorder="1" applyAlignment="1" applyProtection="1">
      <alignment horizontal="right" vertical="center"/>
      <protection locked="0"/>
    </xf>
    <xf numFmtId="0" fontId="56" fillId="0" borderId="6" xfId="0" applyFont="1" applyFill="1" applyBorder="1" applyAlignment="1" applyProtection="1">
      <alignment horizontal="left" vertical="center" wrapText="1"/>
      <protection locked="0"/>
    </xf>
    <xf numFmtId="0" fontId="56" fillId="0" borderId="3" xfId="0" applyFont="1" applyFill="1" applyBorder="1" applyAlignment="1" applyProtection="1">
      <alignment horizontal="left" vertical="center" wrapText="1"/>
      <protection locked="0"/>
    </xf>
    <xf numFmtId="0" fontId="56" fillId="0" borderId="13" xfId="0" applyFont="1" applyFill="1" applyBorder="1" applyAlignment="1" applyProtection="1">
      <alignment horizontal="left" vertical="center" wrapText="1"/>
      <protection locked="0"/>
    </xf>
    <xf numFmtId="0" fontId="50" fillId="0" borderId="8" xfId="0" applyFont="1" applyFill="1" applyBorder="1" applyAlignment="1" applyProtection="1">
      <alignment horizontal="left" vertical="center"/>
      <protection locked="0"/>
    </xf>
    <xf numFmtId="49" fontId="50" fillId="12" borderId="8" xfId="0" applyNumberFormat="1" applyFont="1" applyFill="1" applyBorder="1" applyAlignment="1" applyProtection="1">
      <alignment horizontal="right" vertical="center"/>
      <protection locked="0"/>
    </xf>
    <xf numFmtId="0" fontId="50" fillId="0" borderId="17" xfId="0" applyFont="1" applyFill="1" applyBorder="1" applyAlignment="1" applyProtection="1">
      <alignment horizontal="left" vertical="center"/>
      <protection locked="0"/>
    </xf>
    <xf numFmtId="0" fontId="50" fillId="12" borderId="8" xfId="0" applyFont="1" applyFill="1" applyBorder="1" applyAlignment="1" applyProtection="1">
      <alignment horizontal="right" vertical="center"/>
      <protection locked="0"/>
    </xf>
    <xf numFmtId="0" fontId="55" fillId="12" borderId="5" xfId="0" applyFont="1" applyFill="1" applyBorder="1" applyAlignment="1" applyProtection="1">
      <protection locked="0"/>
    </xf>
    <xf numFmtId="49" fontId="50" fillId="10" borderId="6" xfId="0" applyNumberFormat="1" applyFont="1" applyFill="1" applyBorder="1" applyAlignment="1" applyProtection="1">
      <alignment horizontal="center" vertical="center"/>
      <protection locked="0"/>
    </xf>
    <xf numFmtId="0" fontId="50" fillId="10" borderId="1" xfId="0" applyFont="1" applyFill="1" applyBorder="1" applyAlignment="1" applyProtection="1">
      <alignment horizontal="center" vertical="center"/>
      <protection locked="0"/>
    </xf>
    <xf numFmtId="0" fontId="50" fillId="0" borderId="1" xfId="0" applyFont="1" applyFill="1" applyBorder="1" applyAlignment="1" applyProtection="1">
      <alignment horizontal="left" vertical="center"/>
      <protection locked="0"/>
    </xf>
    <xf numFmtId="0" fontId="50" fillId="0" borderId="1" xfId="0" applyFont="1" applyFill="1" applyBorder="1" applyAlignment="1" applyProtection="1">
      <alignment horizontal="center" vertical="center"/>
      <protection locked="0"/>
    </xf>
    <xf numFmtId="0" fontId="55" fillId="0" borderId="1" xfId="0" applyFont="1" applyFill="1" applyBorder="1" applyAlignment="1" applyProtection="1">
      <alignment horizontal="left" vertical="center"/>
      <protection locked="0"/>
    </xf>
    <xf numFmtId="0" fontId="50" fillId="12" borderId="1" xfId="0" applyFont="1" applyFill="1" applyBorder="1" applyAlignment="1" applyProtection="1">
      <alignment horizontal="right" vertical="center"/>
      <protection locked="0"/>
    </xf>
    <xf numFmtId="0" fontId="61" fillId="0" borderId="1" xfId="0" applyFont="1" applyFill="1" applyBorder="1" applyAlignment="1" applyProtection="1">
      <alignment horizontal="left" vertical="center"/>
      <protection locked="0"/>
    </xf>
    <xf numFmtId="0" fontId="50" fillId="10" borderId="6" xfId="0" applyFont="1" applyFill="1" applyBorder="1" applyAlignment="1" applyProtection="1">
      <alignment horizontal="center" vertical="center"/>
      <protection locked="0"/>
    </xf>
    <xf numFmtId="0" fontId="50" fillId="10" borderId="16" xfId="0" applyFont="1" applyFill="1" applyBorder="1" applyAlignment="1" applyProtection="1">
      <alignment horizontal="center" vertical="center"/>
      <protection locked="0"/>
    </xf>
    <xf numFmtId="0" fontId="50" fillId="0" borderId="6" xfId="0" applyFont="1" applyFill="1" applyBorder="1" applyAlignment="1" applyProtection="1">
      <alignment horizontal="left" vertical="center" wrapText="1"/>
      <protection locked="0"/>
    </xf>
    <xf numFmtId="0" fontId="50" fillId="0" borderId="3" xfId="0" applyFont="1" applyFill="1" applyBorder="1" applyAlignment="1" applyProtection="1">
      <alignment horizontal="left" vertical="center" wrapText="1"/>
      <protection locked="0"/>
    </xf>
    <xf numFmtId="0" fontId="50" fillId="0" borderId="28" xfId="0" applyFont="1" applyFill="1" applyBorder="1" applyAlignment="1" applyProtection="1">
      <alignment horizontal="left" vertical="center" wrapText="1"/>
      <protection locked="0"/>
    </xf>
    <xf numFmtId="0" fontId="50" fillId="0" borderId="6" xfId="0" applyFont="1" applyBorder="1" applyAlignment="1" applyProtection="1">
      <alignment horizontal="right" vertical="center"/>
      <protection locked="0"/>
    </xf>
    <xf numFmtId="0" fontId="50" fillId="0" borderId="3" xfId="0" applyFont="1" applyBorder="1" applyAlignment="1" applyProtection="1">
      <alignment horizontal="right" vertical="center"/>
      <protection locked="0"/>
    </xf>
    <xf numFmtId="0" fontId="50" fillId="0" borderId="28" xfId="0" applyFont="1" applyBorder="1" applyAlignment="1" applyProtection="1">
      <alignment horizontal="right" vertical="center"/>
      <protection locked="0"/>
    </xf>
    <xf numFmtId="0" fontId="50" fillId="12" borderId="6" xfId="0" applyFont="1" applyFill="1" applyBorder="1" applyAlignment="1" applyProtection="1">
      <alignment horizontal="left" vertical="center"/>
      <protection locked="0"/>
    </xf>
    <xf numFmtId="0" fontId="50" fillId="12" borderId="3" xfId="0" applyFont="1" applyFill="1" applyBorder="1" applyAlignment="1" applyProtection="1">
      <alignment horizontal="left" vertical="center"/>
      <protection locked="0"/>
    </xf>
    <xf numFmtId="0" fontId="50" fillId="12" borderId="28" xfId="0" applyFont="1" applyFill="1" applyBorder="1" applyAlignment="1" applyProtection="1">
      <alignment horizontal="left" vertical="center"/>
      <protection locked="0"/>
    </xf>
    <xf numFmtId="0" fontId="64" fillId="0" borderId="1" xfId="0" applyFont="1" applyFill="1" applyBorder="1" applyAlignment="1" applyProtection="1">
      <alignment horizontal="left" vertical="center" wrapText="1"/>
      <protection locked="0"/>
    </xf>
    <xf numFmtId="0" fontId="58" fillId="0" borderId="1" xfId="0" applyFont="1" applyFill="1" applyBorder="1" applyAlignment="1" applyProtection="1">
      <alignment horizontal="left" vertical="center"/>
      <protection locked="0"/>
    </xf>
    <xf numFmtId="0" fontId="56" fillId="0" borderId="1" xfId="0" applyFont="1" applyFill="1" applyBorder="1" applyAlignment="1" applyProtection="1">
      <alignment horizontal="left" vertical="center" wrapText="1"/>
      <protection locked="0"/>
    </xf>
    <xf numFmtId="0" fontId="58" fillId="0" borderId="1" xfId="0" applyFont="1" applyFill="1" applyBorder="1" applyAlignment="1" applyProtection="1">
      <alignment horizontal="left" vertical="center" wrapText="1"/>
      <protection locked="0"/>
    </xf>
    <xf numFmtId="0" fontId="50" fillId="0" borderId="1" xfId="0" applyFont="1" applyFill="1" applyBorder="1" applyAlignment="1" applyProtection="1">
      <alignment horizontal="left" vertical="center" wrapText="1"/>
      <protection locked="0"/>
    </xf>
    <xf numFmtId="0" fontId="50" fillId="12" borderId="1" xfId="0" applyFont="1" applyFill="1" applyBorder="1" applyAlignment="1" applyProtection="1">
      <alignment horizontal="left" vertical="center"/>
      <protection locked="0"/>
    </xf>
    <xf numFmtId="0" fontId="55" fillId="0" borderId="3" xfId="0" applyFont="1" applyFill="1" applyBorder="1" applyAlignment="1" applyProtection="1">
      <protection locked="0"/>
    </xf>
    <xf numFmtId="0" fontId="55" fillId="0" borderId="0" xfId="0" applyFont="1" applyAlignment="1" applyProtection="1">
      <protection locked="0"/>
    </xf>
    <xf numFmtId="0" fontId="64" fillId="0" borderId="6" xfId="0" applyFont="1" applyFill="1" applyBorder="1" applyAlignment="1" applyProtection="1">
      <alignment horizontal="left" vertical="center" wrapText="1"/>
      <protection locked="0"/>
    </xf>
    <xf numFmtId="0" fontId="64" fillId="0" borderId="3" xfId="0" applyFont="1" applyFill="1" applyBorder="1" applyAlignment="1" applyProtection="1">
      <alignment horizontal="left" vertical="center" wrapText="1"/>
      <protection locked="0"/>
    </xf>
    <xf numFmtId="0" fontId="64" fillId="0" borderId="13" xfId="0" applyFont="1" applyFill="1" applyBorder="1" applyAlignment="1" applyProtection="1">
      <alignment horizontal="left" vertical="center" wrapText="1"/>
      <protection locked="0"/>
    </xf>
    <xf numFmtId="0" fontId="50" fillId="0" borderId="27" xfId="0" applyFont="1" applyFill="1" applyBorder="1" applyAlignment="1" applyProtection="1">
      <alignment horizontal="left" vertical="center"/>
      <protection locked="0"/>
    </xf>
    <xf numFmtId="0" fontId="50" fillId="10" borderId="16" xfId="0" applyFont="1" applyFill="1" applyBorder="1" applyAlignment="1" applyProtection="1">
      <alignment horizontal="center" vertical="center" wrapText="1"/>
      <protection locked="0"/>
    </xf>
    <xf numFmtId="0" fontId="50" fillId="10" borderId="1" xfId="0" applyFont="1" applyFill="1" applyBorder="1" applyAlignment="1" applyProtection="1">
      <alignment horizontal="left" vertical="center"/>
      <protection locked="0"/>
    </xf>
    <xf numFmtId="2" fontId="57" fillId="11" borderId="14" xfId="0" applyNumberFormat="1" applyFont="1" applyFill="1" applyBorder="1" applyAlignment="1" applyProtection="1">
      <alignment horizontal="right" vertical="center"/>
      <protection locked="0"/>
    </xf>
    <xf numFmtId="0" fontId="50" fillId="10" borderId="11" xfId="0" applyFont="1" applyFill="1" applyBorder="1" applyAlignment="1" applyProtection="1">
      <alignment horizontal="center" vertical="center"/>
      <protection locked="0"/>
    </xf>
    <xf numFmtId="0" fontId="50" fillId="0" borderId="8" xfId="0" applyFont="1" applyFill="1" applyBorder="1" applyAlignment="1" applyProtection="1">
      <alignment horizontal="left" vertical="center" wrapText="1"/>
      <protection locked="0"/>
    </xf>
    <xf numFmtId="0" fontId="50" fillId="0" borderId="16" xfId="0" applyFont="1" applyBorder="1" applyAlignment="1" applyProtection="1">
      <alignment horizontal="right" vertical="center"/>
      <protection locked="0"/>
    </xf>
    <xf numFmtId="0" fontId="50" fillId="0" borderId="2" xfId="0" applyFont="1" applyBorder="1" applyAlignment="1" applyProtection="1">
      <alignment horizontal="right" vertical="center"/>
      <protection locked="0"/>
    </xf>
    <xf numFmtId="0" fontId="50" fillId="0" borderId="21" xfId="0" applyFont="1" applyBorder="1" applyAlignment="1" applyProtection="1">
      <alignment horizontal="right" vertical="center"/>
      <protection locked="0"/>
    </xf>
    <xf numFmtId="0" fontId="50" fillId="0" borderId="6" xfId="0" applyFont="1" applyFill="1" applyBorder="1" applyAlignment="1" applyProtection="1">
      <alignment horizontal="right" vertical="center" wrapText="1"/>
      <protection locked="0"/>
    </xf>
    <xf numFmtId="0" fontId="50" fillId="0" borderId="3" xfId="0" applyFont="1" applyFill="1" applyBorder="1" applyAlignment="1" applyProtection="1">
      <alignment horizontal="right" vertical="center" wrapText="1"/>
      <protection locked="0"/>
    </xf>
    <xf numFmtId="0" fontId="50" fillId="0" borderId="13" xfId="0" applyFont="1" applyFill="1" applyBorder="1" applyAlignment="1" applyProtection="1">
      <alignment horizontal="right" vertical="center" wrapText="1"/>
      <protection locked="0"/>
    </xf>
    <xf numFmtId="0" fontId="50" fillId="12" borderId="23" xfId="0" applyFont="1" applyFill="1" applyBorder="1" applyAlignment="1" applyProtection="1">
      <alignment horizontal="left" vertical="center"/>
      <protection locked="0"/>
    </xf>
    <xf numFmtId="0" fontId="50" fillId="12" borderId="24" xfId="0" applyFont="1" applyFill="1" applyBorder="1" applyAlignment="1" applyProtection="1">
      <alignment horizontal="left" vertical="center"/>
      <protection locked="0"/>
    </xf>
    <xf numFmtId="0" fontId="50" fillId="12" borderId="25" xfId="0" applyFont="1" applyFill="1" applyBorder="1" applyAlignment="1" applyProtection="1">
      <alignment horizontal="left" vertical="center"/>
      <protection locked="0"/>
    </xf>
    <xf numFmtId="0" fontId="50" fillId="12" borderId="26" xfId="0" applyFont="1" applyFill="1" applyBorder="1" applyAlignment="1" applyProtection="1">
      <alignment horizontal="left" vertical="center"/>
      <protection locked="0"/>
    </xf>
    <xf numFmtId="14" fontId="57" fillId="11" borderId="14" xfId="0" applyNumberFormat="1" applyFont="1" applyFill="1" applyBorder="1" applyAlignment="1" applyProtection="1">
      <alignment horizontal="right" vertical="center"/>
      <protection locked="0"/>
    </xf>
    <xf numFmtId="0" fontId="50" fillId="25" borderId="23" xfId="0" applyFont="1" applyFill="1" applyBorder="1" applyAlignment="1" applyProtection="1">
      <alignment horizontal="center" vertical="center"/>
      <protection locked="0"/>
    </xf>
    <xf numFmtId="170" fontId="57" fillId="11" borderId="30" xfId="0" applyNumberFormat="1" applyFont="1" applyFill="1" applyBorder="1" applyAlignment="1" applyProtection="1">
      <alignment horizontal="center" vertical="center" wrapText="1"/>
      <protection locked="0"/>
    </xf>
    <xf numFmtId="170" fontId="57" fillId="11" borderId="14" xfId="0" applyNumberFormat="1" applyFont="1" applyFill="1" applyBorder="1" applyAlignment="1" applyProtection="1">
      <alignment horizontal="right" vertical="center"/>
      <protection locked="0"/>
    </xf>
    <xf numFmtId="0" fontId="76" fillId="0" borderId="6" xfId="0" applyFont="1" applyBorder="1" applyAlignment="1" applyProtection="1">
      <alignment horizontal="left" vertical="center"/>
      <protection locked="0"/>
    </xf>
    <xf numFmtId="0" fontId="76" fillId="0" borderId="3" xfId="0" applyFont="1" applyBorder="1" applyAlignment="1" applyProtection="1">
      <alignment horizontal="left" vertical="center"/>
      <protection locked="0"/>
    </xf>
    <xf numFmtId="0" fontId="76" fillId="0" borderId="28" xfId="0" applyFont="1" applyBorder="1" applyAlignment="1" applyProtection="1">
      <alignment horizontal="left" vertical="center"/>
      <protection locked="0"/>
    </xf>
    <xf numFmtId="170" fontId="77" fillId="11" borderId="14" xfId="0" applyNumberFormat="1" applyFont="1" applyFill="1" applyBorder="1" applyAlignment="1" applyProtection="1">
      <alignment horizontal="center" vertical="center" wrapText="1"/>
      <protection locked="0"/>
    </xf>
    <xf numFmtId="170" fontId="77" fillId="11" borderId="3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4" xfId="0" applyFont="1" applyFill="1" applyBorder="1" applyAlignment="1" applyProtection="1">
      <alignment horizontal="center" vertical="center"/>
      <protection locked="0"/>
    </xf>
    <xf numFmtId="0" fontId="50" fillId="0" borderId="11" xfId="0" applyFont="1" applyFill="1" applyBorder="1" applyAlignment="1" applyProtection="1">
      <alignment horizontal="center" vertical="center"/>
      <protection locked="0"/>
    </xf>
    <xf numFmtId="0" fontId="50" fillId="12" borderId="1" xfId="0" applyFont="1" applyFill="1" applyBorder="1" applyAlignment="1" applyProtection="1">
      <alignment horizontal="center" vertical="center"/>
      <protection locked="0"/>
    </xf>
    <xf numFmtId="0" fontId="50" fillId="0" borderId="4" xfId="0" applyFont="1" applyFill="1" applyBorder="1" applyAlignment="1" applyProtection="1">
      <alignment horizontal="left" vertical="center"/>
      <protection locked="0"/>
    </xf>
    <xf numFmtId="0" fontId="50" fillId="12" borderId="4" xfId="0" applyFont="1" applyFill="1" applyBorder="1" applyAlignment="1" applyProtection="1">
      <alignment horizontal="center" vertical="center"/>
      <protection locked="0"/>
    </xf>
    <xf numFmtId="0" fontId="54" fillId="10" borderId="17" xfId="0" applyFont="1" applyFill="1" applyBorder="1" applyAlignment="1" applyProtection="1">
      <alignment horizontal="center" vertical="center"/>
      <protection locked="0"/>
    </xf>
    <xf numFmtId="0" fontId="54" fillId="10" borderId="11" xfId="0" applyFont="1" applyFill="1" applyBorder="1" applyAlignment="1" applyProtection="1">
      <alignment horizontal="center" vertical="center"/>
      <protection locked="0"/>
    </xf>
    <xf numFmtId="0" fontId="63" fillId="23" borderId="23" xfId="0" applyFont="1" applyFill="1" applyBorder="1" applyAlignment="1" applyProtection="1">
      <alignment horizontal="center" vertical="center"/>
      <protection locked="0"/>
    </xf>
    <xf numFmtId="0" fontId="54" fillId="10" borderId="9" xfId="0" applyFont="1" applyFill="1" applyBorder="1" applyAlignment="1" applyProtection="1">
      <alignment horizontal="center" vertical="center"/>
      <protection locked="0"/>
    </xf>
    <xf numFmtId="0" fontId="54" fillId="10" borderId="15" xfId="0" applyFont="1" applyFill="1" applyBorder="1" applyAlignment="1" applyProtection="1">
      <alignment horizontal="center" vertical="center"/>
      <protection locked="0"/>
    </xf>
    <xf numFmtId="0" fontId="50" fillId="25" borderId="16" xfId="0" applyFont="1" applyFill="1" applyBorder="1" applyAlignment="1" applyProtection="1">
      <alignment horizontal="center" vertical="center"/>
      <protection locked="0"/>
    </xf>
    <xf numFmtId="14" fontId="50" fillId="12" borderId="1" xfId="0" applyNumberFormat="1" applyFont="1" applyFill="1" applyBorder="1" applyAlignment="1" applyProtection="1">
      <alignment horizontal="center" vertical="center"/>
      <protection locked="0"/>
    </xf>
    <xf numFmtId="0" fontId="50" fillId="0" borderId="23" xfId="0" applyFont="1" applyFill="1" applyBorder="1" applyAlignment="1" applyProtection="1">
      <alignment horizontal="center" vertical="center"/>
      <protection locked="0"/>
    </xf>
    <xf numFmtId="0" fontId="50" fillId="25" borderId="5" xfId="0" applyFont="1" applyFill="1" applyBorder="1" applyAlignment="1" applyProtection="1">
      <alignment horizontal="center" vertical="center"/>
      <protection locked="0"/>
    </xf>
    <xf numFmtId="0" fontId="50" fillId="25" borderId="5" xfId="0" applyFont="1" applyFill="1" applyBorder="1" applyAlignment="1" applyProtection="1">
      <alignment horizontal="center" vertical="center" wrapText="1"/>
      <protection locked="0"/>
    </xf>
    <xf numFmtId="0" fontId="50" fillId="25" borderId="23" xfId="0" applyFont="1" applyFill="1" applyBorder="1" applyAlignment="1" applyProtection="1">
      <alignment horizontal="center" vertical="center" wrapText="1"/>
      <protection locked="0"/>
    </xf>
    <xf numFmtId="0" fontId="50" fillId="12" borderId="1" xfId="0" applyFont="1" applyFill="1" applyBorder="1" applyAlignment="1" applyProtection="1">
      <alignment horizontal="center" vertical="center" wrapText="1"/>
      <protection locked="0"/>
    </xf>
    <xf numFmtId="0" fontId="69" fillId="24" borderId="1" xfId="0" applyFont="1" applyFill="1" applyBorder="1" applyAlignment="1">
      <alignment horizontal="center" vertical="center"/>
    </xf>
    <xf numFmtId="0" fontId="24" fillId="0" borderId="6" xfId="0" applyFont="1" applyBorder="1" applyAlignment="1">
      <alignment horizontal="right" vertical="center"/>
    </xf>
    <xf numFmtId="0" fontId="24" fillId="0" borderId="3" xfId="0" applyFont="1" applyBorder="1" applyAlignment="1">
      <alignment horizontal="right" vertical="center"/>
    </xf>
    <xf numFmtId="0" fontId="24" fillId="0" borderId="13" xfId="0" applyFont="1" applyBorder="1" applyAlignment="1">
      <alignment horizontal="right" vertical="center"/>
    </xf>
    <xf numFmtId="0" fontId="24" fillId="27" borderId="6" xfId="0" applyFont="1" applyFill="1" applyBorder="1" applyAlignment="1">
      <alignment horizontal="right" vertical="center"/>
    </xf>
    <xf numFmtId="0" fontId="24" fillId="27" borderId="3" xfId="0" applyFont="1" applyFill="1" applyBorder="1" applyAlignment="1">
      <alignment horizontal="right" vertical="center"/>
    </xf>
    <xf numFmtId="0" fontId="24" fillId="27" borderId="13" xfId="0" applyFont="1" applyFill="1" applyBorder="1" applyAlignment="1">
      <alignment horizontal="right" vertical="center"/>
    </xf>
    <xf numFmtId="0" fontId="34" fillId="17" borderId="1" xfId="0" applyFont="1" applyFill="1" applyBorder="1" applyAlignment="1">
      <alignment horizontal="right" vertical="center" wrapText="1"/>
    </xf>
    <xf numFmtId="0" fontId="33" fillId="12" borderId="1" xfId="0" applyFont="1" applyFill="1" applyBorder="1" applyAlignment="1">
      <alignment horizontal="center" vertical="center"/>
    </xf>
    <xf numFmtId="0" fontId="34" fillId="12" borderId="1" xfId="0" applyFont="1" applyFill="1" applyBorder="1" applyAlignment="1">
      <alignment horizontal="center" vertical="center" wrapText="1"/>
    </xf>
    <xf numFmtId="0" fontId="34" fillId="12" borderId="1" xfId="0" applyFont="1" applyFill="1" applyBorder="1" applyAlignment="1">
      <alignment horizontal="right" vertical="center"/>
    </xf>
    <xf numFmtId="0" fontId="34" fillId="17" borderId="1" xfId="0" applyFont="1" applyFill="1" applyBorder="1" applyAlignment="1">
      <alignment horizontal="right" vertical="center"/>
    </xf>
    <xf numFmtId="0" fontId="33" fillId="12" borderId="1" xfId="0" applyFont="1" applyFill="1" applyBorder="1" applyAlignment="1">
      <alignment horizontal="center" vertical="center" wrapText="1"/>
    </xf>
    <xf numFmtId="0" fontId="35" fillId="14" borderId="1" xfId="0" applyFont="1" applyFill="1" applyBorder="1" applyAlignment="1">
      <alignment horizontal="center" vertical="center" wrapText="1"/>
    </xf>
    <xf numFmtId="0" fontId="34" fillId="12" borderId="1" xfId="0" applyFont="1" applyFill="1" applyBorder="1" applyAlignment="1">
      <alignment horizontal="right" vertical="top"/>
    </xf>
    <xf numFmtId="0" fontId="38" fillId="19" borderId="1" xfId="0" applyFont="1" applyFill="1" applyBorder="1" applyAlignment="1">
      <alignment horizontal="center" vertical="top"/>
    </xf>
    <xf numFmtId="0" fontId="39" fillId="0" borderId="1" xfId="0" applyFont="1" applyFill="1" applyBorder="1" applyAlignment="1">
      <alignment horizontal="center" vertical="top" wrapText="1"/>
    </xf>
    <xf numFmtId="0" fontId="39" fillId="17" borderId="1" xfId="0" applyFont="1" applyFill="1" applyBorder="1" applyAlignment="1">
      <alignment horizontal="center" vertical="top" wrapText="1"/>
    </xf>
    <xf numFmtId="0" fontId="0" fillId="17" borderId="6" xfId="0" applyFill="1" applyBorder="1" applyAlignment="1"/>
    <xf numFmtId="0" fontId="0" fillId="0" borderId="0" xfId="0" applyAlignment="1"/>
    <xf numFmtId="0" fontId="39" fillId="17" borderId="1" xfId="0" applyFont="1" applyFill="1" applyBorder="1" applyAlignment="1">
      <alignment horizontal="center" vertical="top"/>
    </xf>
    <xf numFmtId="0" fontId="39" fillId="0" borderId="1" xfId="0" applyFont="1" applyFill="1" applyBorder="1" applyAlignment="1">
      <alignment horizontal="center" vertical="top"/>
    </xf>
    <xf numFmtId="0" fontId="47" fillId="0" borderId="0" xfId="0" applyFont="1" applyAlignment="1">
      <alignment horizontal="justify" wrapText="1"/>
    </xf>
    <xf numFmtId="49" fontId="47" fillId="0" borderId="0" xfId="0" applyNumberFormat="1" applyFont="1" applyAlignment="1">
      <alignment horizontal="justify"/>
    </xf>
    <xf numFmtId="0" fontId="0" fillId="12" borderId="0" xfId="0" applyFill="1" applyAlignment="1"/>
    <xf numFmtId="4" fontId="26" fillId="12" borderId="1" xfId="2" applyNumberFormat="1" applyFont="1" applyFill="1" applyBorder="1" applyAlignment="1">
      <alignment horizontal="center" vertical="center"/>
    </xf>
    <xf numFmtId="0" fontId="27" fillId="21" borderId="1" xfId="0" applyFont="1" applyFill="1" applyBorder="1" applyAlignment="1">
      <alignment horizontal="right" vertical="center"/>
    </xf>
    <xf numFmtId="0" fontId="44" fillId="21" borderId="1" xfId="0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vertical="top" wrapText="1"/>
    </xf>
    <xf numFmtId="0" fontId="27" fillId="10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justify" vertical="center" wrapText="1"/>
    </xf>
    <xf numFmtId="0" fontId="25" fillId="10" borderId="1" xfId="0" applyFont="1" applyFill="1" applyBorder="1" applyAlignment="1">
      <alignment horizontal="center" vertical="center" wrapText="1"/>
    </xf>
    <xf numFmtId="0" fontId="0" fillId="15" borderId="1" xfId="0" applyFill="1" applyBorder="1" applyAlignment="1"/>
    <xf numFmtId="4" fontId="27" fillId="15" borderId="1" xfId="2" applyNumberFormat="1" applyFont="1" applyFill="1" applyBorder="1" applyAlignment="1">
      <alignment horizontal="center" vertical="center"/>
    </xf>
    <xf numFmtId="0" fontId="27" fillId="12" borderId="1" xfId="0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horizontal="justify" vertical="center" wrapText="1"/>
    </xf>
    <xf numFmtId="0" fontId="25" fillId="12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justify" vertical="center" wrapText="1"/>
    </xf>
    <xf numFmtId="0" fontId="19" fillId="20" borderId="1" xfId="0" applyFont="1" applyFill="1" applyBorder="1" applyAlignment="1">
      <alignment horizontal="center" vertical="top" wrapText="1"/>
    </xf>
    <xf numFmtId="0" fontId="28" fillId="9" borderId="1" xfId="0" applyFont="1" applyFill="1" applyBorder="1" applyAlignment="1">
      <alignment horizontal="center" vertical="top" wrapText="1"/>
    </xf>
    <xf numFmtId="0" fontId="12" fillId="15" borderId="1" xfId="0" applyFont="1" applyFill="1" applyBorder="1" applyAlignment="1">
      <alignment horizontal="center" vertical="center" wrapText="1"/>
    </xf>
    <xf numFmtId="0" fontId="25" fillId="12" borderId="1" xfId="0" applyFont="1" applyFill="1" applyBorder="1" applyAlignment="1">
      <alignment horizontal="center" vertical="top" wrapText="1"/>
    </xf>
    <xf numFmtId="0" fontId="47" fillId="12" borderId="0" xfId="0" applyFont="1" applyFill="1" applyAlignment="1">
      <alignment horizontal="left" vertical="center"/>
    </xf>
    <xf numFmtId="0" fontId="49" fillId="12" borderId="1" xfId="0" applyFont="1" applyFill="1" applyBorder="1" applyAlignment="1">
      <alignment horizontal="right" vertical="center" wrapText="1"/>
    </xf>
    <xf numFmtId="0" fontId="49" fillId="12" borderId="1" xfId="0" applyFont="1" applyFill="1" applyBorder="1" applyAlignment="1">
      <alignment horizontal="right" vertical="center"/>
    </xf>
    <xf numFmtId="0" fontId="47" fillId="12" borderId="18" xfId="0" applyFont="1" applyFill="1" applyBorder="1" applyAlignment="1">
      <alignment horizontal="left" vertical="center" wrapText="1"/>
    </xf>
    <xf numFmtId="0" fontId="47" fillId="12" borderId="0" xfId="0" applyFont="1" applyFill="1" applyAlignment="1">
      <alignment horizontal="left" vertical="center" wrapText="1"/>
    </xf>
    <xf numFmtId="176" fontId="27" fillId="15" borderId="1" xfId="2" applyNumberFormat="1" applyFont="1" applyFill="1" applyBorder="1" applyAlignment="1">
      <alignment horizontal="center" vertical="center" wrapText="1"/>
    </xf>
    <xf numFmtId="4" fontId="27" fillId="12" borderId="1" xfId="2" applyNumberFormat="1" applyFont="1" applyFill="1" applyBorder="1" applyAlignment="1">
      <alignment horizontal="center" vertical="center"/>
    </xf>
    <xf numFmtId="176" fontId="27" fillId="12" borderId="1" xfId="2" applyNumberFormat="1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19" fillId="20" borderId="1" xfId="0" applyFont="1" applyFill="1" applyBorder="1" applyAlignment="1">
      <alignment horizontal="center" vertical="center"/>
    </xf>
    <xf numFmtId="0" fontId="27" fillId="15" borderId="1" xfId="0" applyFont="1" applyFill="1" applyBorder="1" applyAlignment="1">
      <alignment horizontal="center" vertical="center" wrapText="1"/>
    </xf>
    <xf numFmtId="175" fontId="27" fillId="9" borderId="1" xfId="2" applyFont="1" applyFill="1" applyBorder="1" applyAlignment="1">
      <alignment horizontal="center" vertical="top" wrapText="1"/>
    </xf>
    <xf numFmtId="0" fontId="24" fillId="24" borderId="6" xfId="0" applyFont="1" applyFill="1" applyBorder="1" applyAlignment="1">
      <alignment horizontal="center" vertical="center"/>
    </xf>
    <xf numFmtId="0" fontId="24" fillId="24" borderId="3" xfId="0" applyFont="1" applyFill="1" applyBorder="1" applyAlignment="1">
      <alignment horizontal="center" vertical="center"/>
    </xf>
    <xf numFmtId="0" fontId="24" fillId="24" borderId="13" xfId="0" applyFont="1" applyFill="1" applyBorder="1" applyAlignment="1">
      <alignment horizontal="center" vertical="center"/>
    </xf>
    <xf numFmtId="0" fontId="24" fillId="22" borderId="6" xfId="0" applyFont="1" applyFill="1" applyBorder="1" applyAlignment="1">
      <alignment horizontal="right" vertical="center"/>
    </xf>
    <xf numFmtId="0" fontId="24" fillId="22" borderId="3" xfId="0" applyFont="1" applyFill="1" applyBorder="1" applyAlignment="1">
      <alignment horizontal="right" vertical="center"/>
    </xf>
    <xf numFmtId="0" fontId="24" fillId="22" borderId="13" xfId="0" applyFont="1" applyFill="1" applyBorder="1" applyAlignment="1">
      <alignment horizontal="right" vertical="center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left" vertical="top"/>
    </xf>
    <xf numFmtId="171" fontId="50" fillId="28" borderId="6" xfId="0" applyNumberFormat="1" applyFont="1" applyFill="1" applyBorder="1" applyAlignment="1" applyProtection="1">
      <alignment horizontal="center" vertical="center"/>
      <protection locked="0"/>
    </xf>
    <xf numFmtId="4" fontId="69" fillId="26" borderId="5" xfId="0" applyNumberFormat="1" applyFont="1" applyFill="1" applyBorder="1" applyAlignment="1">
      <alignment horizontal="center" vertical="center"/>
    </xf>
    <xf numFmtId="4" fontId="69" fillId="26" borderId="1" xfId="0" applyNumberFormat="1" applyFont="1" applyFill="1" applyBorder="1" applyAlignment="1">
      <alignment horizontal="center" vertical="center"/>
    </xf>
    <xf numFmtId="4" fontId="69" fillId="27" borderId="1" xfId="0" applyNumberFormat="1" applyFont="1" applyFill="1" applyBorder="1" applyAlignment="1">
      <alignment horizontal="center" vertical="center"/>
    </xf>
    <xf numFmtId="4" fontId="69" fillId="22" borderId="1" xfId="0" applyNumberFormat="1" applyFont="1" applyFill="1" applyBorder="1" applyAlignment="1">
      <alignment horizontal="center" vertical="center"/>
    </xf>
    <xf numFmtId="0" fontId="50" fillId="0" borderId="32" xfId="0" applyFont="1" applyBorder="1" applyAlignment="1" applyProtection="1">
      <alignment horizontal="center" vertical="center"/>
      <protection locked="0"/>
    </xf>
    <xf numFmtId="0" fontId="50" fillId="0" borderId="35" xfId="0" applyFont="1" applyBorder="1" applyAlignment="1" applyProtection="1">
      <alignment horizontal="center" vertical="center"/>
      <protection locked="0"/>
    </xf>
    <xf numFmtId="0" fontId="50" fillId="0" borderId="33" xfId="0" applyFont="1" applyBorder="1" applyAlignment="1" applyProtection="1">
      <alignment horizontal="center" vertical="center"/>
      <protection locked="0"/>
    </xf>
  </cellXfs>
  <cellStyles count="15">
    <cellStyle name="cf1" xfId="4" xr:uid="{00000000-0005-0000-0000-000000000000}"/>
    <cellStyle name="cf2" xfId="5" xr:uid="{00000000-0005-0000-0000-000001000000}"/>
    <cellStyle name="cf3" xfId="6" xr:uid="{00000000-0005-0000-0000-000002000000}"/>
    <cellStyle name="Heading" xfId="7" xr:uid="{00000000-0005-0000-0000-000003000000}"/>
    <cellStyle name="Heading1" xfId="8" xr:uid="{00000000-0005-0000-0000-000004000000}"/>
    <cellStyle name="Hiperlink" xfId="9" xr:uid="{00000000-0005-0000-0000-000005000000}"/>
    <cellStyle name="Item" xfId="10" xr:uid="{00000000-0005-0000-0000-000006000000}"/>
    <cellStyle name="Moeda" xfId="2" builtinId="4" customBuiltin="1"/>
    <cellStyle name="Normal" xfId="0" builtinId="0" customBuiltin="1"/>
    <cellStyle name="ObsSIMPLES" xfId="11" xr:uid="{00000000-0005-0000-0000-000009000000}"/>
    <cellStyle name="Porcentagem" xfId="3" builtinId="5" customBuiltin="1"/>
    <cellStyle name="Result" xfId="12" xr:uid="{00000000-0005-0000-0000-00000B000000}"/>
    <cellStyle name="Result2" xfId="13" xr:uid="{00000000-0005-0000-0000-00000C000000}"/>
    <cellStyle name="Valor Texto Editável" xfId="14" xr:uid="{00000000-0005-0000-0000-00000D000000}"/>
    <cellStyle name="Vírgula" xfId="1" builtinId="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8"/>
  <sheetViews>
    <sheetView tabSelected="1" workbookViewId="0">
      <selection activeCell="H2" sqref="H2"/>
    </sheetView>
  </sheetViews>
  <sheetFormatPr defaultRowHeight="12.75" customHeight="1"/>
  <cols>
    <col min="1" max="1" width="29.42578125" style="1" customWidth="1"/>
    <col min="2" max="2" width="33.5703125" style="1" customWidth="1"/>
    <col min="3" max="3" width="25.7109375" style="1" customWidth="1"/>
    <col min="4" max="4" width="21.42578125" style="1" customWidth="1"/>
    <col min="5" max="5" width="14.85546875" style="1" customWidth="1"/>
    <col min="6" max="6" width="23.140625" style="1" customWidth="1"/>
    <col min="7" max="254" width="14.85546875" style="1" customWidth="1"/>
    <col min="255" max="255" width="29.42578125" style="1" customWidth="1"/>
    <col min="256" max="256" width="33.5703125" style="1" customWidth="1"/>
    <col min="257" max="257" width="25.7109375" style="1" customWidth="1"/>
    <col min="258" max="258" width="21.42578125" style="1" customWidth="1"/>
    <col min="259" max="259" width="14.85546875" style="1" customWidth="1"/>
    <col min="260" max="260" width="23.140625" style="1" customWidth="1"/>
    <col min="261" max="261" width="14.85546875" style="1" customWidth="1"/>
    <col min="262" max="262" width="33" style="1" customWidth="1"/>
    <col min="263" max="510" width="14.85546875" style="1" customWidth="1"/>
    <col min="511" max="511" width="29.42578125" style="1" customWidth="1"/>
    <col min="512" max="512" width="33.5703125" style="1" customWidth="1"/>
    <col min="513" max="513" width="25.7109375" style="1" customWidth="1"/>
    <col min="514" max="514" width="21.42578125" style="1" customWidth="1"/>
    <col min="515" max="515" width="14.85546875" style="1" customWidth="1"/>
    <col min="516" max="516" width="23.140625" style="1" customWidth="1"/>
    <col min="517" max="517" width="14.85546875" style="1" customWidth="1"/>
    <col min="518" max="518" width="33" style="1" customWidth="1"/>
    <col min="519" max="766" width="14.85546875" style="1" customWidth="1"/>
    <col min="767" max="767" width="29.42578125" style="1" customWidth="1"/>
    <col min="768" max="768" width="33.5703125" style="1" customWidth="1"/>
    <col min="769" max="769" width="25.7109375" style="1" customWidth="1"/>
    <col min="770" max="770" width="21.42578125" style="1" customWidth="1"/>
    <col min="771" max="771" width="14.85546875" style="1" customWidth="1"/>
    <col min="772" max="772" width="23.140625" style="1" customWidth="1"/>
    <col min="773" max="773" width="14.85546875" style="1" customWidth="1"/>
    <col min="774" max="774" width="33" style="1" customWidth="1"/>
    <col min="775" max="1022" width="14.85546875" style="1" customWidth="1"/>
    <col min="1023" max="1023" width="29.42578125" style="1" customWidth="1"/>
    <col min="1024" max="1024" width="14.85546875" style="1" customWidth="1"/>
  </cols>
  <sheetData>
    <row r="1" spans="1:6" ht="31.9" customHeight="1">
      <c r="A1" s="310" t="s">
        <v>0</v>
      </c>
      <c r="B1" s="310"/>
      <c r="C1" s="310"/>
      <c r="D1" s="310"/>
      <c r="E1" s="310"/>
      <c r="F1" s="310"/>
    </row>
    <row r="2" spans="1:6" ht="50.45" customHeight="1">
      <c r="A2" s="311" t="s">
        <v>421</v>
      </c>
      <c r="B2" s="311"/>
      <c r="C2" s="311"/>
      <c r="D2" s="311"/>
      <c r="E2" s="311"/>
      <c r="F2" s="311"/>
    </row>
    <row r="3" spans="1:6" ht="20.100000000000001" customHeight="1">
      <c r="A3" s="312" t="s">
        <v>1</v>
      </c>
      <c r="B3" s="312"/>
      <c r="C3" s="312"/>
      <c r="D3" s="312"/>
      <c r="E3" s="312"/>
      <c r="F3" s="312"/>
    </row>
    <row r="4" spans="1:6" ht="12.6" customHeight="1">
      <c r="A4" s="309"/>
      <c r="B4" s="309"/>
      <c r="C4" s="309"/>
      <c r="D4" s="309"/>
      <c r="E4" s="309"/>
      <c r="F4" s="309"/>
    </row>
    <row r="5" spans="1:6" ht="20.85" customHeight="1">
      <c r="A5" s="307" t="s">
        <v>2</v>
      </c>
      <c r="B5" s="307"/>
      <c r="C5" s="307"/>
      <c r="D5" s="307"/>
      <c r="E5" s="307"/>
      <c r="F5" s="307"/>
    </row>
    <row r="6" spans="1:6" ht="12.75" customHeight="1">
      <c r="A6" s="309"/>
      <c r="B6" s="309"/>
      <c r="C6" s="309"/>
      <c r="D6" s="309"/>
      <c r="E6" s="309"/>
      <c r="F6" s="309"/>
    </row>
    <row r="7" spans="1:6" s="2" customFormat="1" ht="19.350000000000001" customHeight="1">
      <c r="A7" s="255" t="s">
        <v>3</v>
      </c>
      <c r="B7" s="301"/>
      <c r="C7" s="301"/>
      <c r="D7" s="301"/>
      <c r="E7" s="301"/>
      <c r="F7" s="301"/>
    </row>
    <row r="8" spans="1:6" s="2" customFormat="1" ht="19.350000000000001" customHeight="1">
      <c r="A8" s="255" t="s">
        <v>4</v>
      </c>
      <c r="B8" s="3"/>
      <c r="C8" s="255" t="s">
        <v>5</v>
      </c>
      <c r="D8" s="4"/>
      <c r="E8" s="255" t="s">
        <v>5</v>
      </c>
      <c r="F8" s="256"/>
    </row>
    <row r="9" spans="1:6" s="2" customFormat="1" ht="19.350000000000001" customHeight="1">
      <c r="A9" s="255" t="s">
        <v>6</v>
      </c>
      <c r="B9" s="305"/>
      <c r="C9" s="305"/>
      <c r="D9" s="305"/>
      <c r="E9" s="305"/>
      <c r="F9" s="305"/>
    </row>
    <row r="10" spans="1:6" s="2" customFormat="1" ht="19.350000000000001" customHeight="1">
      <c r="A10" s="255" t="s">
        <v>7</v>
      </c>
      <c r="B10" s="301"/>
      <c r="C10" s="301"/>
      <c r="D10" s="301"/>
      <c r="E10" s="301"/>
      <c r="F10" s="301"/>
    </row>
    <row r="11" spans="1:6" s="2" customFormat="1" ht="19.350000000000001" customHeight="1">
      <c r="A11" s="255" t="s">
        <v>8</v>
      </c>
      <c r="B11" s="301"/>
      <c r="C11" s="301"/>
      <c r="D11" s="301"/>
      <c r="E11" s="255" t="s">
        <v>9</v>
      </c>
      <c r="F11" s="256"/>
    </row>
    <row r="12" spans="1:6" s="2" customFormat="1" ht="19.350000000000001" customHeight="1">
      <c r="A12" s="255" t="s">
        <v>10</v>
      </c>
      <c r="B12" s="306"/>
      <c r="C12" s="306"/>
      <c r="D12" s="306"/>
      <c r="E12" s="306"/>
      <c r="F12" s="306"/>
    </row>
    <row r="13" spans="1:6" ht="12.75" customHeight="1">
      <c r="F13" s="5"/>
    </row>
    <row r="14" spans="1:6" ht="20.100000000000001" customHeight="1">
      <c r="A14" s="307" t="s">
        <v>11</v>
      </c>
      <c r="B14" s="307"/>
      <c r="C14" s="307"/>
      <c r="D14" s="307"/>
      <c r="E14" s="307"/>
      <c r="F14" s="307"/>
    </row>
    <row r="16" spans="1:6" ht="23.1" customHeight="1">
      <c r="A16" s="6" t="s">
        <v>12</v>
      </c>
      <c r="B16" s="301"/>
      <c r="C16" s="301"/>
      <c r="D16" s="301"/>
      <c r="E16" s="301"/>
      <c r="F16" s="301"/>
    </row>
    <row r="17" spans="1:8" ht="23.1" customHeight="1">
      <c r="A17" s="6" t="s">
        <v>13</v>
      </c>
      <c r="B17" s="301"/>
      <c r="C17" s="301"/>
      <c r="D17" s="301"/>
      <c r="E17" s="301"/>
      <c r="F17" s="301"/>
    </row>
    <row r="18" spans="1:8" ht="23.1" customHeight="1">
      <c r="A18" s="6" t="s">
        <v>14</v>
      </c>
      <c r="B18" s="301"/>
      <c r="C18" s="301"/>
      <c r="D18" s="301"/>
      <c r="E18" s="301"/>
      <c r="F18" s="301"/>
    </row>
    <row r="20" spans="1:8" ht="22.35" customHeight="1">
      <c r="A20" s="308" t="s">
        <v>15</v>
      </c>
      <c r="B20" s="308"/>
      <c r="C20" s="308"/>
      <c r="D20" s="308"/>
      <c r="E20" s="308"/>
      <c r="F20" s="308"/>
    </row>
    <row r="22" spans="1:8" ht="22.35" customHeight="1">
      <c r="A22" s="6" t="s">
        <v>16</v>
      </c>
      <c r="B22" s="301"/>
      <c r="C22" s="301"/>
      <c r="D22" s="301"/>
      <c r="E22" s="301"/>
      <c r="F22" s="301"/>
    </row>
    <row r="23" spans="1:8" ht="20.85" customHeight="1">
      <c r="A23" s="6" t="s">
        <v>17</v>
      </c>
      <c r="B23" s="301"/>
      <c r="C23" s="301"/>
      <c r="D23" s="6" t="s">
        <v>18</v>
      </c>
      <c r="E23" s="301"/>
      <c r="F23" s="301"/>
    </row>
    <row r="24" spans="1:8" ht="24" customHeight="1">
      <c r="A24" s="300" t="s">
        <v>19</v>
      </c>
      <c r="B24" s="300"/>
      <c r="C24" s="301"/>
      <c r="D24" s="301"/>
      <c r="E24" s="301"/>
      <c r="F24" s="301"/>
    </row>
    <row r="25" spans="1:8" ht="12.75" customHeight="1">
      <c r="A25" s="5"/>
    </row>
    <row r="26" spans="1:8" ht="20.85" customHeight="1">
      <c r="A26" s="302" t="s">
        <v>20</v>
      </c>
      <c r="B26" s="302"/>
      <c r="C26" s="302"/>
      <c r="D26" s="302"/>
      <c r="E26" s="302"/>
      <c r="F26" s="302"/>
    </row>
    <row r="28" spans="1:8" s="2" customFormat="1" ht="48.75" customHeight="1">
      <c r="A28" s="7" t="s">
        <v>21</v>
      </c>
      <c r="B28" s="303" t="s">
        <v>22</v>
      </c>
      <c r="C28" s="303"/>
      <c r="D28" s="303"/>
      <c r="E28" s="303"/>
      <c r="F28" s="303"/>
      <c r="H28" s="1"/>
    </row>
    <row r="29" spans="1:8" ht="18.600000000000001" customHeight="1"/>
    <row r="30" spans="1:8" ht="29.85" customHeight="1">
      <c r="A30" s="295" t="s">
        <v>23</v>
      </c>
      <c r="B30" s="295"/>
      <c r="C30" s="8" t="s">
        <v>24</v>
      </c>
      <c r="D30" s="304" t="s">
        <v>25</v>
      </c>
      <c r="E30" s="304"/>
      <c r="F30" s="304"/>
    </row>
    <row r="31" spans="1:8" s="2" customFormat="1" ht="24.6" customHeight="1">
      <c r="A31" s="295" t="s">
        <v>26</v>
      </c>
      <c r="B31" s="295"/>
      <c r="C31" s="8">
        <v>120</v>
      </c>
      <c r="D31" s="295" t="s">
        <v>27</v>
      </c>
      <c r="E31" s="295"/>
      <c r="F31" s="295"/>
    </row>
    <row r="32" spans="1:8" s="2" customFormat="1" ht="13.9" customHeight="1">
      <c r="A32" s="9"/>
      <c r="B32" s="9"/>
      <c r="C32" s="10"/>
      <c r="D32" s="10"/>
      <c r="E32" s="11"/>
      <c r="F32" s="11"/>
    </row>
    <row r="33" spans="1:8" s="2" customFormat="1" ht="41.25" customHeight="1">
      <c r="A33" s="296" t="s">
        <v>28</v>
      </c>
      <c r="B33" s="296"/>
      <c r="C33" s="297" t="e">
        <f>'Proposta GLOBAL'!#REF!</f>
        <v>#REF!</v>
      </c>
      <c r="D33" s="297"/>
      <c r="E33" s="297"/>
      <c r="F33" s="297"/>
      <c r="H33" s="12"/>
    </row>
    <row r="34" spans="1:8" s="2" customFormat="1" ht="22.9" customHeight="1">
      <c r="A34" s="298" t="s">
        <v>29</v>
      </c>
      <c r="B34" s="298"/>
      <c r="C34" s="298"/>
      <c r="D34" s="298"/>
      <c r="E34" s="298"/>
      <c r="F34" s="298"/>
      <c r="H34" s="13"/>
    </row>
    <row r="35" spans="1:8" s="2" customFormat="1" ht="47.25" customHeight="1">
      <c r="A35" s="299"/>
      <c r="B35" s="299"/>
      <c r="C35" s="299"/>
      <c r="D35" s="299"/>
      <c r="E35" s="299"/>
      <c r="F35" s="299"/>
      <c r="G35" s="14"/>
    </row>
    <row r="36" spans="1:8" s="2" customFormat="1" ht="14.85" customHeight="1">
      <c r="A36" s="9"/>
      <c r="B36" s="9"/>
      <c r="C36" s="10"/>
      <c r="D36" s="10"/>
      <c r="E36" s="11"/>
      <c r="F36" s="11"/>
    </row>
    <row r="37" spans="1:8" ht="65.45" customHeight="1">
      <c r="A37" s="293"/>
      <c r="B37" s="293"/>
      <c r="C37" s="293"/>
      <c r="D37" s="294">
        <f>B22</f>
        <v>0</v>
      </c>
      <c r="E37" s="294"/>
      <c r="F37" s="294"/>
    </row>
    <row r="38" spans="1:8" ht="24" customHeight="1">
      <c r="A38" s="293" t="s">
        <v>30</v>
      </c>
      <c r="B38" s="293"/>
      <c r="C38" s="293"/>
      <c r="D38" s="293" t="s">
        <v>31</v>
      </c>
      <c r="E38" s="293"/>
      <c r="F38" s="293"/>
    </row>
  </sheetData>
  <mergeCells count="35">
    <mergeCell ref="A6:F6"/>
    <mergeCell ref="A1:F1"/>
    <mergeCell ref="A2:F2"/>
    <mergeCell ref="A3:F3"/>
    <mergeCell ref="A4:F4"/>
    <mergeCell ref="A5:F5"/>
    <mergeCell ref="B23:C23"/>
    <mergeCell ref="E23:F23"/>
    <mergeCell ref="B7:F7"/>
    <mergeCell ref="B9:F9"/>
    <mergeCell ref="B10:F10"/>
    <mergeCell ref="B11:D11"/>
    <mergeCell ref="B12:F12"/>
    <mergeCell ref="A14:F14"/>
    <mergeCell ref="B16:F16"/>
    <mergeCell ref="B17:F17"/>
    <mergeCell ref="B18:F18"/>
    <mergeCell ref="A20:F20"/>
    <mergeCell ref="B22:F22"/>
    <mergeCell ref="A24:B24"/>
    <mergeCell ref="C24:F24"/>
    <mergeCell ref="A26:F26"/>
    <mergeCell ref="B28:F28"/>
    <mergeCell ref="A30:B30"/>
    <mergeCell ref="D30:F30"/>
    <mergeCell ref="A37:C37"/>
    <mergeCell ref="D37:F37"/>
    <mergeCell ref="A38:C38"/>
    <mergeCell ref="D38:F38"/>
    <mergeCell ref="A31:B31"/>
    <mergeCell ref="D31:F31"/>
    <mergeCell ref="A33:B33"/>
    <mergeCell ref="C33:F33"/>
    <mergeCell ref="A34:F34"/>
    <mergeCell ref="A35:F35"/>
  </mergeCells>
  <printOptions horizontalCentered="1" verticalCentered="1"/>
  <pageMargins left="0.25000000000000006" right="0.25000000000000006" top="0.75" bottom="0.75" header="0.30000000000000004" footer="0.30000000000000004"/>
  <pageSetup paperSize="0" scale="71" fitToWidth="0" fitToHeight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J67"/>
  <sheetViews>
    <sheetView workbookViewId="0"/>
  </sheetViews>
  <sheetFormatPr defaultRowHeight="15"/>
  <cols>
    <col min="1" max="1" width="8.140625" style="22" customWidth="1"/>
    <col min="2" max="2" width="58.42578125" style="139" customWidth="1"/>
    <col min="3" max="3" width="13.42578125" style="25" customWidth="1"/>
    <col min="4" max="8" width="12.140625" style="22" hidden="1" customWidth="1"/>
    <col min="9" max="9" width="4.7109375" style="22" hidden="1" customWidth="1"/>
    <col min="10" max="10" width="10.85546875" style="22" customWidth="1"/>
    <col min="11" max="11" width="26.28515625" style="25" hidden="1" customWidth="1"/>
    <col min="12" max="12" width="24" style="25" hidden="1" customWidth="1"/>
    <col min="13" max="13" width="23.85546875" style="25" hidden="1" customWidth="1"/>
    <col min="14" max="14" width="1.7109375" style="22" hidden="1" customWidth="1"/>
    <col min="15" max="15" width="15" style="25" hidden="1" customWidth="1"/>
    <col min="16" max="16" width="17.5703125" style="25" hidden="1" customWidth="1"/>
    <col min="17" max="17" width="15" style="25" hidden="1" customWidth="1"/>
    <col min="18" max="18" width="16" style="140" customWidth="1"/>
    <col min="19" max="19" width="14.5703125" style="141" customWidth="1"/>
    <col min="20" max="20" width="12.28515625" style="23" hidden="1" customWidth="1"/>
    <col min="21" max="21" width="12.140625" style="23" hidden="1" customWidth="1"/>
    <col min="22" max="22" width="11.42578125" customWidth="1"/>
    <col min="23" max="1024" width="11.42578125" style="22" customWidth="1"/>
  </cols>
  <sheetData>
    <row r="1" spans="1:22" ht="43.15" customHeight="1">
      <c r="A1" s="437" t="s">
        <v>277</v>
      </c>
      <c r="B1" s="437"/>
      <c r="C1" s="437"/>
      <c r="D1" s="437"/>
      <c r="E1" s="437"/>
      <c r="F1" s="437"/>
      <c r="G1" s="437"/>
      <c r="H1" s="437"/>
      <c r="I1" s="437"/>
      <c r="J1" s="437"/>
      <c r="K1" s="438" t="s">
        <v>278</v>
      </c>
      <c r="L1" s="438"/>
      <c r="M1" s="438"/>
      <c r="N1" s="438"/>
      <c r="O1" s="438"/>
      <c r="P1" s="438"/>
      <c r="Q1" s="438"/>
      <c r="R1" s="439" t="s">
        <v>279</v>
      </c>
      <c r="S1" s="439"/>
      <c r="T1" s="440" t="s">
        <v>280</v>
      </c>
      <c r="U1" s="440"/>
      <c r="V1" s="178"/>
    </row>
    <row r="2" spans="1:22" s="106" customFormat="1" ht="41.25" customHeight="1">
      <c r="A2" s="103" t="s">
        <v>46</v>
      </c>
      <c r="B2" s="103" t="s">
        <v>281</v>
      </c>
      <c r="C2" s="103" t="s">
        <v>177</v>
      </c>
      <c r="D2" s="103"/>
      <c r="E2" s="103"/>
      <c r="F2" s="103"/>
      <c r="G2" s="103"/>
      <c r="H2" s="103"/>
      <c r="I2" s="103"/>
      <c r="J2" s="104" t="s">
        <v>282</v>
      </c>
      <c r="K2" s="438"/>
      <c r="L2" s="438"/>
      <c r="M2" s="438"/>
      <c r="N2" s="438"/>
      <c r="O2" s="438"/>
      <c r="P2" s="438"/>
      <c r="Q2" s="438"/>
      <c r="R2" s="105" t="s">
        <v>283</v>
      </c>
      <c r="S2" s="105" t="s">
        <v>97</v>
      </c>
      <c r="T2" s="272" t="s">
        <v>283</v>
      </c>
      <c r="U2" s="272" t="s">
        <v>97</v>
      </c>
      <c r="V2" s="178"/>
    </row>
    <row r="3" spans="1:22" s="106" customFormat="1" ht="22.9" customHeight="1">
      <c r="A3" s="433">
        <v>1</v>
      </c>
      <c r="B3" s="434" t="s">
        <v>284</v>
      </c>
      <c r="C3" s="435" t="s">
        <v>285</v>
      </c>
      <c r="D3" s="107"/>
      <c r="E3" s="107"/>
      <c r="F3" s="107"/>
      <c r="G3" s="107"/>
      <c r="H3" s="107"/>
      <c r="I3" s="107"/>
      <c r="J3" s="433">
        <f>SUM(D4:I4)</f>
        <v>1</v>
      </c>
      <c r="K3" s="108" t="s">
        <v>286</v>
      </c>
      <c r="L3" s="108" t="s">
        <v>287</v>
      </c>
      <c r="M3" s="108" t="s">
        <v>288</v>
      </c>
      <c r="N3" s="109"/>
      <c r="O3" s="108" t="s">
        <v>289</v>
      </c>
      <c r="P3" s="108" t="s">
        <v>290</v>
      </c>
      <c r="Q3" s="108" t="s">
        <v>291</v>
      </c>
      <c r="R3" s="431"/>
      <c r="S3" s="432">
        <f>TRUNC(R3*J3,2)</f>
        <v>0</v>
      </c>
      <c r="T3" s="424">
        <v>569.29999999999995</v>
      </c>
      <c r="U3" s="424">
        <f>J3*T3</f>
        <v>569.29999999999995</v>
      </c>
      <c r="V3" s="178"/>
    </row>
    <row r="4" spans="1:22" ht="37.15" customHeight="1">
      <c r="A4" s="433"/>
      <c r="B4" s="434"/>
      <c r="C4" s="435"/>
      <c r="D4" s="271">
        <v>1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433"/>
      <c r="K4" s="110">
        <v>539</v>
      </c>
      <c r="L4" s="110">
        <v>589</v>
      </c>
      <c r="M4" s="110">
        <v>579.9</v>
      </c>
      <c r="N4" s="111">
        <f>J3*M4</f>
        <v>579.9</v>
      </c>
      <c r="O4" s="110">
        <v>400</v>
      </c>
      <c r="P4" s="112">
        <v>1650</v>
      </c>
      <c r="Q4" s="110">
        <v>620</v>
      </c>
      <c r="R4" s="431"/>
      <c r="S4" s="432"/>
      <c r="T4" s="424"/>
      <c r="U4" s="424"/>
      <c r="V4" s="178"/>
    </row>
    <row r="5" spans="1:22" ht="19.899999999999999" customHeight="1">
      <c r="A5" s="428">
        <v>2</v>
      </c>
      <c r="B5" s="429" t="s">
        <v>292</v>
      </c>
      <c r="C5" s="430" t="s">
        <v>285</v>
      </c>
      <c r="D5" s="267"/>
      <c r="E5" s="267"/>
      <c r="F5" s="267"/>
      <c r="G5" s="267"/>
      <c r="H5" s="267"/>
      <c r="I5" s="267"/>
      <c r="J5" s="428">
        <f>SUM(D6:I6)</f>
        <v>5</v>
      </c>
      <c r="K5" s="113" t="s">
        <v>293</v>
      </c>
      <c r="L5" s="113" t="s">
        <v>294</v>
      </c>
      <c r="M5" s="113" t="s">
        <v>287</v>
      </c>
      <c r="N5" s="114"/>
      <c r="O5" s="113" t="s">
        <v>289</v>
      </c>
      <c r="P5" s="113" t="s">
        <v>290</v>
      </c>
      <c r="Q5" s="113" t="s">
        <v>291</v>
      </c>
      <c r="R5" s="431"/>
      <c r="S5" s="432">
        <f>TRUNC(R5*J5,2)</f>
        <v>0</v>
      </c>
      <c r="T5" s="424">
        <v>109.23</v>
      </c>
      <c r="U5" s="424">
        <f>J5*T5</f>
        <v>546.15</v>
      </c>
      <c r="V5" s="178"/>
    </row>
    <row r="6" spans="1:22" ht="17.45" customHeight="1">
      <c r="A6" s="428"/>
      <c r="B6" s="429"/>
      <c r="C6" s="430"/>
      <c r="D6" s="267">
        <v>1</v>
      </c>
      <c r="E6" s="267">
        <v>1</v>
      </c>
      <c r="F6" s="267">
        <v>1</v>
      </c>
      <c r="G6" s="267">
        <v>1</v>
      </c>
      <c r="H6" s="267">
        <v>0</v>
      </c>
      <c r="I6" s="267">
        <v>1</v>
      </c>
      <c r="J6" s="428"/>
      <c r="K6" s="115">
        <v>89.9</v>
      </c>
      <c r="L6" s="115">
        <v>118.8</v>
      </c>
      <c r="M6" s="115">
        <v>119</v>
      </c>
      <c r="N6" s="116"/>
      <c r="O6" s="115">
        <v>120</v>
      </c>
      <c r="P6" s="115">
        <v>220</v>
      </c>
      <c r="Q6" s="115">
        <v>89</v>
      </c>
      <c r="R6" s="431"/>
      <c r="S6" s="432"/>
      <c r="T6" s="424"/>
      <c r="U6" s="424"/>
      <c r="V6" s="178"/>
    </row>
    <row r="7" spans="1:22" ht="28.15" customHeight="1">
      <c r="A7" s="428">
        <v>4</v>
      </c>
      <c r="B7" s="436" t="s">
        <v>295</v>
      </c>
      <c r="C7" s="430" t="s">
        <v>285</v>
      </c>
      <c r="D7" s="267"/>
      <c r="E7" s="267"/>
      <c r="F7" s="267"/>
      <c r="G7" s="267"/>
      <c r="H7" s="267"/>
      <c r="I7" s="267"/>
      <c r="J7" s="428">
        <v>2</v>
      </c>
      <c r="K7" s="113" t="s">
        <v>296</v>
      </c>
      <c r="L7" s="113" t="s">
        <v>297</v>
      </c>
      <c r="M7" s="113" t="s">
        <v>298</v>
      </c>
      <c r="N7" s="114"/>
      <c r="O7" s="113" t="s">
        <v>289</v>
      </c>
      <c r="P7" s="113" t="s">
        <v>290</v>
      </c>
      <c r="Q7" s="113" t="s">
        <v>291</v>
      </c>
      <c r="R7" s="431"/>
      <c r="S7" s="432">
        <f>TRUNC(R7*J7,2)</f>
        <v>0</v>
      </c>
      <c r="T7" s="424">
        <v>1006.32</v>
      </c>
      <c r="U7" s="424">
        <f>J7*T7</f>
        <v>2012.64</v>
      </c>
      <c r="V7" s="178"/>
    </row>
    <row r="8" spans="1:22" ht="158.44999999999999" customHeight="1">
      <c r="A8" s="428"/>
      <c r="B8" s="436"/>
      <c r="C8" s="430"/>
      <c r="D8" s="267">
        <v>3</v>
      </c>
      <c r="E8" s="267">
        <v>0</v>
      </c>
      <c r="F8" s="267">
        <v>1</v>
      </c>
      <c r="G8" s="267">
        <v>1</v>
      </c>
      <c r="H8" s="267">
        <v>0</v>
      </c>
      <c r="I8" s="267">
        <v>0</v>
      </c>
      <c r="J8" s="428"/>
      <c r="K8" s="115">
        <v>1215.9000000000001</v>
      </c>
      <c r="L8" s="115">
        <v>854.05</v>
      </c>
      <c r="M8" s="115">
        <v>949</v>
      </c>
      <c r="N8" s="116"/>
      <c r="O8" s="115">
        <v>1100</v>
      </c>
      <c r="P8" s="115">
        <v>1050</v>
      </c>
      <c r="Q8" s="115">
        <v>999</v>
      </c>
      <c r="R8" s="431"/>
      <c r="S8" s="432"/>
      <c r="T8" s="424"/>
      <c r="U8" s="424"/>
      <c r="V8" s="178"/>
    </row>
    <row r="9" spans="1:22" ht="24.6" customHeight="1">
      <c r="A9" s="433">
        <v>5</v>
      </c>
      <c r="B9" s="434" t="s">
        <v>299</v>
      </c>
      <c r="C9" s="435" t="s">
        <v>285</v>
      </c>
      <c r="D9" s="271"/>
      <c r="E9" s="271"/>
      <c r="F9" s="271"/>
      <c r="G9" s="271"/>
      <c r="H9" s="271"/>
      <c r="I9" s="271"/>
      <c r="J9" s="433">
        <f>SUM(D10:I10)</f>
        <v>6</v>
      </c>
      <c r="K9" s="117" t="s">
        <v>300</v>
      </c>
      <c r="L9" s="117" t="s">
        <v>301</v>
      </c>
      <c r="M9" s="117" t="s">
        <v>293</v>
      </c>
      <c r="N9" s="114"/>
      <c r="O9" s="117" t="s">
        <v>289</v>
      </c>
      <c r="P9" s="117" t="s">
        <v>290</v>
      </c>
      <c r="Q9" s="117" t="s">
        <v>291</v>
      </c>
      <c r="R9" s="431"/>
      <c r="S9" s="432">
        <f>TRUNC(R9*J9,2)</f>
        <v>0</v>
      </c>
      <c r="T9" s="424">
        <v>121.96</v>
      </c>
      <c r="U9" s="424">
        <f>J9*T9</f>
        <v>731.76</v>
      </c>
      <c r="V9" s="178"/>
    </row>
    <row r="10" spans="1:22" ht="30" customHeight="1">
      <c r="A10" s="433"/>
      <c r="B10" s="434"/>
      <c r="C10" s="435"/>
      <c r="D10" s="271">
        <v>1</v>
      </c>
      <c r="E10" s="271">
        <v>1</v>
      </c>
      <c r="F10" s="271">
        <v>1</v>
      </c>
      <c r="G10" s="271">
        <v>1</v>
      </c>
      <c r="H10" s="271">
        <v>1</v>
      </c>
      <c r="I10" s="271">
        <v>1</v>
      </c>
      <c r="J10" s="433"/>
      <c r="K10" s="110">
        <v>96.97</v>
      </c>
      <c r="L10" s="110">
        <v>99.9</v>
      </c>
      <c r="M10" s="110">
        <v>169</v>
      </c>
      <c r="N10" s="111"/>
      <c r="O10" s="110">
        <v>200</v>
      </c>
      <c r="P10" s="110">
        <v>96</v>
      </c>
      <c r="Q10" s="110">
        <v>127.8</v>
      </c>
      <c r="R10" s="431"/>
      <c r="S10" s="432"/>
      <c r="T10" s="424"/>
      <c r="U10" s="424"/>
      <c r="V10" s="178"/>
    </row>
    <row r="11" spans="1:22" ht="28.9" customHeight="1">
      <c r="A11" s="428">
        <v>6</v>
      </c>
      <c r="B11" s="429" t="s">
        <v>302</v>
      </c>
      <c r="C11" s="430" t="s">
        <v>285</v>
      </c>
      <c r="D11" s="267"/>
      <c r="E11" s="267"/>
      <c r="F11" s="267"/>
      <c r="G11" s="267"/>
      <c r="H11" s="267"/>
      <c r="I11" s="267"/>
      <c r="J11" s="428">
        <f>SUM(D12:I12)</f>
        <v>4</v>
      </c>
      <c r="K11" s="113" t="s">
        <v>296</v>
      </c>
      <c r="L11" s="113" t="s">
        <v>303</v>
      </c>
      <c r="M11" s="113" t="s">
        <v>304</v>
      </c>
      <c r="N11" s="114"/>
      <c r="O11" s="113" t="s">
        <v>289</v>
      </c>
      <c r="P11" s="113" t="s">
        <v>290</v>
      </c>
      <c r="Q11" s="113" t="s">
        <v>291</v>
      </c>
      <c r="R11" s="431"/>
      <c r="S11" s="432">
        <f>TRUNC(R11*J11,2)</f>
        <v>0</v>
      </c>
      <c r="T11" s="424">
        <v>250.33</v>
      </c>
      <c r="U11" s="424">
        <f>J11*T11</f>
        <v>1001.32</v>
      </c>
      <c r="V11" s="178"/>
    </row>
    <row r="12" spans="1:22" ht="18" customHeight="1">
      <c r="A12" s="428"/>
      <c r="B12" s="429"/>
      <c r="C12" s="430"/>
      <c r="D12" s="267">
        <v>1</v>
      </c>
      <c r="E12" s="267">
        <v>1</v>
      </c>
      <c r="F12" s="267">
        <v>1</v>
      </c>
      <c r="G12" s="267">
        <v>1</v>
      </c>
      <c r="H12" s="267">
        <v>0</v>
      </c>
      <c r="I12" s="267">
        <v>0</v>
      </c>
      <c r="J12" s="428"/>
      <c r="K12" s="115">
        <v>280.89999999999998</v>
      </c>
      <c r="L12" s="115">
        <v>246</v>
      </c>
      <c r="M12" s="115">
        <v>224</v>
      </c>
      <c r="N12" s="116"/>
      <c r="O12" s="115">
        <v>200</v>
      </c>
      <c r="P12" s="115">
        <v>220</v>
      </c>
      <c r="Q12" s="115">
        <v>246</v>
      </c>
      <c r="R12" s="431"/>
      <c r="S12" s="432"/>
      <c r="T12" s="424"/>
      <c r="U12" s="424"/>
      <c r="V12" s="178"/>
    </row>
    <row r="13" spans="1:22" ht="27.6" customHeight="1">
      <c r="A13" s="433">
        <v>7</v>
      </c>
      <c r="B13" s="434" t="s">
        <v>305</v>
      </c>
      <c r="C13" s="435" t="s">
        <v>285</v>
      </c>
      <c r="D13" s="271"/>
      <c r="E13" s="271"/>
      <c r="F13" s="271"/>
      <c r="G13" s="271"/>
      <c r="H13" s="271"/>
      <c r="I13" s="271"/>
      <c r="J13" s="433">
        <f>SUM(D14:I14)</f>
        <v>76</v>
      </c>
      <c r="K13" s="117" t="s">
        <v>301</v>
      </c>
      <c r="L13" s="117" t="s">
        <v>306</v>
      </c>
      <c r="M13" s="117" t="s">
        <v>307</v>
      </c>
      <c r="N13" s="114"/>
      <c r="O13" s="117" t="s">
        <v>289</v>
      </c>
      <c r="P13" s="117" t="s">
        <v>290</v>
      </c>
      <c r="Q13" s="117" t="s">
        <v>291</v>
      </c>
      <c r="R13" s="431"/>
      <c r="S13" s="432">
        <f>TRUNC(R13*J13,2)</f>
        <v>0</v>
      </c>
      <c r="T13" s="424">
        <v>24.92</v>
      </c>
      <c r="U13" s="424">
        <f>J13*T13</f>
        <v>1893.92</v>
      </c>
      <c r="V13" s="178"/>
    </row>
    <row r="14" spans="1:22" ht="19.5" customHeight="1">
      <c r="A14" s="433"/>
      <c r="B14" s="434"/>
      <c r="C14" s="435"/>
      <c r="D14" s="271">
        <v>30</v>
      </c>
      <c r="E14" s="102">
        <v>10</v>
      </c>
      <c r="F14" s="271">
        <v>20</v>
      </c>
      <c r="G14" s="271">
        <v>12</v>
      </c>
      <c r="H14" s="271">
        <v>2</v>
      </c>
      <c r="I14" s="271">
        <v>2</v>
      </c>
      <c r="J14" s="433"/>
      <c r="K14" s="110">
        <v>21.97</v>
      </c>
      <c r="L14" s="110">
        <v>27.9</v>
      </c>
      <c r="M14" s="110">
        <v>24.9</v>
      </c>
      <c r="N14" s="111"/>
      <c r="O14" s="110">
        <v>70</v>
      </c>
      <c r="P14" s="110">
        <v>22</v>
      </c>
      <c r="Q14" s="110">
        <v>16.899999999999999</v>
      </c>
      <c r="R14" s="431"/>
      <c r="S14" s="432"/>
      <c r="T14" s="424"/>
      <c r="U14" s="424"/>
      <c r="V14" s="178"/>
    </row>
    <row r="15" spans="1:22" ht="19.5" customHeight="1">
      <c r="A15" s="428">
        <v>8</v>
      </c>
      <c r="B15" s="429" t="s">
        <v>308</v>
      </c>
      <c r="C15" s="430" t="s">
        <v>285</v>
      </c>
      <c r="D15" s="267"/>
      <c r="E15" s="118"/>
      <c r="F15" s="267"/>
      <c r="G15" s="267"/>
      <c r="H15" s="267"/>
      <c r="I15" s="267"/>
      <c r="J15" s="428">
        <f>SUM(D16:I16)</f>
        <v>9</v>
      </c>
      <c r="K15" s="119" t="s">
        <v>309</v>
      </c>
      <c r="L15" s="119" t="s">
        <v>310</v>
      </c>
      <c r="M15" s="119" t="s">
        <v>311</v>
      </c>
      <c r="N15" s="111"/>
      <c r="O15" s="119" t="s">
        <v>289</v>
      </c>
      <c r="P15" s="119" t="s">
        <v>290</v>
      </c>
      <c r="Q15" s="119" t="s">
        <v>291</v>
      </c>
      <c r="R15" s="431"/>
      <c r="S15" s="432">
        <f>TRUNC(R15*J15,2)</f>
        <v>0</v>
      </c>
      <c r="T15" s="424">
        <v>265.35000000000002</v>
      </c>
      <c r="U15" s="424">
        <f>J15*T15</f>
        <v>2388.15</v>
      </c>
      <c r="V15" s="178"/>
    </row>
    <row r="16" spans="1:22" ht="21" customHeight="1">
      <c r="A16" s="428"/>
      <c r="B16" s="429"/>
      <c r="C16" s="430"/>
      <c r="D16" s="267">
        <v>4</v>
      </c>
      <c r="E16" s="267">
        <v>1</v>
      </c>
      <c r="F16" s="267">
        <v>1</v>
      </c>
      <c r="G16" s="267">
        <v>1</v>
      </c>
      <c r="H16" s="267">
        <v>1</v>
      </c>
      <c r="I16" s="267">
        <v>1</v>
      </c>
      <c r="J16" s="428"/>
      <c r="K16" s="115">
        <v>235.36</v>
      </c>
      <c r="L16" s="115">
        <v>350.94</v>
      </c>
      <c r="M16" s="115">
        <v>209.76</v>
      </c>
      <c r="N16" s="116"/>
      <c r="O16" s="115">
        <v>300</v>
      </c>
      <c r="P16" s="115">
        <v>240</v>
      </c>
      <c r="Q16" s="115">
        <v>319.44</v>
      </c>
      <c r="R16" s="431"/>
      <c r="S16" s="432"/>
      <c r="T16" s="424"/>
      <c r="U16" s="424"/>
      <c r="V16" s="178"/>
    </row>
    <row r="17" spans="1:21" ht="21.6" customHeight="1">
      <c r="A17" s="433">
        <v>9</v>
      </c>
      <c r="B17" s="434" t="s">
        <v>312</v>
      </c>
      <c r="C17" s="435" t="s">
        <v>285</v>
      </c>
      <c r="D17" s="271"/>
      <c r="E17" s="271"/>
      <c r="F17" s="271"/>
      <c r="G17" s="271"/>
      <c r="H17" s="271"/>
      <c r="I17" s="271"/>
      <c r="J17" s="433">
        <f>SUM(D18:I18)</f>
        <v>10</v>
      </c>
      <c r="K17" s="117" t="s">
        <v>293</v>
      </c>
      <c r="L17" s="117" t="s">
        <v>309</v>
      </c>
      <c r="M17" s="117" t="s">
        <v>313</v>
      </c>
      <c r="N17" s="114"/>
      <c r="O17" s="117" t="s">
        <v>289</v>
      </c>
      <c r="P17" s="117" t="s">
        <v>290</v>
      </c>
      <c r="Q17" s="117" t="s">
        <v>291</v>
      </c>
      <c r="R17" s="431"/>
      <c r="S17" s="432">
        <f>TRUNC(R17*J17,2)</f>
        <v>0</v>
      </c>
      <c r="T17" s="424">
        <v>17.36</v>
      </c>
      <c r="U17" s="424">
        <f>J17*T17</f>
        <v>173.6</v>
      </c>
    </row>
    <row r="18" spans="1:21" ht="15.75" customHeight="1">
      <c r="A18" s="433"/>
      <c r="B18" s="434"/>
      <c r="C18" s="435"/>
      <c r="D18" s="271">
        <v>4</v>
      </c>
      <c r="E18" s="271">
        <v>1</v>
      </c>
      <c r="F18" s="271">
        <v>1</v>
      </c>
      <c r="G18" s="271">
        <v>1</v>
      </c>
      <c r="H18" s="271">
        <v>1</v>
      </c>
      <c r="I18" s="271">
        <v>2</v>
      </c>
      <c r="J18" s="433"/>
      <c r="K18" s="110">
        <v>18.5</v>
      </c>
      <c r="L18" s="110">
        <v>16</v>
      </c>
      <c r="M18" s="110">
        <v>17.579999999999998</v>
      </c>
      <c r="N18" s="111"/>
      <c r="O18" s="110">
        <v>50</v>
      </c>
      <c r="P18" s="110">
        <v>25</v>
      </c>
      <c r="Q18" s="110">
        <v>21.9</v>
      </c>
      <c r="R18" s="431"/>
      <c r="S18" s="432"/>
      <c r="T18" s="424"/>
      <c r="U18" s="424"/>
    </row>
    <row r="19" spans="1:21" ht="15.75" customHeight="1">
      <c r="A19" s="428">
        <v>10</v>
      </c>
      <c r="B19" s="429" t="s">
        <v>314</v>
      </c>
      <c r="C19" s="430" t="s">
        <v>285</v>
      </c>
      <c r="D19" s="267"/>
      <c r="E19" s="267"/>
      <c r="F19" s="267"/>
      <c r="G19" s="267"/>
      <c r="H19" s="267"/>
      <c r="I19" s="267"/>
      <c r="J19" s="428">
        <f>SUM(D20:I20)</f>
        <v>27</v>
      </c>
      <c r="K19" s="119" t="s">
        <v>286</v>
      </c>
      <c r="L19" s="119" t="s">
        <v>293</v>
      </c>
      <c r="M19" s="119" t="s">
        <v>315</v>
      </c>
      <c r="N19" s="111"/>
      <c r="O19" s="119" t="s">
        <v>289</v>
      </c>
      <c r="P19" s="119" t="s">
        <v>290</v>
      </c>
      <c r="Q19" s="119" t="s">
        <v>291</v>
      </c>
      <c r="R19" s="431"/>
      <c r="S19" s="432">
        <f>TRUNC(R19*J19,2)</f>
        <v>0</v>
      </c>
      <c r="T19" s="424">
        <v>22.11</v>
      </c>
      <c r="U19" s="424">
        <f>J19*T19</f>
        <v>596.97</v>
      </c>
    </row>
    <row r="20" spans="1:21" ht="20.25" customHeight="1">
      <c r="A20" s="428"/>
      <c r="B20" s="429"/>
      <c r="C20" s="430"/>
      <c r="D20" s="267">
        <v>15</v>
      </c>
      <c r="E20" s="267">
        <v>3</v>
      </c>
      <c r="F20" s="267">
        <v>3</v>
      </c>
      <c r="G20" s="267">
        <v>4</v>
      </c>
      <c r="H20" s="267">
        <v>1</v>
      </c>
      <c r="I20" s="267">
        <v>1</v>
      </c>
      <c r="J20" s="428"/>
      <c r="K20" s="115">
        <v>25.43</v>
      </c>
      <c r="L20" s="115">
        <v>14.9</v>
      </c>
      <c r="M20" s="115">
        <v>25.99</v>
      </c>
      <c r="N20" s="116"/>
      <c r="O20" s="115">
        <v>50</v>
      </c>
      <c r="P20" s="115">
        <v>23</v>
      </c>
      <c r="Q20" s="120">
        <v>0</v>
      </c>
      <c r="R20" s="431"/>
      <c r="S20" s="432"/>
      <c r="T20" s="424"/>
      <c r="U20" s="424"/>
    </row>
    <row r="21" spans="1:21" ht="20.25" customHeight="1">
      <c r="A21" s="433">
        <v>11</v>
      </c>
      <c r="B21" s="434" t="s">
        <v>316</v>
      </c>
      <c r="C21" s="435" t="s">
        <v>285</v>
      </c>
      <c r="D21" s="271"/>
      <c r="E21" s="271"/>
      <c r="F21" s="271"/>
      <c r="G21" s="271"/>
      <c r="H21" s="271"/>
      <c r="I21" s="271"/>
      <c r="J21" s="433">
        <f>SUM(D22:I22)</f>
        <v>17</v>
      </c>
      <c r="K21" s="110" t="s">
        <v>286</v>
      </c>
      <c r="L21" s="110" t="s">
        <v>293</v>
      </c>
      <c r="M21" s="110" t="s">
        <v>309</v>
      </c>
      <c r="N21" s="111"/>
      <c r="O21" s="110" t="s">
        <v>289</v>
      </c>
      <c r="P21" s="110" t="s">
        <v>290</v>
      </c>
      <c r="Q21" s="110" t="s">
        <v>291</v>
      </c>
      <c r="R21" s="431"/>
      <c r="S21" s="432">
        <f>TRUNC(R21*J21,2)</f>
        <v>0</v>
      </c>
      <c r="T21" s="424">
        <v>33.67</v>
      </c>
      <c r="U21" s="424">
        <f>J21*T21</f>
        <v>572.39</v>
      </c>
    </row>
    <row r="22" spans="1:21" ht="21" customHeight="1">
      <c r="A22" s="433"/>
      <c r="B22" s="434"/>
      <c r="C22" s="435"/>
      <c r="D22" s="271">
        <v>6</v>
      </c>
      <c r="E22" s="271">
        <v>2</v>
      </c>
      <c r="F22" s="271">
        <v>2</v>
      </c>
      <c r="G22" s="271">
        <v>3</v>
      </c>
      <c r="H22" s="271">
        <v>1</v>
      </c>
      <c r="I22" s="271">
        <v>3</v>
      </c>
      <c r="J22" s="433"/>
      <c r="K22" s="110">
        <v>29</v>
      </c>
      <c r="L22" s="110">
        <v>34</v>
      </c>
      <c r="M22" s="110">
        <v>38</v>
      </c>
      <c r="N22" s="111"/>
      <c r="O22" s="110">
        <v>30</v>
      </c>
      <c r="P22" s="110">
        <v>26</v>
      </c>
      <c r="Q22" s="110">
        <v>29.9</v>
      </c>
      <c r="R22" s="431"/>
      <c r="S22" s="432"/>
      <c r="T22" s="424"/>
      <c r="U22" s="424"/>
    </row>
    <row r="23" spans="1:21" ht="21" customHeight="1">
      <c r="A23" s="428">
        <v>12</v>
      </c>
      <c r="B23" s="429" t="s">
        <v>317</v>
      </c>
      <c r="C23" s="430" t="s">
        <v>285</v>
      </c>
      <c r="D23" s="267"/>
      <c r="E23" s="267"/>
      <c r="F23" s="267"/>
      <c r="G23" s="267"/>
      <c r="H23" s="267"/>
      <c r="I23" s="267"/>
      <c r="J23" s="428">
        <f>SUM(D24:I24)</f>
        <v>33</v>
      </c>
      <c r="K23" s="113" t="s">
        <v>286</v>
      </c>
      <c r="L23" s="113" t="s">
        <v>287</v>
      </c>
      <c r="M23" s="113" t="s">
        <v>293</v>
      </c>
      <c r="N23" s="114"/>
      <c r="O23" s="113" t="s">
        <v>289</v>
      </c>
      <c r="P23" s="113" t="s">
        <v>290</v>
      </c>
      <c r="Q23" s="113" t="s">
        <v>291</v>
      </c>
      <c r="R23" s="431"/>
      <c r="S23" s="432">
        <f>TRUNC(R23*J23,2)</f>
        <v>0</v>
      </c>
      <c r="T23" s="424">
        <v>32.630000000000003</v>
      </c>
      <c r="U23" s="424">
        <f>J23*T23</f>
        <v>1076.7900000000002</v>
      </c>
    </row>
    <row r="24" spans="1:21" ht="21.6" customHeight="1">
      <c r="A24" s="428"/>
      <c r="B24" s="429"/>
      <c r="C24" s="430"/>
      <c r="D24" s="267">
        <v>11</v>
      </c>
      <c r="E24" s="267">
        <v>2</v>
      </c>
      <c r="F24" s="267">
        <v>12</v>
      </c>
      <c r="G24" s="267">
        <v>4</v>
      </c>
      <c r="H24" s="267">
        <v>2</v>
      </c>
      <c r="I24" s="267">
        <v>2</v>
      </c>
      <c r="J24" s="428"/>
      <c r="K24" s="115">
        <v>34</v>
      </c>
      <c r="L24" s="115">
        <v>38</v>
      </c>
      <c r="M24" s="115">
        <v>25.9</v>
      </c>
      <c r="N24" s="116"/>
      <c r="O24" s="115">
        <v>50</v>
      </c>
      <c r="P24" s="115">
        <v>39</v>
      </c>
      <c r="Q24" s="115">
        <v>35.9</v>
      </c>
      <c r="R24" s="431"/>
      <c r="S24" s="432"/>
      <c r="T24" s="424"/>
      <c r="U24" s="424"/>
    </row>
    <row r="25" spans="1:21" ht="21.6" customHeight="1">
      <c r="A25" s="433">
        <v>13</v>
      </c>
      <c r="B25" s="434" t="s">
        <v>318</v>
      </c>
      <c r="C25" s="435" t="s">
        <v>285</v>
      </c>
      <c r="D25" s="271"/>
      <c r="E25" s="271"/>
      <c r="F25" s="271"/>
      <c r="G25" s="271"/>
      <c r="H25" s="271"/>
      <c r="I25" s="271"/>
      <c r="J25" s="433">
        <f>SUM(D26:I26)</f>
        <v>35</v>
      </c>
      <c r="K25" s="110" t="s">
        <v>286</v>
      </c>
      <c r="L25" s="110" t="s">
        <v>293</v>
      </c>
      <c r="M25" s="110" t="s">
        <v>309</v>
      </c>
      <c r="N25" s="111"/>
      <c r="O25" s="110" t="s">
        <v>289</v>
      </c>
      <c r="P25" s="110" t="s">
        <v>290</v>
      </c>
      <c r="Q25" s="110" t="s">
        <v>291</v>
      </c>
      <c r="R25" s="431"/>
      <c r="S25" s="432">
        <f>TRUNC(R25*J25,2)</f>
        <v>0</v>
      </c>
      <c r="T25" s="424">
        <v>33.67</v>
      </c>
      <c r="U25" s="424">
        <f>J25*T25</f>
        <v>1178.45</v>
      </c>
    </row>
    <row r="26" spans="1:21" ht="77.45" customHeight="1">
      <c r="A26" s="433"/>
      <c r="B26" s="434"/>
      <c r="C26" s="435"/>
      <c r="D26" s="271">
        <v>11</v>
      </c>
      <c r="E26" s="271">
        <v>4</v>
      </c>
      <c r="F26" s="271">
        <v>7</v>
      </c>
      <c r="G26" s="271">
        <v>7</v>
      </c>
      <c r="H26" s="271">
        <v>2</v>
      </c>
      <c r="I26" s="271">
        <v>4</v>
      </c>
      <c r="J26" s="433"/>
      <c r="K26" s="110">
        <v>29</v>
      </c>
      <c r="L26" s="110">
        <v>34</v>
      </c>
      <c r="M26" s="110">
        <v>38</v>
      </c>
      <c r="N26" s="111"/>
      <c r="O26" s="110">
        <v>50</v>
      </c>
      <c r="P26" s="110">
        <v>28</v>
      </c>
      <c r="Q26" s="110">
        <v>59.3</v>
      </c>
      <c r="R26" s="431"/>
      <c r="S26" s="432"/>
      <c r="T26" s="424"/>
      <c r="U26" s="424"/>
    </row>
    <row r="27" spans="1:21" ht="22.15" customHeight="1">
      <c r="A27" s="428">
        <v>14</v>
      </c>
      <c r="B27" s="429" t="s">
        <v>319</v>
      </c>
      <c r="C27" s="430" t="s">
        <v>285</v>
      </c>
      <c r="D27" s="267"/>
      <c r="E27" s="267"/>
      <c r="F27" s="267"/>
      <c r="G27" s="267"/>
      <c r="H27" s="267"/>
      <c r="I27" s="267"/>
      <c r="J27" s="428">
        <f>SUM(D28:I28)</f>
        <v>61</v>
      </c>
      <c r="K27" s="119" t="s">
        <v>309</v>
      </c>
      <c r="L27" s="119" t="s">
        <v>286</v>
      </c>
      <c r="M27" s="119" t="s">
        <v>320</v>
      </c>
      <c r="N27" s="111"/>
      <c r="O27" s="119" t="s">
        <v>289</v>
      </c>
      <c r="P27" s="119" t="s">
        <v>290</v>
      </c>
      <c r="Q27" s="119" t="s">
        <v>291</v>
      </c>
      <c r="R27" s="431"/>
      <c r="S27" s="432">
        <f>TRUNC(R27*J27,2)</f>
        <v>0</v>
      </c>
      <c r="T27" s="424">
        <v>37.270000000000003</v>
      </c>
      <c r="U27" s="424">
        <f>J27*T27</f>
        <v>2273.4700000000003</v>
      </c>
    </row>
    <row r="28" spans="1:21" ht="25.9" customHeight="1">
      <c r="A28" s="428"/>
      <c r="B28" s="429"/>
      <c r="C28" s="430"/>
      <c r="D28" s="267">
        <v>36</v>
      </c>
      <c r="E28" s="267">
        <v>5</v>
      </c>
      <c r="F28" s="267">
        <v>12</v>
      </c>
      <c r="G28" s="267">
        <v>3</v>
      </c>
      <c r="H28" s="267">
        <v>1</v>
      </c>
      <c r="I28" s="267">
        <v>4</v>
      </c>
      <c r="J28" s="428"/>
      <c r="K28" s="115">
        <v>40.32</v>
      </c>
      <c r="L28" s="115">
        <v>39</v>
      </c>
      <c r="M28" s="115">
        <v>32.49</v>
      </c>
      <c r="N28" s="116"/>
      <c r="O28" s="115">
        <v>50</v>
      </c>
      <c r="P28" s="115">
        <v>26</v>
      </c>
      <c r="Q28" s="115">
        <v>29.9</v>
      </c>
      <c r="R28" s="431"/>
      <c r="S28" s="432"/>
      <c r="T28" s="424"/>
      <c r="U28" s="424"/>
    </row>
    <row r="29" spans="1:21" ht="21.6" customHeight="1">
      <c r="A29" s="433">
        <v>15</v>
      </c>
      <c r="B29" s="434" t="s">
        <v>321</v>
      </c>
      <c r="C29" s="435" t="s">
        <v>285</v>
      </c>
      <c r="D29" s="271"/>
      <c r="E29" s="271"/>
      <c r="F29" s="271"/>
      <c r="G29" s="271"/>
      <c r="H29" s="271"/>
      <c r="I29" s="271"/>
      <c r="J29" s="433">
        <f>SUM(D30:I30)</f>
        <v>2</v>
      </c>
      <c r="K29" s="110" t="s">
        <v>300</v>
      </c>
      <c r="L29" s="110" t="s">
        <v>287</v>
      </c>
      <c r="M29" s="110" t="s">
        <v>322</v>
      </c>
      <c r="N29" s="111"/>
      <c r="O29" s="110" t="s">
        <v>289</v>
      </c>
      <c r="P29" s="110" t="s">
        <v>290</v>
      </c>
      <c r="Q29" s="110" t="s">
        <v>291</v>
      </c>
      <c r="R29" s="431"/>
      <c r="S29" s="432">
        <f>TRUNC(R29*J29,2)</f>
        <v>0</v>
      </c>
      <c r="T29" s="424">
        <v>1336.07</v>
      </c>
      <c r="U29" s="424">
        <f>J29*T29</f>
        <v>2672.14</v>
      </c>
    </row>
    <row r="30" spans="1:21" ht="18" customHeight="1">
      <c r="A30" s="433"/>
      <c r="B30" s="434"/>
      <c r="C30" s="435"/>
      <c r="D30" s="271">
        <v>1</v>
      </c>
      <c r="E30" s="271">
        <v>1</v>
      </c>
      <c r="F30" s="271">
        <v>0</v>
      </c>
      <c r="G30" s="271">
        <v>0</v>
      </c>
      <c r="H30" s="271">
        <v>0</v>
      </c>
      <c r="I30" s="271">
        <v>0</v>
      </c>
      <c r="J30" s="433"/>
      <c r="K30" s="110">
        <v>1510.2</v>
      </c>
      <c r="L30" s="110">
        <v>1199</v>
      </c>
      <c r="M30" s="110">
        <v>1299</v>
      </c>
      <c r="N30" s="111"/>
      <c r="O30" s="112">
        <v>2500</v>
      </c>
      <c r="P30" s="110">
        <v>1350</v>
      </c>
      <c r="Q30" s="110">
        <v>1530</v>
      </c>
      <c r="R30" s="431"/>
      <c r="S30" s="432"/>
      <c r="T30" s="424"/>
      <c r="U30" s="424"/>
    </row>
    <row r="31" spans="1:21" ht="19.899999999999999" customHeight="1">
      <c r="A31" s="428">
        <v>16</v>
      </c>
      <c r="B31" s="429" t="s">
        <v>323</v>
      </c>
      <c r="C31" s="430" t="s">
        <v>285</v>
      </c>
      <c r="D31" s="267"/>
      <c r="E31" s="267"/>
      <c r="F31" s="267"/>
      <c r="G31" s="267"/>
      <c r="H31" s="267"/>
      <c r="I31" s="267"/>
      <c r="J31" s="428">
        <f>SUM(D32:I32)</f>
        <v>7</v>
      </c>
      <c r="K31" s="119" t="s">
        <v>309</v>
      </c>
      <c r="L31" s="119" t="s">
        <v>287</v>
      </c>
      <c r="M31" s="119" t="s">
        <v>324</v>
      </c>
      <c r="N31" s="111"/>
      <c r="O31" s="119" t="s">
        <v>289</v>
      </c>
      <c r="P31" s="119" t="s">
        <v>290</v>
      </c>
      <c r="Q31" s="119" t="s">
        <v>291</v>
      </c>
      <c r="R31" s="431"/>
      <c r="S31" s="432">
        <f>TRUNC(R31*J31,2)</f>
        <v>0</v>
      </c>
      <c r="T31" s="424">
        <v>789.38</v>
      </c>
      <c r="U31" s="424">
        <f>J31*T31</f>
        <v>5525.66</v>
      </c>
    </row>
    <row r="32" spans="1:21" ht="18.600000000000001" customHeight="1">
      <c r="A32" s="428"/>
      <c r="B32" s="429"/>
      <c r="C32" s="430"/>
      <c r="D32" s="267">
        <v>1</v>
      </c>
      <c r="E32" s="267">
        <v>1</v>
      </c>
      <c r="F32" s="267">
        <v>1</v>
      </c>
      <c r="G32" s="267">
        <v>1</v>
      </c>
      <c r="H32" s="267">
        <v>1</v>
      </c>
      <c r="I32" s="267">
        <v>2</v>
      </c>
      <c r="J32" s="428"/>
      <c r="K32" s="115">
        <v>769.6</v>
      </c>
      <c r="L32" s="115">
        <v>697.3</v>
      </c>
      <c r="M32" s="115">
        <v>901.24</v>
      </c>
      <c r="N32" s="116"/>
      <c r="O32" s="115">
        <v>350</v>
      </c>
      <c r="P32" s="115">
        <v>250</v>
      </c>
      <c r="Q32" s="115">
        <v>289</v>
      </c>
      <c r="R32" s="431"/>
      <c r="S32" s="432"/>
      <c r="T32" s="424"/>
      <c r="U32" s="424"/>
    </row>
    <row r="33" spans="1:21" ht="19.899999999999999" customHeight="1">
      <c r="A33" s="433">
        <v>17</v>
      </c>
      <c r="B33" s="434" t="s">
        <v>325</v>
      </c>
      <c r="C33" s="435" t="s">
        <v>285</v>
      </c>
      <c r="D33" s="271"/>
      <c r="E33" s="271"/>
      <c r="F33" s="271"/>
      <c r="G33" s="271"/>
      <c r="H33" s="271"/>
      <c r="I33" s="271"/>
      <c r="J33" s="433">
        <f>SUM(D34:I34)</f>
        <v>5</v>
      </c>
      <c r="K33" s="110" t="s">
        <v>293</v>
      </c>
      <c r="L33" s="110" t="s">
        <v>287</v>
      </c>
      <c r="M33" s="110" t="s">
        <v>309</v>
      </c>
      <c r="N33" s="111"/>
      <c r="O33" s="110" t="s">
        <v>289</v>
      </c>
      <c r="P33" s="110" t="s">
        <v>290</v>
      </c>
      <c r="Q33" s="110" t="s">
        <v>291</v>
      </c>
      <c r="R33" s="431"/>
      <c r="S33" s="432">
        <f>TRUNC(R33*J33,2)</f>
        <v>0</v>
      </c>
      <c r="T33" s="424">
        <v>132.6</v>
      </c>
      <c r="U33" s="424">
        <f>J33*T33</f>
        <v>663</v>
      </c>
    </row>
    <row r="34" spans="1:21" ht="18" customHeight="1">
      <c r="A34" s="433"/>
      <c r="B34" s="434"/>
      <c r="C34" s="435"/>
      <c r="D34" s="271">
        <v>2</v>
      </c>
      <c r="E34" s="271">
        <v>0</v>
      </c>
      <c r="F34" s="271">
        <v>1</v>
      </c>
      <c r="G34" s="271">
        <v>1</v>
      </c>
      <c r="H34" s="271">
        <v>0</v>
      </c>
      <c r="I34" s="271">
        <v>1</v>
      </c>
      <c r="J34" s="433"/>
      <c r="K34" s="110">
        <v>135.9</v>
      </c>
      <c r="L34" s="110">
        <v>117.9</v>
      </c>
      <c r="M34" s="110">
        <v>149.99</v>
      </c>
      <c r="N34" s="111"/>
      <c r="O34" s="110">
        <v>190</v>
      </c>
      <c r="P34" s="110">
        <v>180</v>
      </c>
      <c r="Q34" s="110">
        <v>198</v>
      </c>
      <c r="R34" s="431"/>
      <c r="S34" s="432"/>
      <c r="T34" s="424"/>
      <c r="U34" s="424"/>
    </row>
    <row r="35" spans="1:21" ht="19.149999999999999" customHeight="1">
      <c r="A35" s="428">
        <v>18</v>
      </c>
      <c r="B35" s="429" t="s">
        <v>326</v>
      </c>
      <c r="C35" s="430" t="s">
        <v>285</v>
      </c>
      <c r="D35" s="267"/>
      <c r="E35" s="267"/>
      <c r="F35" s="267"/>
      <c r="G35" s="267"/>
      <c r="H35" s="267"/>
      <c r="I35" s="267"/>
      <c r="J35" s="428">
        <f>SUM(D36:I36)</f>
        <v>3</v>
      </c>
      <c r="K35" s="119" t="s">
        <v>293</v>
      </c>
      <c r="L35" s="119" t="s">
        <v>287</v>
      </c>
      <c r="M35" s="119" t="s">
        <v>327</v>
      </c>
      <c r="N35" s="111"/>
      <c r="O35" s="119" t="s">
        <v>289</v>
      </c>
      <c r="P35" s="119" t="s">
        <v>290</v>
      </c>
      <c r="Q35" s="119" t="s">
        <v>291</v>
      </c>
      <c r="R35" s="431"/>
      <c r="S35" s="432">
        <f>TRUNC(R35*J35,2)</f>
        <v>0</v>
      </c>
      <c r="T35" s="424">
        <v>104.63</v>
      </c>
      <c r="U35" s="424">
        <f>J35*T35</f>
        <v>313.89</v>
      </c>
    </row>
    <row r="36" spans="1:21" ht="22.15" customHeight="1">
      <c r="A36" s="428"/>
      <c r="B36" s="429"/>
      <c r="C36" s="430"/>
      <c r="D36" s="267">
        <v>2</v>
      </c>
      <c r="E36" s="267">
        <v>0</v>
      </c>
      <c r="F36" s="267">
        <v>0</v>
      </c>
      <c r="G36" s="267">
        <v>0</v>
      </c>
      <c r="H36" s="267">
        <v>0</v>
      </c>
      <c r="I36" s="267">
        <v>1</v>
      </c>
      <c r="J36" s="428"/>
      <c r="K36" s="115">
        <v>104.06</v>
      </c>
      <c r="L36" s="115">
        <v>109.94</v>
      </c>
      <c r="M36" s="115">
        <v>99.9</v>
      </c>
      <c r="N36" s="116"/>
      <c r="O36" s="115">
        <v>200</v>
      </c>
      <c r="P36" s="115">
        <v>120</v>
      </c>
      <c r="Q36" s="115">
        <v>190</v>
      </c>
      <c r="R36" s="431"/>
      <c r="S36" s="432"/>
      <c r="T36" s="424"/>
      <c r="U36" s="424"/>
    </row>
    <row r="37" spans="1:21" ht="17.45" customHeight="1">
      <c r="A37" s="433">
        <v>19</v>
      </c>
      <c r="B37" s="434" t="s">
        <v>328</v>
      </c>
      <c r="C37" s="435" t="s">
        <v>285</v>
      </c>
      <c r="D37" s="271"/>
      <c r="E37" s="271"/>
      <c r="F37" s="271"/>
      <c r="G37" s="271"/>
      <c r="H37" s="271"/>
      <c r="I37" s="271"/>
      <c r="J37" s="433">
        <f>SUM(D38:I38)</f>
        <v>7</v>
      </c>
      <c r="K37" s="121" t="s">
        <v>286</v>
      </c>
      <c r="L37" s="121" t="s">
        <v>329</v>
      </c>
      <c r="M37" s="121" t="s">
        <v>288</v>
      </c>
      <c r="N37" s="116"/>
      <c r="O37" s="121" t="s">
        <v>289</v>
      </c>
      <c r="P37" s="121" t="s">
        <v>290</v>
      </c>
      <c r="Q37" s="121" t="s">
        <v>291</v>
      </c>
      <c r="R37" s="431"/>
      <c r="S37" s="432">
        <f>TRUNC(R37*J37,2)</f>
        <v>0</v>
      </c>
      <c r="T37" s="424">
        <v>253.6</v>
      </c>
      <c r="U37" s="424">
        <f>J37*T37</f>
        <v>1775.2</v>
      </c>
    </row>
    <row r="38" spans="1:21" ht="17.45" customHeight="1">
      <c r="A38" s="433"/>
      <c r="B38" s="434"/>
      <c r="C38" s="435"/>
      <c r="D38" s="271">
        <v>2</v>
      </c>
      <c r="E38" s="271">
        <v>1</v>
      </c>
      <c r="F38" s="271">
        <v>1</v>
      </c>
      <c r="G38" s="271">
        <v>1</v>
      </c>
      <c r="H38" s="271">
        <v>1</v>
      </c>
      <c r="I38" s="271">
        <v>1</v>
      </c>
      <c r="J38" s="433"/>
      <c r="K38" s="121">
        <v>265</v>
      </c>
      <c r="L38" s="121">
        <v>234.9</v>
      </c>
      <c r="M38" s="121">
        <v>260.89999999999998</v>
      </c>
      <c r="N38" s="116"/>
      <c r="O38" s="121">
        <v>180</v>
      </c>
      <c r="P38" s="121">
        <v>200</v>
      </c>
      <c r="Q38" s="121">
        <v>185</v>
      </c>
      <c r="R38" s="431"/>
      <c r="S38" s="432"/>
      <c r="T38" s="424"/>
      <c r="U38" s="424"/>
    </row>
    <row r="39" spans="1:21" ht="18.600000000000001" customHeight="1">
      <c r="A39" s="428">
        <v>20</v>
      </c>
      <c r="B39" s="429" t="s">
        <v>330</v>
      </c>
      <c r="C39" s="430" t="s">
        <v>285</v>
      </c>
      <c r="D39" s="267"/>
      <c r="E39" s="267"/>
      <c r="F39" s="267"/>
      <c r="G39" s="267"/>
      <c r="H39" s="267"/>
      <c r="I39" s="267"/>
      <c r="J39" s="428">
        <f>SUM(D40:I40)</f>
        <v>6</v>
      </c>
      <c r="K39" s="119" t="s">
        <v>301</v>
      </c>
      <c r="L39" s="119" t="s">
        <v>287</v>
      </c>
      <c r="M39" s="119" t="s">
        <v>293</v>
      </c>
      <c r="N39" s="111"/>
      <c r="O39" s="119" t="s">
        <v>289</v>
      </c>
      <c r="P39" s="119" t="s">
        <v>290</v>
      </c>
      <c r="Q39" s="119" t="s">
        <v>291</v>
      </c>
      <c r="R39" s="431"/>
      <c r="S39" s="432">
        <f>TRUNC(R39*J39,2)</f>
        <v>0</v>
      </c>
      <c r="T39" s="424">
        <v>1078.93</v>
      </c>
      <c r="U39" s="424">
        <f>J39*T39</f>
        <v>6473.58</v>
      </c>
    </row>
    <row r="40" spans="1:21" ht="25.15" customHeight="1">
      <c r="A40" s="428"/>
      <c r="B40" s="429"/>
      <c r="C40" s="430"/>
      <c r="D40" s="267">
        <v>1</v>
      </c>
      <c r="E40" s="267">
        <v>1</v>
      </c>
      <c r="F40" s="267">
        <v>1</v>
      </c>
      <c r="G40" s="267">
        <v>1</v>
      </c>
      <c r="H40" s="267">
        <v>1</v>
      </c>
      <c r="I40" s="267">
        <v>1</v>
      </c>
      <c r="J40" s="428"/>
      <c r="K40" s="119">
        <v>919.99</v>
      </c>
      <c r="L40" s="119">
        <v>1199.9000000000001</v>
      </c>
      <c r="M40" s="119">
        <v>1116.9000000000001</v>
      </c>
      <c r="N40" s="111"/>
      <c r="O40" s="119">
        <v>1700</v>
      </c>
      <c r="P40" s="119">
        <v>520</v>
      </c>
      <c r="Q40" s="119">
        <v>1600</v>
      </c>
      <c r="R40" s="431"/>
      <c r="S40" s="432"/>
      <c r="T40" s="424"/>
      <c r="U40" s="424"/>
    </row>
    <row r="41" spans="1:21" ht="19.899999999999999" customHeight="1">
      <c r="A41" s="433">
        <v>21</v>
      </c>
      <c r="B41" s="434" t="s">
        <v>331</v>
      </c>
      <c r="C41" s="435" t="s">
        <v>285</v>
      </c>
      <c r="D41" s="271"/>
      <c r="E41" s="271"/>
      <c r="F41" s="271"/>
      <c r="G41" s="271"/>
      <c r="H41" s="271"/>
      <c r="I41" s="271"/>
      <c r="J41" s="433">
        <f>SUM(D42:I42)</f>
        <v>97</v>
      </c>
      <c r="K41" s="110" t="s">
        <v>310</v>
      </c>
      <c r="L41" s="110" t="s">
        <v>332</v>
      </c>
      <c r="M41" s="110" t="s">
        <v>311</v>
      </c>
      <c r="N41" s="111"/>
      <c r="O41" s="110" t="s">
        <v>289</v>
      </c>
      <c r="P41" s="110" t="s">
        <v>290</v>
      </c>
      <c r="Q41" s="110" t="s">
        <v>291</v>
      </c>
      <c r="R41" s="431"/>
      <c r="S41" s="432">
        <f>TRUNC(R41*J41,2)</f>
        <v>0</v>
      </c>
      <c r="T41" s="424">
        <v>29.87</v>
      </c>
      <c r="U41" s="424">
        <f>J41*T41</f>
        <v>2897.39</v>
      </c>
    </row>
    <row r="42" spans="1:21" ht="16.899999999999999" customHeight="1">
      <c r="A42" s="433"/>
      <c r="B42" s="434"/>
      <c r="C42" s="435"/>
      <c r="D42" s="271">
        <v>51</v>
      </c>
      <c r="E42" s="271">
        <v>10</v>
      </c>
      <c r="F42" s="271">
        <v>12</v>
      </c>
      <c r="G42" s="271">
        <v>12</v>
      </c>
      <c r="H42" s="271">
        <v>2</v>
      </c>
      <c r="I42" s="271">
        <v>10</v>
      </c>
      <c r="J42" s="433"/>
      <c r="K42" s="110">
        <v>25</v>
      </c>
      <c r="L42" s="110">
        <v>34.9</v>
      </c>
      <c r="M42" s="110">
        <v>28.8</v>
      </c>
      <c r="N42" s="111"/>
      <c r="O42" s="110">
        <v>30</v>
      </c>
      <c r="P42" s="110">
        <v>15</v>
      </c>
      <c r="Q42" s="110">
        <v>23.9</v>
      </c>
      <c r="R42" s="431"/>
      <c r="S42" s="432"/>
      <c r="T42" s="424"/>
      <c r="U42" s="424"/>
    </row>
    <row r="43" spans="1:21" ht="19.899999999999999" customHeight="1">
      <c r="A43" s="428">
        <v>22</v>
      </c>
      <c r="B43" s="429" t="s">
        <v>333</v>
      </c>
      <c r="C43" s="430" t="s">
        <v>285</v>
      </c>
      <c r="D43" s="267"/>
      <c r="E43" s="267"/>
      <c r="F43" s="267"/>
      <c r="G43" s="267"/>
      <c r="H43" s="267"/>
      <c r="I43" s="267"/>
      <c r="J43" s="428">
        <v>20</v>
      </c>
      <c r="K43" s="119" t="s">
        <v>286</v>
      </c>
      <c r="L43" s="119" t="s">
        <v>293</v>
      </c>
      <c r="M43" s="122" t="s">
        <v>309</v>
      </c>
      <c r="N43" s="111"/>
      <c r="O43" s="119" t="s">
        <v>289</v>
      </c>
      <c r="P43" s="119" t="s">
        <v>290</v>
      </c>
      <c r="Q43" s="119" t="s">
        <v>291</v>
      </c>
      <c r="R43" s="431"/>
      <c r="S43" s="432">
        <f>TRUNC(R43*J43,2)</f>
        <v>0</v>
      </c>
      <c r="T43" s="424">
        <v>56.25</v>
      </c>
      <c r="U43" s="424">
        <f>J43*T43</f>
        <v>1125</v>
      </c>
    </row>
    <row r="44" spans="1:21" ht="17.45" customHeight="1">
      <c r="A44" s="428"/>
      <c r="B44" s="429"/>
      <c r="C44" s="430"/>
      <c r="D44" s="267">
        <v>5</v>
      </c>
      <c r="E44" s="267">
        <v>1</v>
      </c>
      <c r="F44" s="267">
        <v>4</v>
      </c>
      <c r="G44" s="267">
        <v>1</v>
      </c>
      <c r="H44" s="267">
        <v>1</v>
      </c>
      <c r="I44" s="267">
        <v>3</v>
      </c>
      <c r="J44" s="428"/>
      <c r="K44" s="115">
        <v>57.59</v>
      </c>
      <c r="L44" s="115">
        <v>53.88</v>
      </c>
      <c r="M44" s="115">
        <v>57.28</v>
      </c>
      <c r="N44" s="116"/>
      <c r="O44" s="115">
        <v>180</v>
      </c>
      <c r="P44" s="115">
        <v>65</v>
      </c>
      <c r="Q44" s="115">
        <v>52.16</v>
      </c>
      <c r="R44" s="431"/>
      <c r="S44" s="432"/>
      <c r="T44" s="424"/>
      <c r="U44" s="424"/>
    </row>
    <row r="45" spans="1:21" ht="16.899999999999999" customHeight="1">
      <c r="A45" s="433">
        <v>23</v>
      </c>
      <c r="B45" s="434" t="s">
        <v>334</v>
      </c>
      <c r="C45" s="435" t="s">
        <v>285</v>
      </c>
      <c r="D45" s="271"/>
      <c r="E45" s="271"/>
      <c r="F45" s="271"/>
      <c r="G45" s="271"/>
      <c r="H45" s="271"/>
      <c r="I45" s="271"/>
      <c r="J45" s="433">
        <f>SUM(D46:I46)</f>
        <v>9</v>
      </c>
      <c r="K45" s="110" t="s">
        <v>335</v>
      </c>
      <c r="L45" s="110" t="s">
        <v>286</v>
      </c>
      <c r="M45" s="110" t="s">
        <v>336</v>
      </c>
      <c r="N45" s="111"/>
      <c r="O45" s="110" t="s">
        <v>289</v>
      </c>
      <c r="P45" s="110" t="s">
        <v>290</v>
      </c>
      <c r="Q45" s="110" t="s">
        <v>291</v>
      </c>
      <c r="R45" s="431"/>
      <c r="S45" s="432">
        <f>TRUNC(R45*J45,2)</f>
        <v>0</v>
      </c>
      <c r="T45" s="424">
        <v>561.71</v>
      </c>
      <c r="U45" s="424">
        <f>J45*T45</f>
        <v>5055.3900000000003</v>
      </c>
    </row>
    <row r="46" spans="1:21" ht="17.45" customHeight="1">
      <c r="A46" s="433"/>
      <c r="B46" s="434"/>
      <c r="C46" s="435"/>
      <c r="D46" s="271">
        <v>3</v>
      </c>
      <c r="E46" s="271">
        <v>1</v>
      </c>
      <c r="F46" s="271">
        <v>2</v>
      </c>
      <c r="G46" s="271">
        <v>1</v>
      </c>
      <c r="H46" s="271">
        <v>1</v>
      </c>
      <c r="I46" s="271">
        <v>1</v>
      </c>
      <c r="J46" s="433"/>
      <c r="K46" s="110">
        <v>494.14</v>
      </c>
      <c r="L46" s="110">
        <v>473.9</v>
      </c>
      <c r="M46" s="110">
        <v>717.09</v>
      </c>
      <c r="N46" s="111"/>
      <c r="O46" s="110">
        <v>360</v>
      </c>
      <c r="P46" s="110">
        <v>330</v>
      </c>
      <c r="Q46" s="110">
        <v>186.9</v>
      </c>
      <c r="R46" s="431"/>
      <c r="S46" s="432"/>
      <c r="T46" s="424"/>
      <c r="U46" s="424"/>
    </row>
    <row r="47" spans="1:21" ht="17.45" customHeight="1">
      <c r="A47" s="428">
        <v>24</v>
      </c>
      <c r="B47" s="429" t="s">
        <v>337</v>
      </c>
      <c r="C47" s="430" t="s">
        <v>285</v>
      </c>
      <c r="D47" s="267"/>
      <c r="E47" s="267"/>
      <c r="F47" s="267"/>
      <c r="G47" s="267"/>
      <c r="H47" s="267"/>
      <c r="I47" s="267"/>
      <c r="J47" s="428">
        <f>SUM(D48:I48)</f>
        <v>15</v>
      </c>
      <c r="K47" s="119" t="s">
        <v>286</v>
      </c>
      <c r="L47" s="119" t="s">
        <v>287</v>
      </c>
      <c r="M47" s="119" t="s">
        <v>293</v>
      </c>
      <c r="N47" s="111"/>
      <c r="O47" s="119" t="s">
        <v>289</v>
      </c>
      <c r="P47" s="119" t="s">
        <v>290</v>
      </c>
      <c r="Q47" s="119" t="s">
        <v>291</v>
      </c>
      <c r="R47" s="431"/>
      <c r="S47" s="432">
        <f>TRUNC(R47*J47,2)</f>
        <v>0</v>
      </c>
      <c r="T47" s="424">
        <v>31.52</v>
      </c>
      <c r="U47" s="424">
        <f>J47*T47</f>
        <v>472.8</v>
      </c>
    </row>
    <row r="48" spans="1:21" ht="33" customHeight="1">
      <c r="A48" s="428"/>
      <c r="B48" s="429"/>
      <c r="C48" s="430"/>
      <c r="D48" s="267">
        <v>6</v>
      </c>
      <c r="E48" s="267">
        <v>2</v>
      </c>
      <c r="F48" s="267">
        <v>3</v>
      </c>
      <c r="G48" s="267">
        <v>2</v>
      </c>
      <c r="H48" s="267">
        <v>1</v>
      </c>
      <c r="I48" s="267">
        <v>1</v>
      </c>
      <c r="J48" s="428"/>
      <c r="K48" s="115">
        <v>29.99</v>
      </c>
      <c r="L48" s="115">
        <v>31.9</v>
      </c>
      <c r="M48" s="115">
        <v>32.68</v>
      </c>
      <c r="N48" s="116"/>
      <c r="O48" s="115">
        <v>40</v>
      </c>
      <c r="P48" s="115">
        <v>18</v>
      </c>
      <c r="Q48" s="115">
        <v>44.98</v>
      </c>
      <c r="R48" s="431"/>
      <c r="S48" s="432"/>
      <c r="T48" s="424"/>
      <c r="U48" s="424"/>
    </row>
    <row r="49" spans="1:21" ht="33" customHeight="1">
      <c r="A49" s="123">
        <v>25</v>
      </c>
      <c r="B49" s="124" t="s">
        <v>338</v>
      </c>
      <c r="C49" s="125" t="s">
        <v>285</v>
      </c>
      <c r="D49" s="123"/>
      <c r="E49" s="123"/>
      <c r="F49" s="123"/>
      <c r="G49" s="123"/>
      <c r="H49" s="123"/>
      <c r="I49" s="123"/>
      <c r="J49" s="123">
        <v>3</v>
      </c>
      <c r="K49" s="115"/>
      <c r="L49" s="115"/>
      <c r="M49" s="115"/>
      <c r="N49" s="116"/>
      <c r="O49" s="115"/>
      <c r="P49" s="115"/>
      <c r="Q49" s="115"/>
      <c r="R49" s="270"/>
      <c r="S49" s="270"/>
      <c r="T49" s="266"/>
      <c r="U49" s="266"/>
    </row>
    <row r="50" spans="1:21" ht="33" customHeight="1">
      <c r="A50" s="267">
        <v>26</v>
      </c>
      <c r="B50" s="268" t="s">
        <v>339</v>
      </c>
      <c r="C50" s="269" t="s">
        <v>285</v>
      </c>
      <c r="D50" s="267"/>
      <c r="E50" s="267"/>
      <c r="F50" s="267"/>
      <c r="G50" s="267"/>
      <c r="H50" s="267"/>
      <c r="I50" s="267"/>
      <c r="J50" s="267">
        <v>3</v>
      </c>
      <c r="K50" s="115"/>
      <c r="L50" s="115"/>
      <c r="M50" s="115"/>
      <c r="N50" s="116"/>
      <c r="O50" s="115"/>
      <c r="P50" s="115"/>
      <c r="Q50" s="115"/>
      <c r="R50" s="270"/>
      <c r="S50" s="270"/>
      <c r="T50" s="266"/>
      <c r="U50" s="266"/>
    </row>
    <row r="51" spans="1:21" ht="33" customHeight="1">
      <c r="A51" s="123">
        <v>27</v>
      </c>
      <c r="B51" s="124" t="s">
        <v>340</v>
      </c>
      <c r="C51" s="125" t="s">
        <v>285</v>
      </c>
      <c r="D51" s="123"/>
      <c r="E51" s="123"/>
      <c r="F51" s="123"/>
      <c r="G51" s="123"/>
      <c r="H51" s="123"/>
      <c r="I51" s="123"/>
      <c r="J51" s="123">
        <v>3</v>
      </c>
      <c r="K51" s="115"/>
      <c r="L51" s="115"/>
      <c r="M51" s="115"/>
      <c r="N51" s="116"/>
      <c r="O51" s="115"/>
      <c r="P51" s="115"/>
      <c r="Q51" s="115"/>
      <c r="R51" s="270"/>
      <c r="S51" s="270"/>
      <c r="T51" s="266"/>
      <c r="U51" s="266"/>
    </row>
    <row r="52" spans="1:21" ht="33" customHeight="1">
      <c r="A52" s="267">
        <v>28</v>
      </c>
      <c r="B52" s="268" t="s">
        <v>341</v>
      </c>
      <c r="C52" s="269" t="s">
        <v>285</v>
      </c>
      <c r="D52" s="267"/>
      <c r="E52" s="267"/>
      <c r="F52" s="267"/>
      <c r="G52" s="267"/>
      <c r="H52" s="267"/>
      <c r="I52" s="267"/>
      <c r="J52" s="267">
        <v>2</v>
      </c>
      <c r="K52" s="115"/>
      <c r="L52" s="115"/>
      <c r="M52" s="115"/>
      <c r="N52" s="116"/>
      <c r="O52" s="115"/>
      <c r="P52" s="115"/>
      <c r="Q52" s="115"/>
      <c r="R52" s="270"/>
      <c r="S52" s="270"/>
      <c r="T52" s="266"/>
      <c r="U52" s="266"/>
    </row>
    <row r="53" spans="1:21" ht="19.149999999999999" customHeight="1">
      <c r="A53" s="433">
        <v>29</v>
      </c>
      <c r="B53" s="434" t="s">
        <v>342</v>
      </c>
      <c r="C53" s="435" t="s">
        <v>285</v>
      </c>
      <c r="D53" s="271"/>
      <c r="E53" s="271"/>
      <c r="F53" s="271"/>
      <c r="G53" s="271"/>
      <c r="H53" s="271"/>
      <c r="I53" s="271"/>
      <c r="J53" s="433">
        <f>SUM(D54:I54)</f>
        <v>5</v>
      </c>
      <c r="K53" s="121" t="s">
        <v>309</v>
      </c>
      <c r="L53" s="121" t="s">
        <v>287</v>
      </c>
      <c r="M53" s="121" t="s">
        <v>301</v>
      </c>
      <c r="N53" s="116"/>
      <c r="O53" s="121" t="s">
        <v>289</v>
      </c>
      <c r="P53" s="121" t="s">
        <v>290</v>
      </c>
      <c r="Q53" s="121" t="s">
        <v>291</v>
      </c>
      <c r="R53" s="431"/>
      <c r="S53" s="432">
        <f>TRUNC(R53*J53,2)</f>
        <v>0</v>
      </c>
      <c r="T53" s="424">
        <v>629.9</v>
      </c>
      <c r="U53" s="424">
        <f>J53*T53</f>
        <v>3149.5</v>
      </c>
    </row>
    <row r="54" spans="1:21" ht="27.6" customHeight="1">
      <c r="A54" s="433"/>
      <c r="B54" s="434"/>
      <c r="C54" s="435"/>
      <c r="D54" s="271">
        <v>1</v>
      </c>
      <c r="E54" s="271">
        <v>1</v>
      </c>
      <c r="F54" s="271">
        <v>1</v>
      </c>
      <c r="G54" s="271">
        <v>1</v>
      </c>
      <c r="H54" s="271">
        <v>0</v>
      </c>
      <c r="I54" s="271">
        <v>1</v>
      </c>
      <c r="J54" s="433"/>
      <c r="K54" s="121">
        <v>646.9</v>
      </c>
      <c r="L54" s="121">
        <v>489.9</v>
      </c>
      <c r="M54" s="121">
        <v>749.9</v>
      </c>
      <c r="N54" s="116"/>
      <c r="O54" s="121">
        <v>900</v>
      </c>
      <c r="P54" s="121">
        <v>1450</v>
      </c>
      <c r="Q54" s="121">
        <v>1800</v>
      </c>
      <c r="R54" s="431"/>
      <c r="S54" s="432"/>
      <c r="T54" s="424"/>
      <c r="U54" s="424"/>
    </row>
    <row r="55" spans="1:21" ht="18" customHeight="1">
      <c r="A55" s="428">
        <v>30</v>
      </c>
      <c r="B55" s="429" t="s">
        <v>343</v>
      </c>
      <c r="C55" s="430" t="s">
        <v>285</v>
      </c>
      <c r="D55" s="267"/>
      <c r="E55" s="267"/>
      <c r="F55" s="267"/>
      <c r="G55" s="267"/>
      <c r="H55" s="267"/>
      <c r="I55" s="267"/>
      <c r="J55" s="428" t="e">
        <f>SUM(#REF!)</f>
        <v>#REF!</v>
      </c>
      <c r="K55" s="119" t="s">
        <v>344</v>
      </c>
      <c r="L55" s="119" t="s">
        <v>336</v>
      </c>
      <c r="M55" s="119" t="s">
        <v>287</v>
      </c>
      <c r="N55" s="111"/>
      <c r="O55" s="119" t="s">
        <v>289</v>
      </c>
      <c r="P55" s="119" t="s">
        <v>290</v>
      </c>
      <c r="Q55" s="119" t="s">
        <v>291</v>
      </c>
      <c r="R55" s="431"/>
      <c r="S55" s="432" t="e">
        <f>TRUNC(R55*J55,2)</f>
        <v>#REF!</v>
      </c>
      <c r="T55" s="424">
        <v>52.75</v>
      </c>
      <c r="U55" s="424" t="e">
        <f>J55*T55</f>
        <v>#REF!</v>
      </c>
    </row>
    <row r="56" spans="1:21" ht="18" customHeight="1">
      <c r="A56" s="428"/>
      <c r="B56" s="429"/>
      <c r="C56" s="430"/>
      <c r="D56" s="267"/>
      <c r="E56" s="267"/>
      <c r="F56" s="267"/>
      <c r="G56" s="267"/>
      <c r="H56" s="267"/>
      <c r="I56" s="267"/>
      <c r="J56" s="428"/>
      <c r="K56" s="119"/>
      <c r="L56" s="119"/>
      <c r="M56" s="119"/>
      <c r="N56" s="111"/>
      <c r="O56" s="119"/>
      <c r="P56" s="119"/>
      <c r="Q56" s="119"/>
      <c r="R56" s="431"/>
      <c r="S56" s="432"/>
      <c r="T56" s="424"/>
      <c r="U56" s="424"/>
    </row>
    <row r="57" spans="1:21" ht="18" customHeight="1">
      <c r="A57" s="428"/>
      <c r="B57" s="429"/>
      <c r="C57" s="430"/>
      <c r="D57" s="267"/>
      <c r="E57" s="267"/>
      <c r="F57" s="267"/>
      <c r="G57" s="267"/>
      <c r="H57" s="267"/>
      <c r="I57" s="267"/>
      <c r="J57" s="428"/>
      <c r="K57" s="119"/>
      <c r="L57" s="119"/>
      <c r="M57" s="119"/>
      <c r="N57" s="111"/>
      <c r="O57" s="119"/>
      <c r="P57" s="119"/>
      <c r="Q57" s="119"/>
      <c r="R57" s="431"/>
      <c r="S57" s="432"/>
      <c r="T57" s="424"/>
      <c r="U57" s="424"/>
    </row>
    <row r="58" spans="1:21" ht="21" customHeight="1">
      <c r="A58" s="425" t="s">
        <v>345</v>
      </c>
      <c r="B58" s="425"/>
      <c r="C58" s="425"/>
      <c r="D58" s="425"/>
      <c r="E58" s="425"/>
      <c r="F58" s="425"/>
      <c r="G58" s="425"/>
      <c r="H58" s="425"/>
      <c r="I58" s="425"/>
      <c r="J58" s="425"/>
      <c r="K58" s="425"/>
      <c r="L58" s="425"/>
      <c r="M58" s="425"/>
      <c r="N58" s="425"/>
      <c r="O58" s="425"/>
      <c r="P58" s="425"/>
      <c r="Q58" s="425"/>
      <c r="R58" s="425"/>
      <c r="S58" s="126" t="e">
        <f>SUM(S3:S55)</f>
        <v>#REF!</v>
      </c>
      <c r="T58" s="127"/>
      <c r="U58" s="128" t="e">
        <f>SUM(U3:U55)</f>
        <v>#REF!</v>
      </c>
    </row>
    <row r="59" spans="1:21" ht="24" customHeight="1">
      <c r="A59" s="426" t="s">
        <v>346</v>
      </c>
      <c r="B59" s="426"/>
      <c r="C59" s="426"/>
      <c r="D59" s="426"/>
      <c r="E59" s="426"/>
      <c r="F59" s="426"/>
      <c r="G59" s="426"/>
      <c r="H59" s="426"/>
      <c r="I59" s="426"/>
      <c r="J59" s="426"/>
      <c r="K59" s="426"/>
      <c r="L59" s="426"/>
      <c r="M59" s="426"/>
      <c r="N59" s="426"/>
      <c r="O59" s="426"/>
      <c r="P59" s="426"/>
      <c r="Q59" s="426"/>
      <c r="R59" s="426"/>
      <c r="S59" s="129" t="e">
        <f>(S58*0.9)/(12*8)*12</f>
        <v>#REF!</v>
      </c>
      <c r="T59" s="127"/>
      <c r="U59" s="128" t="e">
        <f>(U58*0.9)/(12*8)*12</f>
        <v>#REF!</v>
      </c>
    </row>
    <row r="60" spans="1:21" ht="26.45" customHeight="1">
      <c r="A60" s="426" t="s">
        <v>347</v>
      </c>
      <c r="B60" s="426"/>
      <c r="C60" s="426"/>
      <c r="D60" s="426"/>
      <c r="E60" s="426"/>
      <c r="F60" s="426"/>
      <c r="G60" s="426"/>
      <c r="H60" s="426"/>
      <c r="I60" s="426"/>
      <c r="J60" s="426"/>
      <c r="K60" s="426"/>
      <c r="L60" s="426"/>
      <c r="M60" s="426"/>
      <c r="N60" s="426"/>
      <c r="O60" s="426"/>
      <c r="P60" s="426"/>
      <c r="Q60" s="426"/>
      <c r="R60" s="426"/>
      <c r="S60" s="130" t="e">
        <f>S59/12/24</f>
        <v>#REF!</v>
      </c>
      <c r="T60" s="127"/>
      <c r="U60" s="128" t="e">
        <f>U59/12/24</f>
        <v>#REF!</v>
      </c>
    </row>
    <row r="61" spans="1:21" ht="15.6" customHeight="1">
      <c r="A61" s="131" t="s">
        <v>348</v>
      </c>
      <c r="B61" s="131"/>
      <c r="C61" s="131"/>
      <c r="D61" s="131"/>
      <c r="E61" s="131"/>
      <c r="F61" s="131"/>
      <c r="G61" s="131"/>
      <c r="H61" s="131"/>
      <c r="I61" s="131"/>
      <c r="J61" s="131"/>
      <c r="K61" s="132"/>
      <c r="L61" s="133"/>
      <c r="M61" s="134"/>
      <c r="N61" s="135"/>
      <c r="O61" s="134"/>
      <c r="P61" s="134"/>
      <c r="Q61" s="134"/>
      <c r="R61" s="136"/>
      <c r="S61" s="137"/>
    </row>
    <row r="62" spans="1:21" ht="16.899999999999999" customHeight="1">
      <c r="A62" s="427" t="s">
        <v>349</v>
      </c>
      <c r="B62" s="427"/>
      <c r="C62" s="427"/>
      <c r="D62" s="427"/>
      <c r="E62" s="427"/>
      <c r="F62" s="427"/>
      <c r="G62" s="427"/>
      <c r="H62" s="427"/>
      <c r="I62" s="427"/>
      <c r="J62" s="427"/>
      <c r="K62" s="138"/>
      <c r="L62" s="134"/>
      <c r="M62" s="134"/>
      <c r="N62" s="135"/>
      <c r="O62" s="134"/>
      <c r="P62" s="134"/>
      <c r="Q62" s="134"/>
      <c r="R62" s="136"/>
      <c r="S62" s="137"/>
    </row>
    <row r="63" spans="1:21" ht="13.15" customHeight="1">
      <c r="A63" s="421" t="s">
        <v>350</v>
      </c>
      <c r="B63" s="421"/>
      <c r="C63" s="421"/>
      <c r="D63" s="421"/>
      <c r="E63" s="421"/>
      <c r="F63" s="421"/>
      <c r="G63" s="421"/>
      <c r="H63" s="421"/>
      <c r="I63" s="421"/>
      <c r="J63" s="421"/>
      <c r="K63" s="421"/>
      <c r="L63" s="421"/>
      <c r="M63" s="421"/>
      <c r="N63" s="421"/>
      <c r="O63" s="421"/>
      <c r="P63" s="421"/>
      <c r="Q63" s="421"/>
      <c r="R63" s="421"/>
      <c r="S63" s="421"/>
      <c r="T63" s="421"/>
      <c r="U63" s="421"/>
    </row>
    <row r="64" spans="1:21" ht="36.6" customHeight="1">
      <c r="A64" s="422" t="s">
        <v>351</v>
      </c>
      <c r="B64" s="422"/>
      <c r="C64" s="422"/>
      <c r="D64" s="422"/>
      <c r="E64" s="422"/>
      <c r="F64" s="422"/>
      <c r="G64" s="422"/>
      <c r="H64" s="422"/>
      <c r="I64" s="422"/>
      <c r="J64" s="422"/>
      <c r="K64" s="422"/>
      <c r="L64" s="422"/>
      <c r="M64" s="422"/>
      <c r="N64" s="422"/>
      <c r="O64" s="422"/>
      <c r="P64" s="422"/>
      <c r="Q64" s="422"/>
      <c r="R64" s="422"/>
      <c r="S64" s="422"/>
      <c r="T64" s="422"/>
      <c r="U64" s="422"/>
    </row>
    <row r="66" spans="1:20">
      <c r="A66" s="423"/>
      <c r="B66" s="423"/>
      <c r="C66" s="423"/>
      <c r="D66" s="423"/>
      <c r="E66" s="423"/>
      <c r="F66" s="423"/>
      <c r="G66" s="423"/>
      <c r="H66" s="423"/>
      <c r="I66" s="423"/>
      <c r="J66" s="423"/>
      <c r="K66" s="423"/>
      <c r="L66" s="423"/>
      <c r="M66" s="423"/>
      <c r="N66" s="423"/>
      <c r="O66" s="423"/>
      <c r="P66" s="423"/>
      <c r="Q66" s="423"/>
      <c r="R66" s="423"/>
      <c r="S66" s="423"/>
      <c r="T66" s="423"/>
    </row>
    <row r="67" spans="1:20">
      <c r="A67" s="423"/>
      <c r="B67" s="423"/>
      <c r="C67" s="423"/>
      <c r="D67" s="423"/>
      <c r="E67" s="423"/>
      <c r="F67" s="423"/>
      <c r="G67" s="423"/>
      <c r="H67" s="423"/>
      <c r="I67" s="423"/>
      <c r="J67" s="423"/>
      <c r="K67" s="423"/>
      <c r="L67" s="423"/>
      <c r="M67" s="423"/>
      <c r="N67" s="423"/>
      <c r="O67" s="423"/>
      <c r="P67" s="423"/>
      <c r="Q67" s="423"/>
      <c r="R67" s="423"/>
      <c r="S67" s="423"/>
      <c r="T67" s="423"/>
    </row>
  </sheetData>
  <mergeCells count="212">
    <mergeCell ref="A1:J1"/>
    <mergeCell ref="K1:Q2"/>
    <mergeCell ref="R1:S1"/>
    <mergeCell ref="T1:U1"/>
    <mergeCell ref="A3:A4"/>
    <mergeCell ref="B3:B4"/>
    <mergeCell ref="C3:C4"/>
    <mergeCell ref="J3:J4"/>
    <mergeCell ref="R3:R4"/>
    <mergeCell ref="S3:S4"/>
    <mergeCell ref="T3:T4"/>
    <mergeCell ref="U3:U4"/>
    <mergeCell ref="A5:A6"/>
    <mergeCell ref="B5:B6"/>
    <mergeCell ref="C5:C6"/>
    <mergeCell ref="J5:J6"/>
    <mergeCell ref="R5:R6"/>
    <mergeCell ref="S5:S6"/>
    <mergeCell ref="T5:T6"/>
    <mergeCell ref="U5:U6"/>
    <mergeCell ref="T7:T8"/>
    <mergeCell ref="U7:U8"/>
    <mergeCell ref="A9:A10"/>
    <mergeCell ref="B9:B10"/>
    <mergeCell ref="C9:C10"/>
    <mergeCell ref="J9:J10"/>
    <mergeCell ref="R9:R10"/>
    <mergeCell ref="S9:S10"/>
    <mergeCell ref="T9:T10"/>
    <mergeCell ref="U9:U10"/>
    <mergeCell ref="A7:A8"/>
    <mergeCell ref="B7:B8"/>
    <mergeCell ref="C7:C8"/>
    <mergeCell ref="J7:J8"/>
    <mergeCell ref="R7:R8"/>
    <mergeCell ref="S7:S8"/>
    <mergeCell ref="T11:T12"/>
    <mergeCell ref="U11:U12"/>
    <mergeCell ref="A13:A14"/>
    <mergeCell ref="B13:B14"/>
    <mergeCell ref="C13:C14"/>
    <mergeCell ref="J13:J14"/>
    <mergeCell ref="R13:R14"/>
    <mergeCell ref="S13:S14"/>
    <mergeCell ref="T13:T14"/>
    <mergeCell ref="U13:U14"/>
    <mergeCell ref="A11:A12"/>
    <mergeCell ref="B11:B12"/>
    <mergeCell ref="C11:C12"/>
    <mergeCell ref="J11:J12"/>
    <mergeCell ref="R11:R12"/>
    <mergeCell ref="S11:S12"/>
    <mergeCell ref="T15:T16"/>
    <mergeCell ref="U15:U16"/>
    <mergeCell ref="A17:A18"/>
    <mergeCell ref="B17:B18"/>
    <mergeCell ref="C17:C18"/>
    <mergeCell ref="J17:J18"/>
    <mergeCell ref="R17:R18"/>
    <mergeCell ref="S17:S18"/>
    <mergeCell ref="T17:T18"/>
    <mergeCell ref="U17:U18"/>
    <mergeCell ref="A15:A16"/>
    <mergeCell ref="B15:B16"/>
    <mergeCell ref="C15:C16"/>
    <mergeCell ref="J15:J16"/>
    <mergeCell ref="R15:R16"/>
    <mergeCell ref="S15:S16"/>
    <mergeCell ref="T19:T20"/>
    <mergeCell ref="U19:U20"/>
    <mergeCell ref="A21:A22"/>
    <mergeCell ref="B21:B22"/>
    <mergeCell ref="C21:C22"/>
    <mergeCell ref="J21:J22"/>
    <mergeCell ref="R21:R22"/>
    <mergeCell ref="S21:S22"/>
    <mergeCell ref="T21:T22"/>
    <mergeCell ref="U21:U22"/>
    <mergeCell ref="A19:A20"/>
    <mergeCell ref="B19:B20"/>
    <mergeCell ref="C19:C20"/>
    <mergeCell ref="J19:J20"/>
    <mergeCell ref="R19:R20"/>
    <mergeCell ref="S19:S20"/>
    <mergeCell ref="T23:T24"/>
    <mergeCell ref="U23:U24"/>
    <mergeCell ref="A25:A26"/>
    <mergeCell ref="B25:B26"/>
    <mergeCell ref="C25:C26"/>
    <mergeCell ref="J25:J26"/>
    <mergeCell ref="R25:R26"/>
    <mergeCell ref="S25:S26"/>
    <mergeCell ref="T25:T26"/>
    <mergeCell ref="U25:U26"/>
    <mergeCell ref="A23:A24"/>
    <mergeCell ref="B23:B24"/>
    <mergeCell ref="C23:C24"/>
    <mergeCell ref="J23:J24"/>
    <mergeCell ref="R23:R24"/>
    <mergeCell ref="S23:S24"/>
    <mergeCell ref="T27:T28"/>
    <mergeCell ref="U27:U28"/>
    <mergeCell ref="A29:A30"/>
    <mergeCell ref="B29:B30"/>
    <mergeCell ref="C29:C30"/>
    <mergeCell ref="J29:J30"/>
    <mergeCell ref="R29:R30"/>
    <mergeCell ref="S29:S30"/>
    <mergeCell ref="T29:T30"/>
    <mergeCell ref="U29:U30"/>
    <mergeCell ref="A27:A28"/>
    <mergeCell ref="B27:B28"/>
    <mergeCell ref="C27:C28"/>
    <mergeCell ref="J27:J28"/>
    <mergeCell ref="R27:R28"/>
    <mergeCell ref="S27:S28"/>
    <mergeCell ref="T31:T32"/>
    <mergeCell ref="U31:U32"/>
    <mergeCell ref="A33:A34"/>
    <mergeCell ref="B33:B34"/>
    <mergeCell ref="C33:C34"/>
    <mergeCell ref="J33:J34"/>
    <mergeCell ref="R33:R34"/>
    <mergeCell ref="S33:S34"/>
    <mergeCell ref="T33:T34"/>
    <mergeCell ref="U33:U34"/>
    <mergeCell ref="A31:A32"/>
    <mergeCell ref="B31:B32"/>
    <mergeCell ref="C31:C32"/>
    <mergeCell ref="J31:J32"/>
    <mergeCell ref="R31:R32"/>
    <mergeCell ref="S31:S32"/>
    <mergeCell ref="T35:T36"/>
    <mergeCell ref="U35:U36"/>
    <mergeCell ref="A37:A38"/>
    <mergeCell ref="B37:B38"/>
    <mergeCell ref="C37:C38"/>
    <mergeCell ref="J37:J38"/>
    <mergeCell ref="R37:R38"/>
    <mergeCell ref="S37:S38"/>
    <mergeCell ref="T37:T38"/>
    <mergeCell ref="U37:U38"/>
    <mergeCell ref="A35:A36"/>
    <mergeCell ref="B35:B36"/>
    <mergeCell ref="C35:C36"/>
    <mergeCell ref="J35:J36"/>
    <mergeCell ref="R35:R36"/>
    <mergeCell ref="S35:S36"/>
    <mergeCell ref="T39:T40"/>
    <mergeCell ref="U39:U40"/>
    <mergeCell ref="A41:A42"/>
    <mergeCell ref="B41:B42"/>
    <mergeCell ref="C41:C42"/>
    <mergeCell ref="J41:J42"/>
    <mergeCell ref="R41:R42"/>
    <mergeCell ref="S41:S42"/>
    <mergeCell ref="T41:T42"/>
    <mergeCell ref="U41:U42"/>
    <mergeCell ref="A39:A40"/>
    <mergeCell ref="B39:B40"/>
    <mergeCell ref="C39:C40"/>
    <mergeCell ref="J39:J40"/>
    <mergeCell ref="R39:R40"/>
    <mergeCell ref="S39:S40"/>
    <mergeCell ref="T43:T44"/>
    <mergeCell ref="U43:U44"/>
    <mergeCell ref="A45:A46"/>
    <mergeCell ref="B45:B46"/>
    <mergeCell ref="C45:C46"/>
    <mergeCell ref="J45:J46"/>
    <mergeCell ref="R45:R46"/>
    <mergeCell ref="S45:S46"/>
    <mergeCell ref="T45:T46"/>
    <mergeCell ref="U45:U46"/>
    <mergeCell ref="A43:A44"/>
    <mergeCell ref="B43:B44"/>
    <mergeCell ref="C43:C44"/>
    <mergeCell ref="J43:J44"/>
    <mergeCell ref="R43:R44"/>
    <mergeCell ref="S43:S44"/>
    <mergeCell ref="T47:T48"/>
    <mergeCell ref="U47:U48"/>
    <mergeCell ref="A53:A54"/>
    <mergeCell ref="B53:B54"/>
    <mergeCell ref="C53:C54"/>
    <mergeCell ref="J53:J54"/>
    <mergeCell ref="R53:R54"/>
    <mergeCell ref="S53:S54"/>
    <mergeCell ref="T53:T54"/>
    <mergeCell ref="U53:U54"/>
    <mergeCell ref="A47:A48"/>
    <mergeCell ref="B47:B48"/>
    <mergeCell ref="C47:C48"/>
    <mergeCell ref="J47:J48"/>
    <mergeCell ref="R47:R48"/>
    <mergeCell ref="S47:S48"/>
    <mergeCell ref="A63:U63"/>
    <mergeCell ref="A64:U64"/>
    <mergeCell ref="A66:T66"/>
    <mergeCell ref="A67:T67"/>
    <mergeCell ref="T55:T57"/>
    <mergeCell ref="U55:U57"/>
    <mergeCell ref="A58:R58"/>
    <mergeCell ref="A59:R59"/>
    <mergeCell ref="A60:R60"/>
    <mergeCell ref="A62:J62"/>
    <mergeCell ref="A55:A57"/>
    <mergeCell ref="B55:B57"/>
    <mergeCell ref="C55:C57"/>
    <mergeCell ref="J55:J57"/>
    <mergeCell ref="R55:R57"/>
    <mergeCell ref="S55:S57"/>
  </mergeCells>
  <printOptions horizontalCentered="1" verticalCentered="1"/>
  <pageMargins left="0.25000000000000006" right="0.25000000000000006" top="0.75" bottom="0.75" header="0.30000000000000004" footer="0.30000000000000004"/>
  <pageSetup paperSize="0" fitToWidth="0" fitToHeight="0" orientation="landscape" horizontalDpi="0" verticalDpi="0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J20"/>
  <sheetViews>
    <sheetView workbookViewId="0"/>
  </sheetViews>
  <sheetFormatPr defaultRowHeight="15"/>
  <cols>
    <col min="1" max="1" width="7.140625" style="22" customWidth="1"/>
    <col min="2" max="2" width="22.28515625" style="22" customWidth="1"/>
    <col min="3" max="3" width="11.42578125" style="22" customWidth="1"/>
    <col min="4" max="7" width="12.140625" style="22" hidden="1" customWidth="1"/>
    <col min="8" max="8" width="10.28515625" style="22" customWidth="1"/>
    <col min="9" max="9" width="24.42578125" style="171" hidden="1" customWidth="1"/>
    <col min="10" max="10" width="16.28515625" style="171" hidden="1" customWidth="1"/>
    <col min="11" max="11" width="19.7109375" style="171" hidden="1" customWidth="1"/>
    <col min="12" max="12" width="22.28515625" style="171" hidden="1" customWidth="1"/>
    <col min="13" max="13" width="16.28515625" style="171" hidden="1" customWidth="1"/>
    <col min="14" max="16" width="18.140625" style="171" hidden="1" customWidth="1"/>
    <col min="17" max="17" width="13.7109375" style="171" customWidth="1"/>
    <col min="18" max="18" width="12" style="171" customWidth="1"/>
    <col min="19" max="19" width="13.7109375" style="172" hidden="1" customWidth="1"/>
    <col min="20" max="20" width="12" style="172" hidden="1" customWidth="1"/>
    <col min="21" max="1024" width="11.42578125" style="22" customWidth="1"/>
  </cols>
  <sheetData>
    <row r="1" spans="1:21" ht="44.45" customHeight="1">
      <c r="A1" s="451" t="s">
        <v>352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2" t="s">
        <v>279</v>
      </c>
      <c r="R1" s="452"/>
      <c r="S1" s="433" t="s">
        <v>353</v>
      </c>
      <c r="T1" s="433"/>
    </row>
    <row r="2" spans="1:21" ht="40.5" customHeight="1">
      <c r="A2" s="142" t="s">
        <v>46</v>
      </c>
      <c r="B2" s="142" t="s">
        <v>281</v>
      </c>
      <c r="C2" s="142" t="s">
        <v>177</v>
      </c>
      <c r="D2" s="143" t="s">
        <v>232</v>
      </c>
      <c r="E2" s="143" t="s">
        <v>259</v>
      </c>
      <c r="F2" s="143" t="s">
        <v>267</v>
      </c>
      <c r="G2" s="143" t="s">
        <v>268</v>
      </c>
      <c r="H2" s="24" t="s">
        <v>282</v>
      </c>
      <c r="I2" s="453" t="s">
        <v>354</v>
      </c>
      <c r="J2" s="453"/>
      <c r="K2" s="453"/>
      <c r="L2" s="453"/>
      <c r="M2" s="453"/>
      <c r="N2" s="453"/>
      <c r="O2" s="453"/>
      <c r="P2" s="453"/>
      <c r="Q2" s="105" t="s">
        <v>283</v>
      </c>
      <c r="R2" s="144" t="s">
        <v>282</v>
      </c>
      <c r="S2" s="272" t="s">
        <v>283</v>
      </c>
      <c r="T2" s="145" t="s">
        <v>282</v>
      </c>
    </row>
    <row r="3" spans="1:21" ht="21" customHeight="1">
      <c r="A3" s="449">
        <v>1</v>
      </c>
      <c r="B3" s="434" t="s">
        <v>355</v>
      </c>
      <c r="C3" s="435" t="s">
        <v>285</v>
      </c>
      <c r="D3" s="271"/>
      <c r="E3" s="271"/>
      <c r="F3" s="271"/>
      <c r="G3" s="271"/>
      <c r="H3" s="449">
        <f>SUM(D4:G4)</f>
        <v>4</v>
      </c>
      <c r="I3" s="146" t="s">
        <v>287</v>
      </c>
      <c r="J3" s="146"/>
      <c r="K3" s="146" t="s">
        <v>286</v>
      </c>
      <c r="L3" s="146" t="s">
        <v>288</v>
      </c>
      <c r="M3" s="147"/>
      <c r="N3" s="146" t="s">
        <v>289</v>
      </c>
      <c r="O3" s="146" t="s">
        <v>290</v>
      </c>
      <c r="P3" s="146" t="s">
        <v>291</v>
      </c>
      <c r="Q3" s="431"/>
      <c r="R3" s="446">
        <f>TRUNC(Q3*H3,2)</f>
        <v>0</v>
      </c>
      <c r="S3" s="447">
        <v>569.29999999999995</v>
      </c>
      <c r="T3" s="448">
        <v>2277.1999999999998</v>
      </c>
    </row>
    <row r="4" spans="1:21" ht="24" customHeight="1">
      <c r="A4" s="449"/>
      <c r="B4" s="434"/>
      <c r="C4" s="435"/>
      <c r="D4" s="276">
        <v>1</v>
      </c>
      <c r="E4" s="276">
        <v>1</v>
      </c>
      <c r="F4" s="276">
        <v>1</v>
      </c>
      <c r="G4" s="276">
        <v>1</v>
      </c>
      <c r="H4" s="449"/>
      <c r="I4" s="148">
        <v>589</v>
      </c>
      <c r="J4" s="149">
        <f>I4*H3</f>
        <v>2356</v>
      </c>
      <c r="K4" s="148">
        <v>539</v>
      </c>
      <c r="L4" s="148">
        <v>579.9</v>
      </c>
      <c r="M4" s="150">
        <f>H3*L4</f>
        <v>2319.6</v>
      </c>
      <c r="N4" s="148">
        <v>500</v>
      </c>
      <c r="O4" s="151">
        <v>1650</v>
      </c>
      <c r="P4" s="151">
        <v>3199</v>
      </c>
      <c r="Q4" s="431"/>
      <c r="R4" s="446"/>
      <c r="S4" s="447"/>
      <c r="T4" s="448"/>
      <c r="U4" s="152"/>
    </row>
    <row r="5" spans="1:21" ht="24" customHeight="1">
      <c r="A5" s="450">
        <v>2</v>
      </c>
      <c r="B5" s="429" t="s">
        <v>356</v>
      </c>
      <c r="C5" s="430" t="s">
        <v>285</v>
      </c>
      <c r="D5" s="277"/>
      <c r="E5" s="277"/>
      <c r="F5" s="277"/>
      <c r="G5" s="277"/>
      <c r="H5" s="450">
        <f>SUM(D6:G6)</f>
        <v>4</v>
      </c>
      <c r="I5" s="153" t="s">
        <v>329</v>
      </c>
      <c r="J5" s="154"/>
      <c r="K5" s="153" t="s">
        <v>301</v>
      </c>
      <c r="L5" s="155" t="s">
        <v>287</v>
      </c>
      <c r="M5" s="156"/>
      <c r="N5" s="155" t="s">
        <v>289</v>
      </c>
      <c r="O5" s="155" t="s">
        <v>290</v>
      </c>
      <c r="P5" s="155" t="s">
        <v>291</v>
      </c>
      <c r="Q5" s="431"/>
      <c r="R5" s="446">
        <f>TRUNC(Q5*H5,2)</f>
        <v>0</v>
      </c>
      <c r="S5" s="447">
        <v>653.33000000000004</v>
      </c>
      <c r="T5" s="448">
        <v>2613.3200000000002</v>
      </c>
      <c r="U5" s="152"/>
    </row>
    <row r="6" spans="1:21" ht="22.15" customHeight="1">
      <c r="A6" s="450"/>
      <c r="B6" s="429"/>
      <c r="C6" s="430"/>
      <c r="D6" s="277">
        <v>1</v>
      </c>
      <c r="E6" s="277">
        <v>1</v>
      </c>
      <c r="F6" s="277">
        <v>1</v>
      </c>
      <c r="G6" s="277">
        <v>1</v>
      </c>
      <c r="H6" s="450"/>
      <c r="I6" s="157">
        <v>584.1</v>
      </c>
      <c r="J6" s="158">
        <f>I6*H5</f>
        <v>2336.4</v>
      </c>
      <c r="K6" s="157">
        <v>549.99</v>
      </c>
      <c r="L6" s="157">
        <v>825.9</v>
      </c>
      <c r="M6" s="150">
        <f>H5*L6</f>
        <v>3303.6</v>
      </c>
      <c r="N6" s="157">
        <v>500</v>
      </c>
      <c r="O6" s="159">
        <v>420</v>
      </c>
      <c r="P6" s="159">
        <v>2799.99</v>
      </c>
      <c r="Q6" s="431"/>
      <c r="R6" s="446"/>
      <c r="S6" s="447"/>
      <c r="T6" s="448"/>
      <c r="U6" s="152"/>
    </row>
    <row r="7" spans="1:21" ht="22.9" customHeight="1">
      <c r="A7" s="449">
        <v>3</v>
      </c>
      <c r="B7" s="434" t="s">
        <v>357</v>
      </c>
      <c r="C7" s="435" t="s">
        <v>285</v>
      </c>
      <c r="D7" s="276"/>
      <c r="E7" s="276"/>
      <c r="F7" s="276"/>
      <c r="G7" s="276"/>
      <c r="H7" s="449">
        <v>4</v>
      </c>
      <c r="I7" s="160" t="s">
        <v>358</v>
      </c>
      <c r="J7" s="161"/>
      <c r="K7" s="162" t="s">
        <v>359</v>
      </c>
      <c r="L7" s="160" t="s">
        <v>287</v>
      </c>
      <c r="M7" s="156"/>
      <c r="N7" s="160" t="s">
        <v>289</v>
      </c>
      <c r="O7" s="160" t="s">
        <v>290</v>
      </c>
      <c r="P7" s="160" t="s">
        <v>291</v>
      </c>
      <c r="Q7" s="431"/>
      <c r="R7" s="446">
        <f>TRUNC(Q7*H7,2)</f>
        <v>0</v>
      </c>
      <c r="S7" s="447">
        <v>129.43</v>
      </c>
      <c r="T7" s="448">
        <v>517.71</v>
      </c>
      <c r="U7" s="152"/>
    </row>
    <row r="8" spans="1:21" ht="15.6" customHeight="1">
      <c r="A8" s="449"/>
      <c r="B8" s="434"/>
      <c r="C8" s="435"/>
      <c r="D8" s="276">
        <v>1</v>
      </c>
      <c r="E8" s="276">
        <v>1</v>
      </c>
      <c r="F8" s="276">
        <v>1</v>
      </c>
      <c r="G8" s="276">
        <v>1</v>
      </c>
      <c r="H8" s="449"/>
      <c r="I8" s="266">
        <v>95.87</v>
      </c>
      <c r="J8" s="163">
        <f>I8*H7</f>
        <v>383.48</v>
      </c>
      <c r="K8" s="266">
        <v>138.51</v>
      </c>
      <c r="L8" s="266">
        <v>153.9</v>
      </c>
      <c r="M8" s="150">
        <f>H7*L8</f>
        <v>615.6</v>
      </c>
      <c r="N8" s="266">
        <v>0</v>
      </c>
      <c r="O8" s="164">
        <v>70</v>
      </c>
      <c r="P8" s="266">
        <v>132</v>
      </c>
      <c r="Q8" s="431"/>
      <c r="R8" s="446"/>
      <c r="S8" s="447"/>
      <c r="T8" s="448"/>
      <c r="U8" s="152"/>
    </row>
    <row r="9" spans="1:21" ht="19.149999999999999" customHeight="1">
      <c r="A9" s="450">
        <v>4</v>
      </c>
      <c r="B9" s="429" t="s">
        <v>360</v>
      </c>
      <c r="C9" s="430" t="s">
        <v>285</v>
      </c>
      <c r="D9" s="277"/>
      <c r="E9" s="277"/>
      <c r="F9" s="277"/>
      <c r="G9" s="277"/>
      <c r="H9" s="450">
        <v>4</v>
      </c>
      <c r="I9" s="165" t="s">
        <v>335</v>
      </c>
      <c r="J9" s="166"/>
      <c r="K9" s="167" t="s">
        <v>286</v>
      </c>
      <c r="L9" s="167" t="s">
        <v>336</v>
      </c>
      <c r="M9" s="156"/>
      <c r="N9" s="155" t="s">
        <v>289</v>
      </c>
      <c r="O9" s="155" t="s">
        <v>290</v>
      </c>
      <c r="P9" s="155" t="s">
        <v>291</v>
      </c>
      <c r="Q9" s="431"/>
      <c r="R9" s="446">
        <f>TRUNC(Q9*H9,2)</f>
        <v>0</v>
      </c>
      <c r="S9" s="447">
        <v>561.71</v>
      </c>
      <c r="T9" s="448">
        <v>2246.84</v>
      </c>
      <c r="U9" s="152"/>
    </row>
    <row r="10" spans="1:21" ht="18" customHeight="1">
      <c r="A10" s="450"/>
      <c r="B10" s="429"/>
      <c r="C10" s="430"/>
      <c r="D10" s="277">
        <v>1</v>
      </c>
      <c r="E10" s="277">
        <v>1</v>
      </c>
      <c r="F10" s="277">
        <v>1</v>
      </c>
      <c r="G10" s="277">
        <v>1</v>
      </c>
      <c r="H10" s="450"/>
      <c r="I10" s="157">
        <v>494.14</v>
      </c>
      <c r="J10" s="158">
        <f>I10*H9</f>
        <v>1976.56</v>
      </c>
      <c r="K10" s="157">
        <v>473.9</v>
      </c>
      <c r="L10" s="157">
        <v>717.09</v>
      </c>
      <c r="M10" s="150">
        <f>H9*L10</f>
        <v>2868.36</v>
      </c>
      <c r="N10" s="157">
        <v>0</v>
      </c>
      <c r="O10" s="159">
        <v>100</v>
      </c>
      <c r="P10" s="157">
        <v>431.88</v>
      </c>
      <c r="Q10" s="431"/>
      <c r="R10" s="446"/>
      <c r="S10" s="447"/>
      <c r="T10" s="448"/>
      <c r="U10" s="152"/>
    </row>
    <row r="11" spans="1:21" ht="25.15" customHeight="1">
      <c r="A11" s="442" t="s">
        <v>361</v>
      </c>
      <c r="B11" s="442"/>
      <c r="C11" s="442"/>
      <c r="D11" s="442"/>
      <c r="E11" s="442"/>
      <c r="F11" s="442"/>
      <c r="G11" s="442"/>
      <c r="H11" s="442"/>
      <c r="I11" s="442"/>
      <c r="J11" s="442"/>
      <c r="K11" s="442"/>
      <c r="L11" s="442"/>
      <c r="M11" s="442"/>
      <c r="N11" s="442"/>
      <c r="O11" s="442"/>
      <c r="P11" s="442"/>
      <c r="Q11" s="168" t="s">
        <v>125</v>
      </c>
      <c r="R11" s="274">
        <f>SUM(R3:R9)</f>
        <v>0</v>
      </c>
      <c r="S11" s="169" t="s">
        <v>125</v>
      </c>
      <c r="T11" s="275">
        <f>SUM(T3:T9)</f>
        <v>7655.0700000000006</v>
      </c>
    </row>
    <row r="12" spans="1:21" ht="24.6" customHeight="1">
      <c r="A12" s="442" t="s">
        <v>362</v>
      </c>
      <c r="B12" s="442"/>
      <c r="C12" s="442"/>
      <c r="D12" s="442"/>
      <c r="E12" s="442"/>
      <c r="F12" s="442"/>
      <c r="G12" s="442"/>
      <c r="H12" s="442"/>
      <c r="I12" s="442"/>
      <c r="J12" s="442"/>
      <c r="K12" s="442"/>
      <c r="L12" s="442"/>
      <c r="M12" s="442"/>
      <c r="N12" s="442"/>
      <c r="O12" s="442"/>
      <c r="P12" s="442"/>
      <c r="Q12" s="168" t="s">
        <v>125</v>
      </c>
      <c r="R12" s="274">
        <f>(R11*0.9)/(12*8)*12</f>
        <v>0</v>
      </c>
      <c r="S12" s="169" t="s">
        <v>125</v>
      </c>
      <c r="T12" s="275">
        <f>(T11*0.9)/(12*8)*12</f>
        <v>861.19537500000001</v>
      </c>
    </row>
    <row r="13" spans="1:21" ht="26.45" customHeight="1">
      <c r="A13" s="443" t="s">
        <v>363</v>
      </c>
      <c r="B13" s="443"/>
      <c r="C13" s="443"/>
      <c r="D13" s="443"/>
      <c r="E13" s="443"/>
      <c r="F13" s="443"/>
      <c r="G13" s="443"/>
      <c r="H13" s="443"/>
      <c r="I13" s="443"/>
      <c r="J13" s="443"/>
      <c r="K13" s="443"/>
      <c r="L13" s="443"/>
      <c r="M13" s="443"/>
      <c r="N13" s="443"/>
      <c r="O13" s="443"/>
      <c r="P13" s="443"/>
      <c r="Q13" s="168" t="s">
        <v>125</v>
      </c>
      <c r="R13" s="170">
        <f>R12/12/4</f>
        <v>0</v>
      </c>
      <c r="S13" s="169" t="s">
        <v>125</v>
      </c>
      <c r="T13" s="275">
        <f>T12/12/4</f>
        <v>17.941570312500001</v>
      </c>
    </row>
    <row r="14" spans="1:21" ht="21.6" customHeight="1">
      <c r="A14" s="444" t="s">
        <v>348</v>
      </c>
      <c r="B14" s="444"/>
      <c r="C14" s="444"/>
      <c r="D14" s="444"/>
      <c r="E14" s="444"/>
      <c r="F14" s="444"/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4"/>
      <c r="R14" s="444"/>
      <c r="S14" s="444"/>
      <c r="T14" s="444"/>
    </row>
    <row r="15" spans="1:21" ht="20.45" customHeight="1">
      <c r="A15" s="441" t="s">
        <v>364</v>
      </c>
      <c r="B15" s="441"/>
      <c r="C15" s="441"/>
      <c r="D15" s="441"/>
      <c r="E15" s="441"/>
      <c r="F15" s="441"/>
      <c r="G15" s="441"/>
      <c r="H15" s="441"/>
      <c r="I15" s="441"/>
      <c r="J15" s="441"/>
      <c r="K15" s="441"/>
      <c r="L15" s="441"/>
      <c r="M15" s="441"/>
      <c r="N15" s="441"/>
      <c r="O15" s="441"/>
      <c r="P15" s="441"/>
      <c r="Q15" s="441"/>
      <c r="R15" s="441"/>
      <c r="S15" s="441"/>
      <c r="T15" s="441"/>
    </row>
    <row r="16" spans="1:21" ht="20.45" customHeight="1">
      <c r="A16" s="273" t="s">
        <v>365</v>
      </c>
      <c r="B16" s="273"/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273"/>
    </row>
    <row r="17" spans="1:20" ht="39.6" customHeight="1">
      <c r="A17" s="445" t="s">
        <v>366</v>
      </c>
      <c r="B17" s="445"/>
      <c r="C17" s="445"/>
      <c r="D17" s="445"/>
      <c r="E17" s="445"/>
      <c r="F17" s="445"/>
      <c r="G17" s="445"/>
      <c r="H17" s="445"/>
      <c r="I17" s="445"/>
      <c r="J17" s="445"/>
      <c r="K17" s="445"/>
      <c r="L17" s="445"/>
      <c r="M17" s="445"/>
      <c r="N17" s="445"/>
      <c r="O17" s="445"/>
      <c r="P17" s="445"/>
      <c r="Q17" s="445"/>
      <c r="R17" s="445"/>
      <c r="S17" s="445"/>
      <c r="T17" s="445"/>
    </row>
    <row r="18" spans="1:20" ht="15.75">
      <c r="A18" s="441" t="s">
        <v>367</v>
      </c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  <c r="M18" s="441"/>
      <c r="N18" s="441"/>
      <c r="O18" s="441"/>
      <c r="P18" s="441"/>
      <c r="Q18" s="441"/>
      <c r="R18" s="441"/>
      <c r="S18" s="441"/>
      <c r="T18" s="441"/>
    </row>
    <row r="19" spans="1:20" ht="23.45" customHeight="1">
      <c r="A19" s="178"/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9"/>
      <c r="T19" s="179"/>
    </row>
    <row r="20" spans="1:20" s="25" customFormat="1" ht="27" customHeight="1">
      <c r="A20" s="418"/>
      <c r="B20" s="418"/>
      <c r="C20" s="418"/>
      <c r="D20" s="418"/>
      <c r="E20" s="418"/>
      <c r="F20" s="418"/>
      <c r="G20" s="418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</sheetData>
  <mergeCells count="44">
    <mergeCell ref="A1:P1"/>
    <mergeCell ref="Q1:R1"/>
    <mergeCell ref="S1:T1"/>
    <mergeCell ref="I2:P2"/>
    <mergeCell ref="A3:A4"/>
    <mergeCell ref="B3:B4"/>
    <mergeCell ref="C3:C4"/>
    <mergeCell ref="H3:H4"/>
    <mergeCell ref="Q3:Q4"/>
    <mergeCell ref="R3:R4"/>
    <mergeCell ref="S3:S4"/>
    <mergeCell ref="T3:T4"/>
    <mergeCell ref="A5:A6"/>
    <mergeCell ref="B5:B6"/>
    <mergeCell ref="C5:C6"/>
    <mergeCell ref="H5:H6"/>
    <mergeCell ref="Q5:Q6"/>
    <mergeCell ref="R5:R6"/>
    <mergeCell ref="S5:S6"/>
    <mergeCell ref="T5:T6"/>
    <mergeCell ref="S7:S8"/>
    <mergeCell ref="T7:T8"/>
    <mergeCell ref="R9:R10"/>
    <mergeCell ref="S9:S10"/>
    <mergeCell ref="T9:T10"/>
    <mergeCell ref="A7:A8"/>
    <mergeCell ref="B7:B8"/>
    <mergeCell ref="C7:C8"/>
    <mergeCell ref="H7:H8"/>
    <mergeCell ref="Q7:Q8"/>
    <mergeCell ref="R7:R8"/>
    <mergeCell ref="A9:A10"/>
    <mergeCell ref="B9:B10"/>
    <mergeCell ref="C9:C10"/>
    <mergeCell ref="H9:H10"/>
    <mergeCell ref="Q9:Q10"/>
    <mergeCell ref="A18:T18"/>
    <mergeCell ref="A20:S20"/>
    <mergeCell ref="A11:P11"/>
    <mergeCell ref="A12:P12"/>
    <mergeCell ref="A13:P13"/>
    <mergeCell ref="A14:T14"/>
    <mergeCell ref="A15:T15"/>
    <mergeCell ref="A17:T17"/>
  </mergeCells>
  <printOptions horizontalCentered="1" verticalCentered="1"/>
  <pageMargins left="0.25000000000000006" right="0.25000000000000006" top="0.75" bottom="0.75" header="0.30000000000000004" footer="0.30000000000000004"/>
  <pageSetup paperSize="0" fitToWidth="0" fitToHeight="0" orientation="landscape" horizontalDpi="0" verticalDpi="0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0"/>
  <sheetViews>
    <sheetView showGridLines="0" topLeftCell="A10" zoomScale="85" zoomScaleNormal="85" workbookViewId="0">
      <selection activeCell="C4" sqref="C4"/>
    </sheetView>
  </sheetViews>
  <sheetFormatPr defaultRowHeight="15"/>
  <cols>
    <col min="1" max="1" width="6.85546875" customWidth="1"/>
    <col min="2" max="2" width="41.42578125" customWidth="1"/>
    <col min="3" max="3" width="10.28515625" customWidth="1"/>
    <col min="4" max="4" width="10.7109375" customWidth="1"/>
    <col min="5" max="5" width="17.7109375" customWidth="1"/>
    <col min="6" max="6" width="10.7109375" style="178" customWidth="1"/>
    <col min="7" max="7" width="16.140625" customWidth="1"/>
  </cols>
  <sheetData>
    <row r="1" spans="1:8" ht="33.75" customHeight="1">
      <c r="A1" s="454" t="s">
        <v>368</v>
      </c>
      <c r="B1" s="455"/>
      <c r="C1" s="455"/>
      <c r="D1" s="455"/>
      <c r="E1" s="455"/>
      <c r="F1" s="455"/>
      <c r="G1" s="456"/>
      <c r="H1" s="178"/>
    </row>
    <row r="2" spans="1:8" ht="57.75" customHeight="1">
      <c r="A2" s="253" t="s">
        <v>46</v>
      </c>
      <c r="B2" s="253" t="s">
        <v>176</v>
      </c>
      <c r="C2" s="253" t="s">
        <v>177</v>
      </c>
      <c r="D2" s="253" t="s">
        <v>369</v>
      </c>
      <c r="E2" s="253" t="s">
        <v>406</v>
      </c>
      <c r="F2" s="253" t="s">
        <v>370</v>
      </c>
      <c r="G2" s="253" t="s">
        <v>371</v>
      </c>
      <c r="H2" s="178"/>
    </row>
    <row r="3" spans="1:8" ht="35.25" customHeight="1">
      <c r="A3" s="182">
        <v>1</v>
      </c>
      <c r="B3" s="183" t="s">
        <v>372</v>
      </c>
      <c r="C3" s="184" t="s">
        <v>182</v>
      </c>
      <c r="D3" s="184">
        <v>1</v>
      </c>
      <c r="E3" s="463">
        <v>3194.79</v>
      </c>
      <c r="F3" s="184">
        <v>120</v>
      </c>
      <c r="G3" s="188">
        <f t="shared" ref="G3:G14" si="0">(D3*E3)/F3/2</f>
        <v>13.311624999999999</v>
      </c>
      <c r="H3" s="178"/>
    </row>
    <row r="4" spans="1:8" ht="35.25" customHeight="1">
      <c r="A4" s="185">
        <v>2</v>
      </c>
      <c r="B4" s="186" t="s">
        <v>373</v>
      </c>
      <c r="C4" s="184" t="s">
        <v>182</v>
      </c>
      <c r="D4" s="187">
        <v>18</v>
      </c>
      <c r="E4" s="464">
        <v>8.06</v>
      </c>
      <c r="F4" s="184">
        <v>6</v>
      </c>
      <c r="G4" s="188">
        <f t="shared" si="0"/>
        <v>12.090000000000002</v>
      </c>
      <c r="H4" s="178"/>
    </row>
    <row r="5" spans="1:8" ht="35.25" customHeight="1">
      <c r="A5" s="185">
        <v>3</v>
      </c>
      <c r="B5" s="186" t="s">
        <v>374</v>
      </c>
      <c r="C5" s="184" t="s">
        <v>182</v>
      </c>
      <c r="D5" s="187">
        <v>1</v>
      </c>
      <c r="E5" s="464">
        <v>101.15</v>
      </c>
      <c r="F5" s="184">
        <v>30</v>
      </c>
      <c r="G5" s="188">
        <f t="shared" si="0"/>
        <v>1.6858333333333335</v>
      </c>
      <c r="H5" s="178"/>
    </row>
    <row r="6" spans="1:8" ht="35.25" customHeight="1">
      <c r="A6" s="185">
        <v>4</v>
      </c>
      <c r="B6" s="186" t="s">
        <v>375</v>
      </c>
      <c r="C6" s="184" t="s">
        <v>182</v>
      </c>
      <c r="D6" s="187">
        <v>1</v>
      </c>
      <c r="E6" s="464">
        <v>919.71</v>
      </c>
      <c r="F6" s="184">
        <v>60</v>
      </c>
      <c r="G6" s="188">
        <f t="shared" si="0"/>
        <v>7.66425</v>
      </c>
      <c r="H6" s="178"/>
    </row>
    <row r="7" spans="1:8" s="178" customFormat="1" ht="35.25" customHeight="1">
      <c r="A7" s="185">
        <v>5</v>
      </c>
      <c r="B7" s="186" t="s">
        <v>376</v>
      </c>
      <c r="C7" s="184" t="s">
        <v>182</v>
      </c>
      <c r="D7" s="187">
        <v>1</v>
      </c>
      <c r="E7" s="464">
        <v>92.39</v>
      </c>
      <c r="F7" s="184">
        <v>60</v>
      </c>
      <c r="G7" s="188">
        <f t="shared" si="0"/>
        <v>0.76991666666666669</v>
      </c>
    </row>
    <row r="8" spans="1:8" ht="35.25" customHeight="1">
      <c r="A8" s="185">
        <v>6</v>
      </c>
      <c r="B8" s="186" t="s">
        <v>377</v>
      </c>
      <c r="C8" s="184" t="s">
        <v>182</v>
      </c>
      <c r="D8" s="187">
        <v>1</v>
      </c>
      <c r="E8" s="464">
        <v>498.22</v>
      </c>
      <c r="F8" s="184">
        <v>30</v>
      </c>
      <c r="G8" s="188">
        <f t="shared" si="0"/>
        <v>8.3036666666666665</v>
      </c>
      <c r="H8" s="178"/>
    </row>
    <row r="9" spans="1:8" ht="35.25" customHeight="1">
      <c r="A9" s="185">
        <v>7</v>
      </c>
      <c r="B9" s="186" t="s">
        <v>378</v>
      </c>
      <c r="C9" s="184" t="s">
        <v>182</v>
      </c>
      <c r="D9" s="187">
        <v>1</v>
      </c>
      <c r="E9" s="464">
        <v>60.87</v>
      </c>
      <c r="F9" s="184">
        <v>30</v>
      </c>
      <c r="G9" s="188">
        <f t="shared" si="0"/>
        <v>1.0145</v>
      </c>
      <c r="H9" s="178"/>
    </row>
    <row r="10" spans="1:8" ht="35.25" customHeight="1">
      <c r="A10" s="185">
        <v>8</v>
      </c>
      <c r="B10" s="186" t="s">
        <v>379</v>
      </c>
      <c r="C10" s="184" t="s">
        <v>182</v>
      </c>
      <c r="D10" s="187">
        <v>1</v>
      </c>
      <c r="E10" s="464">
        <v>40.49</v>
      </c>
      <c r="F10" s="184">
        <v>30</v>
      </c>
      <c r="G10" s="188">
        <f t="shared" si="0"/>
        <v>0.6748333333333334</v>
      </c>
      <c r="H10" s="178"/>
    </row>
    <row r="11" spans="1:8" ht="35.25" customHeight="1">
      <c r="A11" s="185">
        <v>9</v>
      </c>
      <c r="B11" s="186" t="s">
        <v>380</v>
      </c>
      <c r="C11" s="184" t="s">
        <v>182</v>
      </c>
      <c r="D11" s="187">
        <v>2</v>
      </c>
      <c r="E11" s="464">
        <v>26.69</v>
      </c>
      <c r="F11" s="184">
        <v>30</v>
      </c>
      <c r="G11" s="188">
        <f t="shared" si="0"/>
        <v>0.88966666666666672</v>
      </c>
      <c r="H11" s="178"/>
    </row>
    <row r="12" spans="1:8" s="178" customFormat="1" ht="35.25" customHeight="1">
      <c r="A12" s="185">
        <v>10</v>
      </c>
      <c r="B12" s="186" t="s">
        <v>381</v>
      </c>
      <c r="C12" s="184" t="s">
        <v>182</v>
      </c>
      <c r="D12" s="187">
        <v>1</v>
      </c>
      <c r="E12" s="464">
        <v>48.39</v>
      </c>
      <c r="F12" s="184">
        <v>36</v>
      </c>
      <c r="G12" s="188">
        <f t="shared" si="0"/>
        <v>0.67208333333333337</v>
      </c>
    </row>
    <row r="13" spans="1:8" s="178" customFormat="1" ht="35.25" customHeight="1">
      <c r="A13" s="185">
        <v>11</v>
      </c>
      <c r="B13" s="186" t="s">
        <v>382</v>
      </c>
      <c r="C13" s="184" t="s">
        <v>182</v>
      </c>
      <c r="D13" s="187">
        <v>1</v>
      </c>
      <c r="E13" s="464">
        <v>20.7</v>
      </c>
      <c r="F13" s="184">
        <v>20</v>
      </c>
      <c r="G13" s="188">
        <f t="shared" si="0"/>
        <v>0.51749999999999996</v>
      </c>
    </row>
    <row r="14" spans="1:8" ht="40.5" customHeight="1">
      <c r="A14" s="185">
        <v>12</v>
      </c>
      <c r="B14" s="186" t="s">
        <v>383</v>
      </c>
      <c r="C14" s="184" t="s">
        <v>182</v>
      </c>
      <c r="D14" s="187">
        <v>1</v>
      </c>
      <c r="E14" s="464">
        <v>1391.65</v>
      </c>
      <c r="F14" s="184">
        <v>60</v>
      </c>
      <c r="G14" s="188">
        <f t="shared" si="0"/>
        <v>11.597083333333334</v>
      </c>
      <c r="H14" s="178"/>
    </row>
    <row r="15" spans="1:8" ht="35.25" customHeight="1">
      <c r="A15" s="457" t="s">
        <v>384</v>
      </c>
      <c r="B15" s="458"/>
      <c r="C15" s="458"/>
      <c r="D15" s="458"/>
      <c r="E15" s="458"/>
      <c r="F15" s="459"/>
      <c r="G15" s="466">
        <f>SUM(G3:G14)</f>
        <v>59.190958333333327</v>
      </c>
      <c r="H15" s="178"/>
    </row>
    <row r="16" spans="1:8">
      <c r="A16" s="178"/>
      <c r="B16" s="178"/>
      <c r="C16" s="178"/>
      <c r="D16" s="178"/>
      <c r="E16" s="178"/>
      <c r="G16" s="178"/>
      <c r="H16" s="178"/>
    </row>
    <row r="17" spans="1:8">
      <c r="A17" s="282" t="s">
        <v>385</v>
      </c>
      <c r="B17" s="178"/>
      <c r="C17" s="178"/>
      <c r="D17" s="178"/>
      <c r="E17" s="178"/>
      <c r="G17" s="178"/>
      <c r="H17" s="178"/>
    </row>
    <row r="18" spans="1:8" ht="33" customHeight="1">
      <c r="A18" s="460" t="s">
        <v>386</v>
      </c>
      <c r="B18" s="460"/>
      <c r="C18" s="460"/>
      <c r="D18" s="460"/>
      <c r="E18" s="460"/>
      <c r="F18" s="460"/>
      <c r="G18" s="460"/>
      <c r="H18" s="178"/>
    </row>
    <row r="19" spans="1:8" ht="18.75" customHeight="1">
      <c r="A19" s="461" t="s">
        <v>387</v>
      </c>
      <c r="B19" s="461"/>
      <c r="C19" s="461"/>
      <c r="D19" s="461"/>
      <c r="E19" s="461"/>
      <c r="F19" s="461"/>
      <c r="G19" s="461"/>
      <c r="H19" s="178"/>
    </row>
    <row r="20" spans="1:8" ht="36" customHeight="1">
      <c r="A20" s="460" t="s">
        <v>388</v>
      </c>
      <c r="B20" s="460"/>
      <c r="C20" s="460"/>
      <c r="D20" s="460"/>
      <c r="E20" s="460"/>
      <c r="F20" s="460"/>
      <c r="G20" s="460"/>
      <c r="H20" s="178"/>
    </row>
  </sheetData>
  <mergeCells count="5">
    <mergeCell ref="A1:G1"/>
    <mergeCell ref="A15:F15"/>
    <mergeCell ref="A18:G18"/>
    <mergeCell ref="A20:G20"/>
    <mergeCell ref="A19:G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2"/>
  <sheetViews>
    <sheetView workbookViewId="0"/>
  </sheetViews>
  <sheetFormatPr defaultRowHeight="14.25" customHeight="1"/>
  <cols>
    <col min="1" max="1" width="160.28515625" style="16" customWidth="1"/>
    <col min="2" max="256" width="14.85546875" style="16" customWidth="1"/>
    <col min="257" max="257" width="146" style="16" customWidth="1"/>
    <col min="258" max="512" width="14.85546875" style="16" customWidth="1"/>
    <col min="513" max="513" width="146" style="16" customWidth="1"/>
    <col min="514" max="768" width="14.85546875" style="16" customWidth="1"/>
    <col min="769" max="769" width="146" style="16" customWidth="1"/>
    <col min="770" max="1024" width="14.85546875" style="16" customWidth="1"/>
  </cols>
  <sheetData>
    <row r="1" spans="1:1" ht="25.35" customHeight="1">
      <c r="A1" s="15" t="s">
        <v>32</v>
      </c>
    </row>
    <row r="2" spans="1:1" s="18" customFormat="1" ht="26.45" customHeight="1">
      <c r="A2" s="17" t="s">
        <v>33</v>
      </c>
    </row>
    <row r="3" spans="1:1" s="18" customFormat="1" ht="76.150000000000006" customHeight="1">
      <c r="A3" s="19" t="s">
        <v>34</v>
      </c>
    </row>
    <row r="4" spans="1:1" s="18" customFormat="1" ht="55.15" customHeight="1">
      <c r="A4" s="19" t="s">
        <v>35</v>
      </c>
    </row>
    <row r="5" spans="1:1" s="18" customFormat="1" ht="174.6" customHeight="1">
      <c r="A5" s="19" t="s">
        <v>36</v>
      </c>
    </row>
    <row r="6" spans="1:1" s="18" customFormat="1" ht="72.599999999999994" customHeight="1">
      <c r="A6" s="20" t="s">
        <v>37</v>
      </c>
    </row>
    <row r="7" spans="1:1" s="18" customFormat="1" ht="85.15" customHeight="1">
      <c r="A7" s="21" t="s">
        <v>38</v>
      </c>
    </row>
    <row r="8" spans="1:1" s="18" customFormat="1" ht="33.6" customHeight="1">
      <c r="A8" s="19" t="s">
        <v>39</v>
      </c>
    </row>
    <row r="9" spans="1:1" s="18" customFormat="1" ht="69.599999999999994" customHeight="1">
      <c r="A9" s="19" t="s">
        <v>40</v>
      </c>
    </row>
    <row r="10" spans="1:1" s="18" customFormat="1" ht="30.6" customHeight="1">
      <c r="A10" s="19" t="s">
        <v>41</v>
      </c>
    </row>
    <row r="11" spans="1:1" s="18" customFormat="1" ht="100.15" customHeight="1">
      <c r="A11" s="19" t="s">
        <v>42</v>
      </c>
    </row>
    <row r="12" spans="1:1" ht="58.15" customHeight="1">
      <c r="A12" s="19" t="s">
        <v>43</v>
      </c>
    </row>
  </sheetData>
  <printOptions horizontalCentered="1" verticalCentered="1"/>
  <pageMargins left="0.25000000000000006" right="0.25000000000000006" top="0.75" bottom="0.75" header="0.30000000000000004" footer="0.30000000000000004"/>
  <pageSetup paperSize="0" fitToWidth="0" fitToHeight="0" orientation="landscape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C66"/>
  <sheetViews>
    <sheetView showGridLines="0" workbookViewId="0">
      <selection activeCell="L8" sqref="L8"/>
    </sheetView>
  </sheetViews>
  <sheetFormatPr defaultRowHeight="15"/>
  <cols>
    <col min="1" max="1" width="8" style="173" customWidth="1"/>
    <col min="2" max="2" width="9.42578125" style="173" customWidth="1"/>
    <col min="3" max="3" width="13.85546875" style="173" customWidth="1"/>
    <col min="4" max="4" width="38.28515625" style="173" customWidth="1"/>
    <col min="5" max="5" width="11" style="173" customWidth="1"/>
    <col min="6" max="6" width="10.28515625" style="173" customWidth="1"/>
    <col min="7" max="7" width="12.85546875" style="173" customWidth="1"/>
    <col min="8" max="8" width="20" style="173" customWidth="1"/>
    <col min="9" max="237" width="11.7109375" style="173" customWidth="1"/>
    <col min="238" max="1024" width="11.7109375" style="174" customWidth="1"/>
    <col min="1025" max="16384" width="9.140625" style="174"/>
  </cols>
  <sheetData>
    <row r="1" spans="1:9" ht="24.6" customHeight="1">
      <c r="A1" s="313" t="s">
        <v>44</v>
      </c>
      <c r="B1" s="314"/>
      <c r="C1" s="314"/>
      <c r="D1" s="314"/>
      <c r="E1" s="314"/>
      <c r="F1" s="314"/>
      <c r="G1" s="314"/>
      <c r="H1" s="314"/>
    </row>
    <row r="2" spans="1:9" ht="24.6" customHeight="1">
      <c r="A2" s="313" t="s">
        <v>402</v>
      </c>
      <c r="B2" s="314"/>
      <c r="C2" s="314"/>
      <c r="D2" s="314"/>
      <c r="E2" s="314"/>
      <c r="F2" s="314"/>
      <c r="G2" s="314"/>
      <c r="H2" s="314"/>
    </row>
    <row r="3" spans="1:9" ht="63">
      <c r="A3" s="180" t="s">
        <v>45</v>
      </c>
      <c r="B3" s="180" t="s">
        <v>46</v>
      </c>
      <c r="C3" s="180" t="s">
        <v>403</v>
      </c>
      <c r="D3" s="180" t="s">
        <v>47</v>
      </c>
      <c r="E3" s="180" t="s">
        <v>48</v>
      </c>
      <c r="F3" s="180" t="s">
        <v>393</v>
      </c>
      <c r="G3" s="180" t="s">
        <v>394</v>
      </c>
      <c r="H3" s="180" t="s">
        <v>395</v>
      </c>
      <c r="I3" s="175"/>
    </row>
    <row r="4" spans="1:9" ht="20.100000000000001" customHeight="1">
      <c r="A4" s="467">
        <v>1</v>
      </c>
      <c r="B4" s="176">
        <v>1</v>
      </c>
      <c r="C4" s="257" t="s">
        <v>49</v>
      </c>
      <c r="D4" s="317" t="s">
        <v>50</v>
      </c>
      <c r="E4" s="315" t="s">
        <v>51</v>
      </c>
      <c r="F4" s="257">
        <v>2</v>
      </c>
      <c r="G4" s="292">
        <f>'Postos de PVH'!I119</f>
        <v>7916.5</v>
      </c>
      <c r="H4" s="177">
        <f>F4*G4*20</f>
        <v>316660</v>
      </c>
    </row>
    <row r="5" spans="1:9" ht="20.100000000000001" customHeight="1">
      <c r="A5" s="468"/>
      <c r="B5" s="176">
        <v>2</v>
      </c>
      <c r="C5" s="257" t="s">
        <v>52</v>
      </c>
      <c r="D5" s="318"/>
      <c r="E5" s="315"/>
      <c r="F5" s="257">
        <v>2</v>
      </c>
      <c r="G5" s="292">
        <f>'Postos de PVH'!J119</f>
        <v>8779.58</v>
      </c>
      <c r="H5" s="177">
        <f t="shared" ref="H5:H9" si="0">F5*G5*20</f>
        <v>351183.2</v>
      </c>
    </row>
    <row r="6" spans="1:9" ht="20.100000000000001" customHeight="1">
      <c r="A6" s="468"/>
      <c r="B6" s="176">
        <v>3</v>
      </c>
      <c r="C6" s="257" t="s">
        <v>49</v>
      </c>
      <c r="D6" s="317" t="s">
        <v>53</v>
      </c>
      <c r="E6" s="315"/>
      <c r="F6" s="257">
        <v>1</v>
      </c>
      <c r="G6" s="292">
        <f>'Postos de JPN'!I119</f>
        <v>7863.24</v>
      </c>
      <c r="H6" s="177">
        <f t="shared" si="0"/>
        <v>157264.79999999999</v>
      </c>
    </row>
    <row r="7" spans="1:9" ht="20.100000000000001" customHeight="1">
      <c r="A7" s="468"/>
      <c r="B7" s="176">
        <v>4</v>
      </c>
      <c r="C7" s="257" t="s">
        <v>52</v>
      </c>
      <c r="D7" s="318"/>
      <c r="E7" s="315"/>
      <c r="F7" s="257">
        <v>1</v>
      </c>
      <c r="G7" s="292">
        <f>'Postos de JPN'!J119</f>
        <v>8726.32</v>
      </c>
      <c r="H7" s="177">
        <f t="shared" si="0"/>
        <v>174526.4</v>
      </c>
    </row>
    <row r="8" spans="1:9" ht="20.100000000000001" customHeight="1">
      <c r="A8" s="468"/>
      <c r="B8" s="176">
        <v>5</v>
      </c>
      <c r="C8" s="257" t="s">
        <v>49</v>
      </c>
      <c r="D8" s="257" t="s">
        <v>54</v>
      </c>
      <c r="E8" s="315"/>
      <c r="F8" s="257">
        <v>2</v>
      </c>
      <c r="G8" s="292">
        <f>'Postos de GMI-VLA-PBO'!I118</f>
        <v>7747.4</v>
      </c>
      <c r="H8" s="177">
        <f t="shared" si="0"/>
        <v>309896</v>
      </c>
    </row>
    <row r="9" spans="1:9" ht="20.100000000000001" customHeight="1">
      <c r="A9" s="469"/>
      <c r="B9" s="176">
        <v>6</v>
      </c>
      <c r="C9" s="257" t="s">
        <v>52</v>
      </c>
      <c r="D9" s="257" t="s">
        <v>55</v>
      </c>
      <c r="E9" s="315"/>
      <c r="F9" s="257">
        <v>3</v>
      </c>
      <c r="G9" s="292">
        <f>'Postos de GMI-VLA-PBO'!J118</f>
        <v>8610.48</v>
      </c>
      <c r="H9" s="177">
        <f t="shared" si="0"/>
        <v>516628.8</v>
      </c>
    </row>
    <row r="10" spans="1:9" ht="18.75">
      <c r="A10" s="316" t="s">
        <v>56</v>
      </c>
      <c r="B10" s="316"/>
      <c r="C10" s="316"/>
      <c r="D10" s="316"/>
      <c r="E10" s="316"/>
      <c r="F10" s="316"/>
      <c r="G10" s="316"/>
      <c r="H10" s="192">
        <f>SUM(H4:H9)</f>
        <v>1826159.2</v>
      </c>
    </row>
    <row r="11" spans="1:9" ht="18.75">
      <c r="A11" s="316" t="s">
        <v>57</v>
      </c>
      <c r="B11" s="316"/>
      <c r="C11" s="316"/>
      <c r="D11" s="316"/>
      <c r="E11" s="316"/>
      <c r="F11" s="316"/>
      <c r="G11" s="316"/>
      <c r="H11" s="192">
        <f>ROUND(H10/20,2)</f>
        <v>91307.96</v>
      </c>
    </row>
    <row r="65" ht="12.75" customHeight="1"/>
    <row r="66" ht="12.75" customHeight="1"/>
  </sheetData>
  <mergeCells count="8">
    <mergeCell ref="A1:H1"/>
    <mergeCell ref="E4:E9"/>
    <mergeCell ref="A4:A9"/>
    <mergeCell ref="A10:G10"/>
    <mergeCell ref="A11:G11"/>
    <mergeCell ref="A2:H2"/>
    <mergeCell ref="D4:D5"/>
    <mergeCell ref="D6:D7"/>
  </mergeCells>
  <printOptions horizontalCentered="1" verticalCentered="1"/>
  <pageMargins left="0.25000000000000006" right="0.25000000000000006" top="0.75" bottom="0.75" header="0.30000000000000004" footer="0.30000000000000004"/>
  <pageSetup paperSize="9" fitToWidth="0" fitToHeight="0" orientation="portrait" r:id="rId1"/>
  <ignoredErrors>
    <ignoredError sqref="G4:H4 H5:H9 G5 H10:H11 G6:G7 G8:G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20"/>
  <sheetViews>
    <sheetView showGridLines="0" workbookViewId="0">
      <pane ySplit="2" topLeftCell="A114" activePane="bottomLeft" state="frozen"/>
      <selection pane="bottomLeft" activeCell="A85" sqref="A85:J85"/>
    </sheetView>
  </sheetViews>
  <sheetFormatPr defaultRowHeight="20.100000000000001" customHeight="1"/>
  <cols>
    <col min="1" max="1" width="9.85546875" style="193" customWidth="1"/>
    <col min="2" max="3" width="11.42578125" style="193" customWidth="1"/>
    <col min="4" max="4" width="13.7109375" style="193" customWidth="1"/>
    <col min="5" max="5" width="16.85546875" style="193" customWidth="1"/>
    <col min="6" max="6" width="16.7109375" style="193" customWidth="1"/>
    <col min="7" max="7" width="12.28515625" style="193" customWidth="1"/>
    <col min="8" max="8" width="15.42578125" style="246" customWidth="1"/>
    <col min="9" max="9" width="15.5703125" style="220" customWidth="1"/>
    <col min="10" max="10" width="16.28515625" style="220" customWidth="1"/>
    <col min="11" max="11" width="13.5703125" style="193" customWidth="1"/>
    <col min="12" max="17" width="11.42578125" style="193" customWidth="1"/>
    <col min="18" max="18" width="15" style="193" customWidth="1"/>
    <col min="19" max="1024" width="11.42578125" style="193" customWidth="1"/>
    <col min="1025" max="16384" width="9.140625" style="213"/>
  </cols>
  <sheetData>
    <row r="1" spans="1:10" s="193" customFormat="1" ht="20.100000000000001" customHeight="1">
      <c r="A1" s="387" t="s">
        <v>58</v>
      </c>
      <c r="B1" s="387"/>
      <c r="C1" s="387"/>
      <c r="D1" s="387"/>
      <c r="E1" s="387"/>
      <c r="F1" s="387"/>
      <c r="G1" s="387"/>
      <c r="H1" s="388"/>
      <c r="I1" s="389" t="s">
        <v>398</v>
      </c>
      <c r="J1" s="389"/>
    </row>
    <row r="2" spans="1:10" s="193" customFormat="1" ht="20.100000000000001" customHeight="1">
      <c r="A2" s="390" t="s">
        <v>59</v>
      </c>
      <c r="B2" s="390"/>
      <c r="C2" s="390"/>
      <c r="D2" s="390"/>
      <c r="E2" s="390"/>
      <c r="F2" s="390"/>
      <c r="G2" s="390"/>
      <c r="H2" s="391"/>
      <c r="I2" s="194" t="s">
        <v>49</v>
      </c>
      <c r="J2" s="195" t="s">
        <v>52</v>
      </c>
    </row>
    <row r="3" spans="1:10" s="193" customFormat="1" ht="20.100000000000001" customHeight="1">
      <c r="A3" s="392" t="s">
        <v>60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0" s="193" customFormat="1" ht="20.100000000000001" customHeight="1">
      <c r="A4" s="196" t="s">
        <v>61</v>
      </c>
      <c r="B4" s="330" t="s">
        <v>62</v>
      </c>
      <c r="C4" s="330"/>
      <c r="D4" s="330"/>
      <c r="E4" s="330"/>
      <c r="F4" s="330"/>
      <c r="G4" s="330"/>
      <c r="H4" s="330"/>
      <c r="I4" s="393"/>
      <c r="J4" s="393"/>
    </row>
    <row r="5" spans="1:10" s="193" customFormat="1" ht="20.100000000000001" customHeight="1">
      <c r="A5" s="196" t="s">
        <v>63</v>
      </c>
      <c r="B5" s="330" t="s">
        <v>64</v>
      </c>
      <c r="C5" s="330"/>
      <c r="D5" s="330"/>
      <c r="E5" s="330"/>
      <c r="F5" s="330"/>
      <c r="G5" s="330"/>
      <c r="H5" s="330"/>
      <c r="I5" s="384" t="s">
        <v>65</v>
      </c>
      <c r="J5" s="384"/>
    </row>
    <row r="6" spans="1:10" s="193" customFormat="1" ht="20.100000000000001" customHeight="1">
      <c r="A6" s="196" t="s">
        <v>66</v>
      </c>
      <c r="B6" s="330" t="s">
        <v>67</v>
      </c>
      <c r="C6" s="330"/>
      <c r="D6" s="330"/>
      <c r="E6" s="330"/>
      <c r="F6" s="330"/>
      <c r="G6" s="330"/>
      <c r="H6" s="330"/>
      <c r="I6" s="384" t="s">
        <v>68</v>
      </c>
      <c r="J6" s="384"/>
    </row>
    <row r="7" spans="1:10" s="193" customFormat="1" ht="20.100000000000001" customHeight="1">
      <c r="A7" s="250" t="s">
        <v>69</v>
      </c>
      <c r="B7" s="385" t="s">
        <v>70</v>
      </c>
      <c r="C7" s="385"/>
      <c r="D7" s="385"/>
      <c r="E7" s="385"/>
      <c r="F7" s="385"/>
      <c r="G7" s="385"/>
      <c r="H7" s="385"/>
      <c r="I7" s="386">
        <v>20</v>
      </c>
      <c r="J7" s="386"/>
    </row>
    <row r="8" spans="1:10" s="193" customFormat="1" ht="20.100000000000001" customHeight="1">
      <c r="A8" s="394" t="s">
        <v>71</v>
      </c>
      <c r="B8" s="394"/>
      <c r="C8" s="394"/>
      <c r="D8" s="394"/>
      <c r="E8" s="394"/>
      <c r="F8" s="394"/>
      <c r="G8" s="394"/>
      <c r="H8" s="394"/>
      <c r="I8" s="394"/>
      <c r="J8" s="394"/>
    </row>
    <row r="9" spans="1:10" s="193" customFormat="1" ht="51.75" customHeight="1">
      <c r="A9" s="395" t="s">
        <v>72</v>
      </c>
      <c r="B9" s="395"/>
      <c r="C9" s="395"/>
      <c r="D9" s="395"/>
      <c r="E9" s="395"/>
      <c r="F9" s="395"/>
      <c r="G9" s="396" t="s">
        <v>48</v>
      </c>
      <c r="H9" s="392"/>
      <c r="I9" s="397" t="s">
        <v>73</v>
      </c>
      <c r="J9" s="397"/>
    </row>
    <row r="10" spans="1:10" s="193" customFormat="1" ht="20.100000000000001" customHeight="1">
      <c r="A10" s="382" t="s">
        <v>413</v>
      </c>
      <c r="B10" s="382"/>
      <c r="C10" s="382"/>
      <c r="D10" s="382"/>
      <c r="E10" s="382"/>
      <c r="F10" s="382"/>
      <c r="G10" s="382" t="s">
        <v>414</v>
      </c>
      <c r="H10" s="383"/>
      <c r="I10" s="251">
        <v>2</v>
      </c>
      <c r="J10" s="251">
        <v>2</v>
      </c>
    </row>
    <row r="11" spans="1:10" s="193" customFormat="1" ht="20.100000000000001" customHeight="1">
      <c r="A11" s="374" t="s">
        <v>74</v>
      </c>
      <c r="B11" s="374"/>
      <c r="C11" s="374"/>
      <c r="D11" s="374"/>
      <c r="E11" s="374"/>
      <c r="F11" s="374"/>
      <c r="G11" s="374"/>
      <c r="H11" s="374"/>
      <c r="I11" s="374"/>
      <c r="J11" s="374"/>
    </row>
    <row r="12" spans="1:10" s="193" customFormat="1" ht="20.100000000000001" customHeight="1">
      <c r="A12" s="252">
        <v>1</v>
      </c>
      <c r="B12" s="357" t="s">
        <v>75</v>
      </c>
      <c r="C12" s="357"/>
      <c r="D12" s="357"/>
      <c r="E12" s="357"/>
      <c r="F12" s="357"/>
      <c r="G12" s="357"/>
      <c r="H12" s="357"/>
      <c r="I12" s="375" t="s">
        <v>76</v>
      </c>
      <c r="J12" s="375"/>
    </row>
    <row r="13" spans="1:10" s="193" customFormat="1" ht="20.100000000000001" customHeight="1">
      <c r="A13" s="252">
        <v>2</v>
      </c>
      <c r="B13" s="377" t="s">
        <v>410</v>
      </c>
      <c r="C13" s="378"/>
      <c r="D13" s="378"/>
      <c r="E13" s="378"/>
      <c r="F13" s="378"/>
      <c r="G13" s="378"/>
      <c r="H13" s="379"/>
      <c r="I13" s="380" t="s">
        <v>411</v>
      </c>
      <c r="J13" s="381"/>
    </row>
    <row r="14" spans="1:10" s="193" customFormat="1" ht="20.100000000000001" customHeight="1">
      <c r="A14" s="196">
        <v>3</v>
      </c>
      <c r="B14" s="323" t="s">
        <v>77</v>
      </c>
      <c r="C14" s="323"/>
      <c r="D14" s="323"/>
      <c r="E14" s="323"/>
      <c r="F14" s="323"/>
      <c r="G14" s="323"/>
      <c r="H14" s="323"/>
      <c r="I14" s="376">
        <v>1278.4100000000001</v>
      </c>
      <c r="J14" s="376"/>
    </row>
    <row r="15" spans="1:10" s="193" customFormat="1" ht="20.100000000000001" customHeight="1">
      <c r="A15" s="196">
        <v>4</v>
      </c>
      <c r="B15" s="323" t="s">
        <v>78</v>
      </c>
      <c r="C15" s="323"/>
      <c r="D15" s="323"/>
      <c r="E15" s="323"/>
      <c r="F15" s="323"/>
      <c r="G15" s="323"/>
      <c r="H15" s="323"/>
      <c r="I15" s="373" t="s">
        <v>79</v>
      </c>
      <c r="J15" s="373"/>
    </row>
    <row r="16" spans="1:10" s="193" customFormat="1" ht="20.100000000000001" customHeight="1">
      <c r="A16" s="196">
        <v>5</v>
      </c>
      <c r="B16" s="323" t="s">
        <v>80</v>
      </c>
      <c r="C16" s="323"/>
      <c r="D16" s="323"/>
      <c r="E16" s="323"/>
      <c r="F16" s="323"/>
      <c r="G16" s="323"/>
      <c r="H16" s="323"/>
      <c r="I16" s="373">
        <v>43525</v>
      </c>
      <c r="J16" s="373"/>
    </row>
    <row r="17" spans="1:11" s="193" customFormat="1" ht="20.100000000000001" customHeight="1">
      <c r="A17" s="196">
        <v>6</v>
      </c>
      <c r="B17" s="323" t="s">
        <v>81</v>
      </c>
      <c r="C17" s="323"/>
      <c r="D17" s="323"/>
      <c r="E17" s="323"/>
      <c r="F17" s="323"/>
      <c r="G17" s="323"/>
      <c r="H17" s="323"/>
      <c r="I17" s="360">
        <v>15.21</v>
      </c>
      <c r="J17" s="360"/>
    </row>
    <row r="18" spans="1:11" s="193" customFormat="1" ht="20.100000000000001" customHeight="1">
      <c r="A18" s="197"/>
      <c r="B18" s="198"/>
      <c r="C18" s="198"/>
      <c r="D18" s="198"/>
      <c r="E18" s="198"/>
      <c r="F18" s="198"/>
      <c r="G18" s="198"/>
      <c r="H18" s="199"/>
      <c r="I18" s="199"/>
    </row>
    <row r="19" spans="1:11" s="193" customFormat="1" ht="20.100000000000001" customHeight="1">
      <c r="A19" s="361" t="s">
        <v>82</v>
      </c>
      <c r="B19" s="361"/>
      <c r="C19" s="361"/>
      <c r="D19" s="361"/>
      <c r="E19" s="361"/>
      <c r="F19" s="361"/>
      <c r="G19" s="361"/>
      <c r="H19" s="361"/>
      <c r="I19" s="361"/>
      <c r="J19" s="361"/>
    </row>
    <row r="20" spans="1:11" s="193" customFormat="1" ht="20.100000000000001" customHeight="1">
      <c r="A20" s="258">
        <v>1</v>
      </c>
      <c r="B20" s="329" t="s">
        <v>83</v>
      </c>
      <c r="C20" s="329"/>
      <c r="D20" s="329"/>
      <c r="E20" s="329"/>
      <c r="F20" s="329"/>
      <c r="G20" s="329"/>
      <c r="H20" s="259" t="s">
        <v>84</v>
      </c>
      <c r="I20" s="200" t="s">
        <v>85</v>
      </c>
      <c r="J20" s="201" t="s">
        <v>85</v>
      </c>
    </row>
    <row r="21" spans="1:11" s="193" customFormat="1" ht="20.100000000000001" customHeight="1">
      <c r="A21" s="196" t="s">
        <v>61</v>
      </c>
      <c r="B21" s="362" t="s">
        <v>404</v>
      </c>
      <c r="C21" s="362"/>
      <c r="D21" s="362"/>
      <c r="E21" s="362"/>
      <c r="F21" s="362"/>
      <c r="G21" s="362"/>
      <c r="H21" s="362"/>
      <c r="I21" s="202">
        <f>I14</f>
        <v>1278.4100000000001</v>
      </c>
      <c r="J21" s="203">
        <f>I14</f>
        <v>1278.4100000000001</v>
      </c>
    </row>
    <row r="22" spans="1:11" s="193" customFormat="1" ht="20.100000000000001" customHeight="1">
      <c r="A22" s="196" t="s">
        <v>63</v>
      </c>
      <c r="B22" s="369" t="s">
        <v>412</v>
      </c>
      <c r="C22" s="369"/>
      <c r="D22" s="369"/>
      <c r="E22" s="369"/>
      <c r="F22" s="369"/>
      <c r="G22" s="369"/>
      <c r="H22" s="369"/>
      <c r="I22" s="204"/>
      <c r="J22" s="203">
        <f>8*1.45*15.21</f>
        <v>176.43600000000001</v>
      </c>
      <c r="K22" s="205"/>
    </row>
    <row r="23" spans="1:11" s="193" customFormat="1" ht="20.100000000000001" customHeight="1">
      <c r="A23" s="196" t="s">
        <v>66</v>
      </c>
      <c r="B23" s="370" t="s">
        <v>86</v>
      </c>
      <c r="C23" s="371"/>
      <c r="D23" s="371"/>
      <c r="E23" s="371"/>
      <c r="F23" s="371"/>
      <c r="G23" s="371"/>
      <c r="H23" s="372"/>
      <c r="I23" s="206"/>
      <c r="J23" s="203"/>
      <c r="K23" s="205"/>
    </row>
    <row r="24" spans="1:11" s="193" customFormat="1" ht="20.100000000000001" customHeight="1">
      <c r="A24" s="363" t="s">
        <v>87</v>
      </c>
      <c r="B24" s="364"/>
      <c r="C24" s="364"/>
      <c r="D24" s="364"/>
      <c r="E24" s="364"/>
      <c r="F24" s="364"/>
      <c r="G24" s="364"/>
      <c r="H24" s="365"/>
      <c r="I24" s="202">
        <f>TRUNC(SUM(I21:I23),2)</f>
        <v>1278.4100000000001</v>
      </c>
      <c r="J24" s="202">
        <f>TRUNC(SUM(J21:J23),2)</f>
        <v>1454.84</v>
      </c>
      <c r="K24" s="205"/>
    </row>
    <row r="25" spans="1:11" s="193" customFormat="1" ht="20.100000000000001" customHeight="1">
      <c r="A25" s="196" t="s">
        <v>69</v>
      </c>
      <c r="B25" s="366" t="s">
        <v>88</v>
      </c>
      <c r="C25" s="367"/>
      <c r="D25" s="367"/>
      <c r="E25" s="367"/>
      <c r="F25" s="367"/>
      <c r="G25" s="368"/>
      <c r="H25" s="207">
        <v>0.3</v>
      </c>
      <c r="I25" s="202">
        <f>I24*H25</f>
        <v>383.52300000000002</v>
      </c>
      <c r="J25" s="203">
        <f>J24*H25</f>
        <v>436.45199999999994</v>
      </c>
    </row>
    <row r="26" spans="1:11" s="193" customFormat="1" ht="20.100000000000001" customHeight="1">
      <c r="A26" s="326" t="s">
        <v>89</v>
      </c>
      <c r="B26" s="326"/>
      <c r="C26" s="326"/>
      <c r="D26" s="326"/>
      <c r="E26" s="326"/>
      <c r="F26" s="326"/>
      <c r="G26" s="326"/>
      <c r="H26" s="326"/>
      <c r="I26" s="202">
        <f>TRUNC(SUM(I24:I25),2)</f>
        <v>1661.93</v>
      </c>
      <c r="J26" s="203">
        <f>TRUNC(SUM(J24:J25),2)</f>
        <v>1891.29</v>
      </c>
    </row>
    <row r="27" spans="1:11" s="193" customFormat="1" ht="20.100000000000001" customHeight="1">
      <c r="A27" s="336" t="s">
        <v>90</v>
      </c>
      <c r="B27" s="336"/>
      <c r="C27" s="336"/>
      <c r="D27" s="336"/>
      <c r="E27" s="336"/>
      <c r="F27" s="336"/>
      <c r="G27" s="336"/>
      <c r="H27" s="336"/>
      <c r="I27" s="336"/>
      <c r="J27" s="336"/>
    </row>
    <row r="28" spans="1:11" s="193" customFormat="1" ht="20.100000000000001" customHeight="1">
      <c r="A28" s="335" t="s">
        <v>91</v>
      </c>
      <c r="B28" s="335"/>
      <c r="C28" s="335"/>
      <c r="D28" s="335"/>
      <c r="E28" s="335"/>
      <c r="F28" s="335"/>
      <c r="G28" s="335"/>
      <c r="H28" s="335"/>
      <c r="I28" s="335"/>
      <c r="J28" s="335"/>
    </row>
    <row r="29" spans="1:11" s="193" customFormat="1" ht="20.100000000000001" customHeight="1">
      <c r="A29" s="258" t="s">
        <v>92</v>
      </c>
      <c r="B29" s="359" t="s">
        <v>93</v>
      </c>
      <c r="C29" s="359"/>
      <c r="D29" s="359"/>
      <c r="E29" s="359"/>
      <c r="F29" s="359"/>
      <c r="G29" s="359"/>
      <c r="H29" s="208" t="s">
        <v>84</v>
      </c>
      <c r="I29" s="209" t="s">
        <v>85</v>
      </c>
      <c r="J29" s="260" t="s">
        <v>85</v>
      </c>
      <c r="K29" s="210"/>
    </row>
    <row r="30" spans="1:11" s="193" customFormat="1" ht="20.100000000000001" customHeight="1">
      <c r="A30" s="196" t="s">
        <v>61</v>
      </c>
      <c r="B30" s="350" t="s">
        <v>94</v>
      </c>
      <c r="C30" s="350"/>
      <c r="D30" s="350"/>
      <c r="E30" s="350"/>
      <c r="F30" s="350"/>
      <c r="G30" s="350"/>
      <c r="H30" s="248">
        <f>1/12</f>
        <v>8.3333333333333329E-2</v>
      </c>
      <c r="I30" s="211">
        <f>ROUND($I$26*H30,2)</f>
        <v>138.49</v>
      </c>
      <c r="J30" s="212">
        <f>ROUND($J$26*H30,2)</f>
        <v>157.61000000000001</v>
      </c>
      <c r="K30" s="213"/>
    </row>
    <row r="31" spans="1:11" ht="20.100000000000001" customHeight="1">
      <c r="A31" s="196" t="s">
        <v>63</v>
      </c>
      <c r="B31" s="330" t="s">
        <v>408</v>
      </c>
      <c r="C31" s="330"/>
      <c r="D31" s="330"/>
      <c r="E31" s="330"/>
      <c r="F31" s="330"/>
      <c r="G31" s="330"/>
      <c r="H31" s="249">
        <f>((1/12)/3)</f>
        <v>2.7777777777777776E-2</v>
      </c>
      <c r="I31" s="211">
        <f>ROUND(H31*I26,2)</f>
        <v>46.16</v>
      </c>
      <c r="J31" s="212">
        <f>ROUND(H31*J26,2)</f>
        <v>52.54</v>
      </c>
    </row>
    <row r="32" spans="1:11" ht="20.100000000000001" customHeight="1">
      <c r="A32" s="333" t="s">
        <v>95</v>
      </c>
      <c r="B32" s="333"/>
      <c r="C32" s="333"/>
      <c r="D32" s="333"/>
      <c r="E32" s="333"/>
      <c r="F32" s="333"/>
      <c r="G32" s="333"/>
      <c r="H32" s="214">
        <f>H30+H31</f>
        <v>0.1111111111111111</v>
      </c>
      <c r="I32" s="211">
        <f>TRUNC(I30+I31,2)</f>
        <v>184.65</v>
      </c>
      <c r="J32" s="212">
        <f>TRUNC(J30+J31,2)</f>
        <v>210.15</v>
      </c>
    </row>
    <row r="33" spans="1:213" ht="20.100000000000001" customHeight="1">
      <c r="A33" s="196" t="s">
        <v>66</v>
      </c>
      <c r="B33" s="350" t="s">
        <v>96</v>
      </c>
      <c r="C33" s="350"/>
      <c r="D33" s="350"/>
      <c r="E33" s="350"/>
      <c r="F33" s="350"/>
      <c r="G33" s="350"/>
      <c r="H33" s="215">
        <f>H32*H45</f>
        <v>4.0888888888888891E-2</v>
      </c>
      <c r="I33" s="211">
        <f>ROUND(I32*H45,2)</f>
        <v>67.95</v>
      </c>
      <c r="J33" s="212">
        <f>ROUND(J32*H45,2)</f>
        <v>77.34</v>
      </c>
    </row>
    <row r="34" spans="1:213" ht="20.100000000000001" customHeight="1">
      <c r="A34" s="333" t="s">
        <v>97</v>
      </c>
      <c r="B34" s="333"/>
      <c r="C34" s="333"/>
      <c r="D34" s="333"/>
      <c r="E34" s="333"/>
      <c r="F34" s="333"/>
      <c r="G34" s="333"/>
      <c r="H34" s="216">
        <f>H32+H33</f>
        <v>0.152</v>
      </c>
      <c r="I34" s="211">
        <f>TRUNC(I32+I33,2)</f>
        <v>252.6</v>
      </c>
      <c r="J34" s="212">
        <f>TRUNC(J32+J33,2)</f>
        <v>287.49</v>
      </c>
    </row>
    <row r="35" spans="1:213" ht="20.100000000000001" customHeight="1">
      <c r="A35" s="358" t="s">
        <v>98</v>
      </c>
      <c r="B35" s="358"/>
      <c r="C35" s="358"/>
      <c r="D35" s="358"/>
      <c r="E35" s="358"/>
      <c r="F35" s="358"/>
      <c r="G35" s="358"/>
      <c r="H35" s="358"/>
      <c r="I35" s="358"/>
      <c r="J35" s="358"/>
    </row>
    <row r="36" spans="1:213" ht="20.100000000000001" customHeight="1">
      <c r="A36" s="258" t="s">
        <v>99</v>
      </c>
      <c r="B36" s="359" t="s">
        <v>100</v>
      </c>
      <c r="C36" s="359"/>
      <c r="D36" s="359"/>
      <c r="E36" s="359"/>
      <c r="F36" s="359"/>
      <c r="G36" s="359"/>
      <c r="H36" s="258" t="s">
        <v>84</v>
      </c>
      <c r="I36" s="209" t="s">
        <v>85</v>
      </c>
      <c r="J36" s="260" t="s">
        <v>85</v>
      </c>
    </row>
    <row r="37" spans="1:213" ht="20.100000000000001" customHeight="1">
      <c r="A37" s="196" t="s">
        <v>61</v>
      </c>
      <c r="B37" s="330" t="s">
        <v>101</v>
      </c>
      <c r="C37" s="330"/>
      <c r="D37" s="330"/>
      <c r="E37" s="330"/>
      <c r="F37" s="330"/>
      <c r="G37" s="330"/>
      <c r="H37" s="214">
        <v>0.2</v>
      </c>
      <c r="I37" s="211">
        <f>ROUND($I$26*H37,2)</f>
        <v>332.39</v>
      </c>
      <c r="J37" s="211">
        <f t="shared" ref="J37:J44" si="0">ROUND($J$26*H37,2)</f>
        <v>378.26</v>
      </c>
    </row>
    <row r="38" spans="1:213" ht="20.100000000000001" customHeight="1">
      <c r="A38" s="196" t="s">
        <v>63</v>
      </c>
      <c r="B38" s="330" t="s">
        <v>102</v>
      </c>
      <c r="C38" s="330"/>
      <c r="D38" s="330"/>
      <c r="E38" s="330"/>
      <c r="F38" s="330"/>
      <c r="G38" s="330"/>
      <c r="H38" s="214">
        <v>2.5000000000000001E-2</v>
      </c>
      <c r="I38" s="211">
        <f t="shared" ref="I38:I44" si="1">ROUND($I$26*H38,2)</f>
        <v>41.55</v>
      </c>
      <c r="J38" s="217">
        <f t="shared" si="0"/>
        <v>47.28</v>
      </c>
    </row>
    <row r="39" spans="1:213" ht="20.100000000000001" customHeight="1">
      <c r="A39" s="196" t="s">
        <v>66</v>
      </c>
      <c r="B39" s="330" t="s">
        <v>103</v>
      </c>
      <c r="C39" s="330"/>
      <c r="D39" s="330"/>
      <c r="E39" s="330"/>
      <c r="F39" s="330"/>
      <c r="G39" s="330"/>
      <c r="H39" s="462">
        <v>0.03</v>
      </c>
      <c r="I39" s="211">
        <f t="shared" si="1"/>
        <v>49.86</v>
      </c>
      <c r="J39" s="217">
        <f t="shared" si="0"/>
        <v>56.74</v>
      </c>
    </row>
    <row r="40" spans="1:213" ht="20.100000000000001" customHeight="1">
      <c r="A40" s="196" t="s">
        <v>69</v>
      </c>
      <c r="B40" s="330" t="s">
        <v>104</v>
      </c>
      <c r="C40" s="330"/>
      <c r="D40" s="330"/>
      <c r="E40" s="330"/>
      <c r="F40" s="330"/>
      <c r="G40" s="330"/>
      <c r="H40" s="214">
        <v>1.4999999999999999E-2</v>
      </c>
      <c r="I40" s="211">
        <f t="shared" si="1"/>
        <v>24.93</v>
      </c>
      <c r="J40" s="217">
        <f t="shared" si="0"/>
        <v>28.37</v>
      </c>
    </row>
    <row r="41" spans="1:213" ht="20.100000000000001" customHeight="1">
      <c r="A41" s="196" t="s">
        <v>105</v>
      </c>
      <c r="B41" s="330" t="s">
        <v>106</v>
      </c>
      <c r="C41" s="330"/>
      <c r="D41" s="330"/>
      <c r="E41" s="330"/>
      <c r="F41" s="330"/>
      <c r="G41" s="330"/>
      <c r="H41" s="214">
        <v>0.01</v>
      </c>
      <c r="I41" s="211">
        <f t="shared" si="1"/>
        <v>16.62</v>
      </c>
      <c r="J41" s="217">
        <f t="shared" si="0"/>
        <v>18.91</v>
      </c>
    </row>
    <row r="42" spans="1:213" ht="20.100000000000001" customHeight="1">
      <c r="A42" s="196" t="s">
        <v>107</v>
      </c>
      <c r="B42" s="330" t="s">
        <v>108</v>
      </c>
      <c r="C42" s="330"/>
      <c r="D42" s="330"/>
      <c r="E42" s="330"/>
      <c r="F42" s="330"/>
      <c r="G42" s="330"/>
      <c r="H42" s="214">
        <v>6.0000000000000001E-3</v>
      </c>
      <c r="I42" s="211">
        <f t="shared" si="1"/>
        <v>9.9700000000000006</v>
      </c>
      <c r="J42" s="217">
        <f t="shared" si="0"/>
        <v>11.35</v>
      </c>
    </row>
    <row r="43" spans="1:213" ht="20.100000000000001" customHeight="1">
      <c r="A43" s="196" t="s">
        <v>109</v>
      </c>
      <c r="B43" s="330" t="s">
        <v>110</v>
      </c>
      <c r="C43" s="330"/>
      <c r="D43" s="330"/>
      <c r="E43" s="330"/>
      <c r="F43" s="330"/>
      <c r="G43" s="330"/>
      <c r="H43" s="214">
        <v>2E-3</v>
      </c>
      <c r="I43" s="211">
        <f t="shared" si="1"/>
        <v>3.32</v>
      </c>
      <c r="J43" s="217">
        <f t="shared" si="0"/>
        <v>3.78</v>
      </c>
    </row>
    <row r="44" spans="1:213" ht="20.100000000000001" customHeight="1">
      <c r="A44" s="196" t="s">
        <v>111</v>
      </c>
      <c r="B44" s="330" t="s">
        <v>112</v>
      </c>
      <c r="C44" s="330"/>
      <c r="D44" s="330"/>
      <c r="E44" s="330"/>
      <c r="F44" s="330"/>
      <c r="G44" s="330"/>
      <c r="H44" s="214">
        <v>0.08</v>
      </c>
      <c r="I44" s="211">
        <f t="shared" si="1"/>
        <v>132.94999999999999</v>
      </c>
      <c r="J44" s="217">
        <f t="shared" si="0"/>
        <v>151.30000000000001</v>
      </c>
    </row>
    <row r="45" spans="1:213" s="220" customFormat="1" ht="20.100000000000001" customHeight="1">
      <c r="A45" s="333" t="s">
        <v>97</v>
      </c>
      <c r="B45" s="333"/>
      <c r="C45" s="333"/>
      <c r="D45" s="333"/>
      <c r="E45" s="333"/>
      <c r="F45" s="333"/>
      <c r="G45" s="333"/>
      <c r="H45" s="214">
        <f>SUM(H37:H44)</f>
        <v>0.36800000000000005</v>
      </c>
      <c r="I45" s="218">
        <f>SUM(I37:I44)</f>
        <v>611.59</v>
      </c>
      <c r="J45" s="219">
        <f>SUM(J37:J44)</f>
        <v>695.99</v>
      </c>
    </row>
    <row r="46" spans="1:213" ht="20.100000000000001" customHeight="1">
      <c r="A46" s="336" t="s">
        <v>113</v>
      </c>
      <c r="B46" s="336"/>
      <c r="C46" s="336"/>
      <c r="D46" s="336"/>
      <c r="E46" s="336"/>
      <c r="F46" s="336"/>
      <c r="G46" s="336"/>
      <c r="H46" s="336"/>
      <c r="I46" s="336"/>
      <c r="J46" s="336"/>
    </row>
    <row r="47" spans="1:213" s="197" customFormat="1" ht="20.100000000000001" customHeight="1">
      <c r="A47" s="258" t="s">
        <v>114</v>
      </c>
      <c r="B47" s="329" t="s">
        <v>115</v>
      </c>
      <c r="C47" s="329"/>
      <c r="D47" s="329"/>
      <c r="E47" s="329"/>
      <c r="F47" s="329"/>
      <c r="G47" s="329"/>
      <c r="H47" s="329"/>
      <c r="I47" s="209" t="s">
        <v>85</v>
      </c>
      <c r="J47" s="260" t="s">
        <v>85</v>
      </c>
      <c r="K47" s="353"/>
      <c r="L47" s="353"/>
      <c r="M47" s="353"/>
      <c r="N47" s="353"/>
      <c r="O47" s="353"/>
      <c r="V47" s="353"/>
      <c r="W47" s="353"/>
      <c r="X47" s="353"/>
      <c r="Y47" s="353"/>
      <c r="Z47" s="353"/>
      <c r="AA47" s="353"/>
      <c r="AB47" s="353"/>
      <c r="AC47" s="353"/>
      <c r="AD47" s="353"/>
      <c r="AE47" s="353"/>
      <c r="AF47" s="353"/>
      <c r="AG47" s="353"/>
      <c r="AH47" s="353"/>
      <c r="AI47" s="353"/>
      <c r="AJ47" s="353"/>
      <c r="AK47" s="353"/>
      <c r="AL47" s="353"/>
      <c r="AM47" s="353"/>
      <c r="AN47" s="353"/>
      <c r="AO47" s="353"/>
      <c r="AP47" s="353"/>
      <c r="AQ47" s="353"/>
      <c r="AR47" s="353"/>
      <c r="AS47" s="353"/>
      <c r="AT47" s="353"/>
      <c r="AU47" s="353"/>
      <c r="AV47" s="353"/>
      <c r="AW47" s="353"/>
      <c r="AX47" s="353"/>
      <c r="AY47" s="353"/>
      <c r="AZ47" s="353"/>
      <c r="BA47" s="353"/>
      <c r="BB47" s="353"/>
      <c r="BC47" s="353"/>
      <c r="BD47" s="353"/>
      <c r="BE47" s="353"/>
      <c r="BF47" s="353"/>
      <c r="BG47" s="353"/>
      <c r="BH47" s="353"/>
      <c r="BI47" s="353"/>
      <c r="BJ47" s="353"/>
      <c r="BK47" s="353"/>
      <c r="BL47" s="353"/>
      <c r="BM47" s="353"/>
      <c r="BN47" s="353"/>
      <c r="BO47" s="353"/>
      <c r="BP47" s="353"/>
      <c r="BQ47" s="353"/>
      <c r="BR47" s="353"/>
      <c r="BS47" s="353"/>
      <c r="BT47" s="353"/>
      <c r="BU47" s="353"/>
      <c r="BV47" s="353"/>
      <c r="BW47" s="353"/>
      <c r="BX47" s="353"/>
      <c r="BY47" s="353"/>
      <c r="BZ47" s="353"/>
      <c r="CA47" s="353"/>
      <c r="CB47" s="353"/>
      <c r="CC47" s="353"/>
      <c r="CD47" s="353"/>
      <c r="CE47" s="353"/>
      <c r="CF47" s="353"/>
      <c r="CG47" s="353"/>
      <c r="CH47" s="353"/>
      <c r="CI47" s="353"/>
      <c r="CJ47" s="353"/>
      <c r="CK47" s="353"/>
      <c r="CL47" s="353"/>
      <c r="CM47" s="353"/>
      <c r="CN47" s="353"/>
      <c r="CO47" s="353"/>
      <c r="CP47" s="353"/>
      <c r="CQ47" s="353"/>
      <c r="CR47" s="353"/>
      <c r="CS47" s="353"/>
      <c r="CT47" s="353"/>
      <c r="CU47" s="353"/>
      <c r="CV47" s="353"/>
      <c r="CW47" s="353"/>
      <c r="CX47" s="353"/>
      <c r="CY47" s="353"/>
      <c r="CZ47" s="353"/>
      <c r="DA47" s="353"/>
      <c r="DB47" s="353"/>
      <c r="DC47" s="353"/>
      <c r="DD47" s="353"/>
      <c r="DE47" s="353"/>
      <c r="DF47" s="353"/>
      <c r="DG47" s="353"/>
      <c r="DH47" s="353"/>
      <c r="DI47" s="353"/>
      <c r="DJ47" s="353"/>
      <c r="DK47" s="353"/>
      <c r="DL47" s="353"/>
      <c r="DM47" s="353"/>
      <c r="DN47" s="353"/>
      <c r="DO47" s="353"/>
      <c r="DP47" s="353"/>
      <c r="DQ47" s="353"/>
      <c r="DR47" s="353"/>
      <c r="DS47" s="353"/>
      <c r="DT47" s="353"/>
      <c r="DU47" s="353"/>
      <c r="DV47" s="353"/>
      <c r="DW47" s="353"/>
      <c r="DX47" s="353"/>
      <c r="DY47" s="353"/>
      <c r="DZ47" s="353"/>
      <c r="EA47" s="353"/>
      <c r="EB47" s="353"/>
      <c r="EC47" s="353"/>
      <c r="ED47" s="353"/>
      <c r="EE47" s="353"/>
      <c r="EF47" s="353"/>
      <c r="EG47" s="353"/>
      <c r="EH47" s="353"/>
      <c r="EI47" s="353"/>
      <c r="EJ47" s="353"/>
      <c r="EK47" s="353"/>
      <c r="EL47" s="353"/>
      <c r="EM47" s="353"/>
      <c r="EN47" s="353"/>
      <c r="EO47" s="353"/>
      <c r="EP47" s="353"/>
      <c r="EQ47" s="353"/>
      <c r="ER47" s="353"/>
      <c r="ES47" s="353"/>
      <c r="ET47" s="353"/>
      <c r="EU47" s="353"/>
      <c r="EV47" s="353"/>
      <c r="EW47" s="353"/>
      <c r="EX47" s="353"/>
      <c r="EY47" s="353"/>
      <c r="EZ47" s="353"/>
      <c r="FA47" s="353"/>
      <c r="FB47" s="353"/>
      <c r="FC47" s="353"/>
      <c r="FD47" s="353"/>
      <c r="FE47" s="353"/>
      <c r="FF47" s="353"/>
      <c r="FG47" s="353"/>
      <c r="FH47" s="353"/>
      <c r="FI47" s="353"/>
      <c r="FJ47" s="353"/>
      <c r="FK47" s="353"/>
      <c r="FL47" s="353"/>
      <c r="FM47" s="353"/>
      <c r="FN47" s="353"/>
      <c r="FO47" s="353"/>
      <c r="FP47" s="353"/>
      <c r="FQ47" s="353"/>
      <c r="FR47" s="353"/>
      <c r="FS47" s="353"/>
      <c r="FT47" s="353"/>
      <c r="FU47" s="353"/>
      <c r="FV47" s="353"/>
      <c r="FW47" s="353"/>
      <c r="FX47" s="353"/>
      <c r="FY47" s="353"/>
      <c r="FZ47" s="353"/>
      <c r="GA47" s="353"/>
      <c r="GB47" s="353"/>
      <c r="GC47" s="353"/>
      <c r="GD47" s="353"/>
      <c r="GE47" s="353"/>
      <c r="GF47" s="353"/>
      <c r="GG47" s="353"/>
      <c r="GH47" s="353"/>
      <c r="GI47" s="353"/>
      <c r="GJ47" s="353"/>
      <c r="GK47" s="353"/>
      <c r="GL47" s="353"/>
      <c r="GM47" s="353"/>
      <c r="GN47" s="353"/>
      <c r="GO47" s="353"/>
      <c r="GP47" s="353"/>
      <c r="GQ47" s="353"/>
      <c r="GR47" s="353"/>
      <c r="GS47" s="353"/>
      <c r="GT47" s="353"/>
      <c r="GU47" s="353"/>
      <c r="GV47" s="353"/>
      <c r="GW47" s="353"/>
      <c r="GX47" s="353"/>
      <c r="GY47" s="353"/>
      <c r="GZ47" s="353"/>
      <c r="HA47" s="353"/>
      <c r="HB47" s="353"/>
      <c r="HC47" s="353"/>
      <c r="HD47" s="353"/>
      <c r="HE47" s="353"/>
    </row>
    <row r="48" spans="1:213" s="193" customFormat="1" ht="20.100000000000001" customHeight="1">
      <c r="A48" s="196" t="s">
        <v>61</v>
      </c>
      <c r="B48" s="354" t="s">
        <v>400</v>
      </c>
      <c r="C48" s="355"/>
      <c r="D48" s="355"/>
      <c r="E48" s="356"/>
      <c r="F48" s="254">
        <f>I17</f>
        <v>15.21</v>
      </c>
      <c r="G48" s="221">
        <v>2</v>
      </c>
      <c r="H48" s="222">
        <v>3.8</v>
      </c>
      <c r="I48" s="211">
        <f>ROUND((G48*H48*F48)-((I14/2)*0.06),2)</f>
        <v>77.239999999999995</v>
      </c>
      <c r="J48" s="212">
        <f>ROUND((G48*H48*F48)-((I14/2)*0.06),2)</f>
        <v>77.239999999999995</v>
      </c>
      <c r="K48" s="223"/>
      <c r="L48" s="223"/>
    </row>
    <row r="49" spans="1:12" s="193" customFormat="1" ht="20.100000000000001" customHeight="1">
      <c r="A49" s="196" t="s">
        <v>63</v>
      </c>
      <c r="B49" s="354" t="s">
        <v>116</v>
      </c>
      <c r="C49" s="355"/>
      <c r="D49" s="355"/>
      <c r="E49" s="355"/>
      <c r="F49" s="356"/>
      <c r="G49" s="224">
        <v>28</v>
      </c>
      <c r="H49" s="225">
        <v>0.99</v>
      </c>
      <c r="I49" s="211">
        <f>ROUND((15*G49)*H49,2)</f>
        <v>415.8</v>
      </c>
      <c r="J49" s="211">
        <f>ROUND((15*G49)*H49,2)</f>
        <v>415.8</v>
      </c>
      <c r="L49" s="223"/>
    </row>
    <row r="50" spans="1:12" s="193" customFormat="1" ht="20.100000000000001" customHeight="1">
      <c r="A50" s="196" t="s">
        <v>66</v>
      </c>
      <c r="B50" s="320" t="s">
        <v>117</v>
      </c>
      <c r="C50" s="321"/>
      <c r="D50" s="321"/>
      <c r="E50" s="321"/>
      <c r="F50" s="322"/>
      <c r="G50" s="225">
        <v>0.16</v>
      </c>
      <c r="H50" s="226">
        <v>0.01</v>
      </c>
      <c r="I50" s="227">
        <f>ROUND((G50*I14)-(H50*I14),2)/12</f>
        <v>15.979999999999999</v>
      </c>
      <c r="J50" s="212">
        <f>ROUND((G50*I14)-(H50*I14),2)/12</f>
        <v>15.979999999999999</v>
      </c>
      <c r="K50" s="223"/>
    </row>
    <row r="51" spans="1:12" s="193" customFormat="1" ht="20.100000000000001" customHeight="1">
      <c r="A51" s="196" t="s">
        <v>69</v>
      </c>
      <c r="B51" s="323" t="s">
        <v>118</v>
      </c>
      <c r="C51" s="323"/>
      <c r="D51" s="323"/>
      <c r="E51" s="323"/>
      <c r="F51" s="323"/>
      <c r="G51" s="323"/>
      <c r="H51" s="357"/>
      <c r="I51" s="211">
        <v>10.68</v>
      </c>
      <c r="J51" s="212">
        <v>10.68</v>
      </c>
    </row>
    <row r="52" spans="1:12" s="193" customFormat="1" ht="20.100000000000001" customHeight="1">
      <c r="A52" s="196" t="s">
        <v>105</v>
      </c>
      <c r="B52" s="323" t="s">
        <v>119</v>
      </c>
      <c r="C52" s="323"/>
      <c r="D52" s="323"/>
      <c r="E52" s="323"/>
      <c r="F52" s="323"/>
      <c r="G52" s="323"/>
      <c r="H52" s="323"/>
      <c r="I52" s="211"/>
      <c r="J52" s="212"/>
    </row>
    <row r="53" spans="1:12" s="193" customFormat="1" ht="20.100000000000001" customHeight="1">
      <c r="A53" s="196" t="s">
        <v>107</v>
      </c>
      <c r="B53" s="323" t="s">
        <v>120</v>
      </c>
      <c r="C53" s="323"/>
      <c r="D53" s="323"/>
      <c r="E53" s="323"/>
      <c r="F53" s="323"/>
      <c r="G53" s="323"/>
      <c r="H53" s="323"/>
      <c r="I53" s="211"/>
      <c r="J53" s="212"/>
    </row>
    <row r="54" spans="1:12" s="228" customFormat="1" ht="20.100000000000001" customHeight="1">
      <c r="A54" s="196" t="s">
        <v>109</v>
      </c>
      <c r="B54" s="323" t="s">
        <v>86</v>
      </c>
      <c r="C54" s="323"/>
      <c r="D54" s="323"/>
      <c r="E54" s="323"/>
      <c r="F54" s="323"/>
      <c r="G54" s="323"/>
      <c r="H54" s="323"/>
      <c r="I54" s="211"/>
      <c r="J54" s="212"/>
    </row>
    <row r="55" spans="1:12" s="193" customFormat="1" ht="20.100000000000001" customHeight="1">
      <c r="A55" s="229"/>
      <c r="B55" s="326" t="s">
        <v>121</v>
      </c>
      <c r="C55" s="326"/>
      <c r="D55" s="326"/>
      <c r="E55" s="326"/>
      <c r="F55" s="326"/>
      <c r="G55" s="326"/>
      <c r="H55" s="326"/>
      <c r="I55" s="230">
        <f>TRUNC(SUM(I48:I54),2)</f>
        <v>519.70000000000005</v>
      </c>
      <c r="J55" s="231">
        <f>TRUNC(SUM(J48:J54),2)</f>
        <v>519.70000000000005</v>
      </c>
    </row>
    <row r="56" spans="1:12" s="193" customFormat="1" ht="20.100000000000001" customHeight="1">
      <c r="A56" s="352"/>
      <c r="B56" s="352"/>
      <c r="C56" s="352"/>
      <c r="D56" s="352"/>
      <c r="E56" s="352"/>
      <c r="F56" s="352"/>
      <c r="G56" s="352"/>
      <c r="H56" s="352"/>
      <c r="I56" s="352"/>
      <c r="J56" s="232"/>
    </row>
    <row r="57" spans="1:12" s="193" customFormat="1" ht="20.100000000000001" customHeight="1">
      <c r="A57" s="335" t="s">
        <v>122</v>
      </c>
      <c r="B57" s="335"/>
      <c r="C57" s="335"/>
      <c r="D57" s="335"/>
      <c r="E57" s="335"/>
      <c r="F57" s="335"/>
      <c r="G57" s="335"/>
      <c r="H57" s="335"/>
      <c r="I57" s="335"/>
      <c r="J57" s="335"/>
    </row>
    <row r="58" spans="1:12" s="193" customFormat="1" ht="20.100000000000001" customHeight="1">
      <c r="A58" s="258">
        <v>2</v>
      </c>
      <c r="B58" s="329" t="s">
        <v>123</v>
      </c>
      <c r="C58" s="329"/>
      <c r="D58" s="329"/>
      <c r="E58" s="329"/>
      <c r="F58" s="329"/>
      <c r="G58" s="329"/>
      <c r="H58" s="258" t="s">
        <v>84</v>
      </c>
      <c r="I58" s="209" t="s">
        <v>85</v>
      </c>
      <c r="J58" s="260" t="s">
        <v>85</v>
      </c>
    </row>
    <row r="59" spans="1:12" s="193" customFormat="1" ht="20.100000000000001" customHeight="1">
      <c r="A59" s="261" t="s">
        <v>92</v>
      </c>
      <c r="B59" s="351" t="s">
        <v>124</v>
      </c>
      <c r="C59" s="351"/>
      <c r="D59" s="351"/>
      <c r="E59" s="351"/>
      <c r="F59" s="351"/>
      <c r="G59" s="351"/>
      <c r="H59" s="214">
        <f>H32</f>
        <v>0.1111111111111111</v>
      </c>
      <c r="I59" s="211">
        <f>I34</f>
        <v>252.6</v>
      </c>
      <c r="J59" s="211">
        <f>J34</f>
        <v>287.49</v>
      </c>
    </row>
    <row r="60" spans="1:12" s="193" customFormat="1" ht="20.100000000000001" customHeight="1">
      <c r="A60" s="261" t="s">
        <v>99</v>
      </c>
      <c r="B60" s="351" t="s">
        <v>100</v>
      </c>
      <c r="C60" s="351"/>
      <c r="D60" s="351"/>
      <c r="E60" s="351"/>
      <c r="F60" s="351"/>
      <c r="G60" s="351"/>
      <c r="H60" s="214">
        <f>H45</f>
        <v>0.36800000000000005</v>
      </c>
      <c r="I60" s="211">
        <f>I45</f>
        <v>611.59</v>
      </c>
      <c r="J60" s="211">
        <f>J45</f>
        <v>695.99</v>
      </c>
    </row>
    <row r="61" spans="1:12" s="193" customFormat="1" ht="20.100000000000001" customHeight="1">
      <c r="A61" s="261" t="s">
        <v>114</v>
      </c>
      <c r="B61" s="351" t="s">
        <v>115</v>
      </c>
      <c r="C61" s="351"/>
      <c r="D61" s="351"/>
      <c r="E61" s="351"/>
      <c r="F61" s="351"/>
      <c r="G61" s="351"/>
      <c r="H61" s="233" t="s">
        <v>125</v>
      </c>
      <c r="I61" s="211">
        <f>I55</f>
        <v>519.70000000000005</v>
      </c>
      <c r="J61" s="211">
        <f>J55</f>
        <v>519.70000000000005</v>
      </c>
    </row>
    <row r="62" spans="1:12" s="193" customFormat="1" ht="20.100000000000001" customHeight="1">
      <c r="A62" s="333" t="s">
        <v>97</v>
      </c>
      <c r="B62" s="333"/>
      <c r="C62" s="333"/>
      <c r="D62" s="333"/>
      <c r="E62" s="333"/>
      <c r="F62" s="333"/>
      <c r="G62" s="333"/>
      <c r="H62" s="214">
        <f>H59+H60</f>
        <v>0.47911111111111115</v>
      </c>
      <c r="I62" s="211">
        <f>SUM(I59:I61)</f>
        <v>1383.89</v>
      </c>
      <c r="J62" s="211">
        <f>SUM(J59:J61)</f>
        <v>1503.18</v>
      </c>
    </row>
    <row r="63" spans="1:12" s="193" customFormat="1" ht="20.100000000000001" customHeight="1">
      <c r="A63" s="336" t="s">
        <v>126</v>
      </c>
      <c r="B63" s="336"/>
      <c r="C63" s="336"/>
      <c r="D63" s="336"/>
      <c r="E63" s="336"/>
      <c r="F63" s="336"/>
      <c r="G63" s="336"/>
      <c r="H63" s="336"/>
      <c r="I63" s="336"/>
      <c r="J63" s="336"/>
    </row>
    <row r="64" spans="1:12" s="193" customFormat="1" ht="20.100000000000001" customHeight="1">
      <c r="A64" s="258">
        <v>3</v>
      </c>
      <c r="B64" s="329" t="s">
        <v>127</v>
      </c>
      <c r="C64" s="329"/>
      <c r="D64" s="329"/>
      <c r="E64" s="329"/>
      <c r="F64" s="329"/>
      <c r="G64" s="329"/>
      <c r="H64" s="329"/>
      <c r="I64" s="209" t="s">
        <v>85</v>
      </c>
      <c r="J64" s="260" t="s">
        <v>85</v>
      </c>
    </row>
    <row r="65" spans="1:12" s="193" customFormat="1" ht="20.100000000000001" customHeight="1">
      <c r="A65" s="196" t="s">
        <v>61</v>
      </c>
      <c r="B65" s="347" t="s">
        <v>128</v>
      </c>
      <c r="C65" s="347"/>
      <c r="D65" s="347"/>
      <c r="E65" s="347"/>
      <c r="F65" s="347"/>
      <c r="G65" s="347"/>
      <c r="H65" s="215">
        <v>4.1999999999999997E-3</v>
      </c>
      <c r="I65" s="211">
        <f>ROUND(I26*H65,2)</f>
        <v>6.98</v>
      </c>
      <c r="J65" s="212">
        <f>ROUND(J26*H65,2)</f>
        <v>7.94</v>
      </c>
    </row>
    <row r="66" spans="1:12" s="193" customFormat="1" ht="20.100000000000001" customHeight="1">
      <c r="A66" s="196" t="s">
        <v>63</v>
      </c>
      <c r="B66" s="330" t="s">
        <v>129</v>
      </c>
      <c r="C66" s="330"/>
      <c r="D66" s="330"/>
      <c r="E66" s="330"/>
      <c r="F66" s="330"/>
      <c r="G66" s="330"/>
      <c r="H66" s="214">
        <f>H44*H65</f>
        <v>3.3599999999999998E-4</v>
      </c>
      <c r="I66" s="211">
        <f>ROUND(I26*H66,2)</f>
        <v>0.56000000000000005</v>
      </c>
      <c r="J66" s="212">
        <f>ROUND(J26*H66,2)</f>
        <v>0.64</v>
      </c>
      <c r="L66" s="234"/>
    </row>
    <row r="67" spans="1:12" s="193" customFormat="1" ht="30.75" customHeight="1">
      <c r="A67" s="196" t="s">
        <v>66</v>
      </c>
      <c r="B67" s="348" t="s">
        <v>130</v>
      </c>
      <c r="C67" s="348"/>
      <c r="D67" s="348"/>
      <c r="E67" s="348"/>
      <c r="F67" s="348"/>
      <c r="G67" s="348"/>
      <c r="H67" s="248">
        <f>4%-H70</f>
        <v>8.0000000000000002E-3</v>
      </c>
      <c r="I67" s="211">
        <f>ROUND(I26*H67,2)</f>
        <v>13.3</v>
      </c>
      <c r="J67" s="212">
        <f>ROUND(J26*H67,2)</f>
        <v>15.13</v>
      </c>
      <c r="K67" s="235"/>
    </row>
    <row r="68" spans="1:12" s="193" customFormat="1" ht="20.100000000000001" customHeight="1">
      <c r="A68" s="196" t="s">
        <v>69</v>
      </c>
      <c r="B68" s="349" t="s">
        <v>131</v>
      </c>
      <c r="C68" s="349"/>
      <c r="D68" s="349"/>
      <c r="E68" s="349"/>
      <c r="F68" s="349"/>
      <c r="G68" s="349"/>
      <c r="H68" s="248">
        <f>((7/30)/12)</f>
        <v>1.9444444444444445E-2</v>
      </c>
      <c r="I68" s="211">
        <f>ROUND(I26*H68,2)</f>
        <v>32.32</v>
      </c>
      <c r="J68" s="212">
        <f>ROUND(J26*H68,2)</f>
        <v>36.78</v>
      </c>
    </row>
    <row r="69" spans="1:12" s="193" customFormat="1" ht="20.100000000000001" customHeight="1">
      <c r="A69" s="196" t="s">
        <v>105</v>
      </c>
      <c r="B69" s="350" t="s">
        <v>132</v>
      </c>
      <c r="C69" s="350"/>
      <c r="D69" s="350"/>
      <c r="E69" s="350"/>
      <c r="F69" s="350"/>
      <c r="G69" s="350"/>
      <c r="H69" s="214">
        <f>H45*H68</f>
        <v>7.1555555555555565E-3</v>
      </c>
      <c r="I69" s="211">
        <f>ROUND(I26*H69,2)</f>
        <v>11.89</v>
      </c>
      <c r="J69" s="212">
        <f>ROUND(J26*H69,2)</f>
        <v>13.53</v>
      </c>
    </row>
    <row r="70" spans="1:12" s="193" customFormat="1" ht="29.25" customHeight="1">
      <c r="A70" s="196" t="s">
        <v>107</v>
      </c>
      <c r="B70" s="349" t="s">
        <v>133</v>
      </c>
      <c r="C70" s="349"/>
      <c r="D70" s="349"/>
      <c r="E70" s="349"/>
      <c r="F70" s="349"/>
      <c r="G70" s="349"/>
      <c r="H70" s="248">
        <f>40%*8%</f>
        <v>3.2000000000000001E-2</v>
      </c>
      <c r="I70" s="211">
        <f>ROUND(I26*H70,2)</f>
        <v>53.18</v>
      </c>
      <c r="J70" s="212">
        <f>ROUND(J26*H70,2)</f>
        <v>60.52</v>
      </c>
      <c r="K70" s="235"/>
    </row>
    <row r="71" spans="1:12" s="193" customFormat="1" ht="20.100000000000001" customHeight="1">
      <c r="A71" s="333" t="s">
        <v>97</v>
      </c>
      <c r="B71" s="333"/>
      <c r="C71" s="333"/>
      <c r="D71" s="333"/>
      <c r="E71" s="333"/>
      <c r="F71" s="333"/>
      <c r="G71" s="333"/>
      <c r="H71" s="214">
        <f>SUM(H65:H70)</f>
        <v>7.1136000000000005E-2</v>
      </c>
      <c r="I71" s="211">
        <f>SUM(I65:I70)</f>
        <v>118.23000000000002</v>
      </c>
      <c r="J71" s="212">
        <f>SUM(J65:J70)</f>
        <v>134.54</v>
      </c>
    </row>
    <row r="72" spans="1:12" s="193" customFormat="1" ht="20.100000000000001" customHeight="1">
      <c r="A72" s="336" t="s">
        <v>134</v>
      </c>
      <c r="B72" s="336"/>
      <c r="C72" s="336"/>
      <c r="D72" s="336"/>
      <c r="E72" s="336"/>
      <c r="F72" s="336"/>
      <c r="G72" s="336"/>
      <c r="H72" s="336"/>
      <c r="I72" s="336"/>
      <c r="J72" s="336"/>
    </row>
    <row r="73" spans="1:12" s="193" customFormat="1" ht="20.100000000000001" customHeight="1">
      <c r="A73" s="258" t="s">
        <v>135</v>
      </c>
      <c r="B73" s="329" t="s">
        <v>136</v>
      </c>
      <c r="C73" s="329"/>
      <c r="D73" s="329"/>
      <c r="E73" s="329"/>
      <c r="F73" s="329"/>
      <c r="G73" s="329"/>
      <c r="H73" s="329"/>
      <c r="I73" s="209" t="s">
        <v>85</v>
      </c>
      <c r="J73" s="260" t="s">
        <v>85</v>
      </c>
      <c r="K73" s="213"/>
    </row>
    <row r="74" spans="1:12" s="193" customFormat="1" ht="20.100000000000001" customHeight="1">
      <c r="A74" s="196" t="s">
        <v>61</v>
      </c>
      <c r="B74" s="346" t="s">
        <v>137</v>
      </c>
      <c r="C74" s="346"/>
      <c r="D74" s="346"/>
      <c r="E74" s="346"/>
      <c r="F74" s="346"/>
      <c r="G74" s="346"/>
      <c r="H74" s="236">
        <v>9.3200000000000005E-2</v>
      </c>
      <c r="I74" s="211">
        <f t="shared" ref="I74" si="2">ROUND($I$26*H74,2)</f>
        <v>154.88999999999999</v>
      </c>
      <c r="J74" s="212">
        <f t="shared" ref="J74" si="3">ROUND($J$26*H74,2)</f>
        <v>176.27</v>
      </c>
      <c r="K74" s="213"/>
    </row>
    <row r="75" spans="1:12" s="193" customFormat="1" ht="20.100000000000001" customHeight="1">
      <c r="A75" s="196" t="s">
        <v>63</v>
      </c>
      <c r="B75" s="330" t="s">
        <v>138</v>
      </c>
      <c r="C75" s="330"/>
      <c r="D75" s="330"/>
      <c r="E75" s="330"/>
      <c r="F75" s="330"/>
      <c r="G75" s="330"/>
      <c r="H75" s="237">
        <v>0</v>
      </c>
      <c r="I75" s="211">
        <f>ROUND($I$26*H75,2)</f>
        <v>0</v>
      </c>
      <c r="J75" s="211">
        <f>ROUND($J$26*H75,2)</f>
        <v>0</v>
      </c>
      <c r="K75" s="213"/>
    </row>
    <row r="76" spans="1:12" s="193" customFormat="1" ht="20.100000000000001" customHeight="1">
      <c r="A76" s="196" t="s">
        <v>66</v>
      </c>
      <c r="B76" s="330" t="s">
        <v>139</v>
      </c>
      <c r="C76" s="330"/>
      <c r="D76" s="330"/>
      <c r="E76" s="330"/>
      <c r="F76" s="330"/>
      <c r="G76" s="330"/>
      <c r="H76" s="237">
        <v>0</v>
      </c>
      <c r="I76" s="211">
        <f t="shared" ref="I76:I78" si="4">ROUND($I$26*H76,2)</f>
        <v>0</v>
      </c>
      <c r="J76" s="211">
        <f t="shared" ref="J76:J78" si="5">ROUND($J$26*H76,2)</f>
        <v>0</v>
      </c>
      <c r="K76" s="213"/>
    </row>
    <row r="77" spans="1:12" s="193" customFormat="1" ht="20.100000000000001" customHeight="1">
      <c r="A77" s="196" t="s">
        <v>69</v>
      </c>
      <c r="B77" s="330" t="s">
        <v>140</v>
      </c>
      <c r="C77" s="330"/>
      <c r="D77" s="330"/>
      <c r="E77" s="330"/>
      <c r="F77" s="330"/>
      <c r="G77" s="330"/>
      <c r="H77" s="237">
        <v>0</v>
      </c>
      <c r="I77" s="211">
        <f t="shared" si="4"/>
        <v>0</v>
      </c>
      <c r="J77" s="211">
        <f t="shared" si="5"/>
        <v>0</v>
      </c>
      <c r="K77" s="213"/>
    </row>
    <row r="78" spans="1:12" s="193" customFormat="1" ht="20.100000000000001" customHeight="1">
      <c r="A78" s="196" t="s">
        <v>105</v>
      </c>
      <c r="B78" s="330" t="s">
        <v>141</v>
      </c>
      <c r="C78" s="330"/>
      <c r="D78" s="330"/>
      <c r="E78" s="330"/>
      <c r="F78" s="330"/>
      <c r="G78" s="330"/>
      <c r="H78" s="237">
        <v>0</v>
      </c>
      <c r="I78" s="211">
        <f t="shared" si="4"/>
        <v>0</v>
      </c>
      <c r="J78" s="211">
        <f t="shared" si="5"/>
        <v>0</v>
      </c>
      <c r="K78" s="213"/>
    </row>
    <row r="79" spans="1:12" s="193" customFormat="1" ht="20.100000000000001" customHeight="1">
      <c r="A79" s="196" t="s">
        <v>107</v>
      </c>
      <c r="B79" s="330" t="s">
        <v>416</v>
      </c>
      <c r="C79" s="330"/>
      <c r="D79" s="330"/>
      <c r="E79" s="330"/>
      <c r="F79" s="330"/>
      <c r="G79" s="330"/>
      <c r="H79" s="237"/>
      <c r="I79" s="211">
        <f t="shared" ref="I79" si="6">ROUND($I$26*H79,2)</f>
        <v>0</v>
      </c>
      <c r="J79" s="212">
        <f t="shared" ref="J79" si="7">ROUND($J$26*H79,2)</f>
        <v>0</v>
      </c>
    </row>
    <row r="80" spans="1:12" s="193" customFormat="1" ht="20.100000000000001" customHeight="1">
      <c r="A80" s="333" t="s">
        <v>95</v>
      </c>
      <c r="B80" s="333"/>
      <c r="C80" s="333"/>
      <c r="D80" s="333"/>
      <c r="E80" s="333"/>
      <c r="F80" s="333"/>
      <c r="G80" s="333"/>
      <c r="H80" s="214">
        <f>SUM(H74:H79)</f>
        <v>9.3200000000000005E-2</v>
      </c>
      <c r="I80" s="211">
        <f>TRUNC(SUM(I74:I79),2)</f>
        <v>154.88999999999999</v>
      </c>
      <c r="J80" s="212">
        <f>TRUNC(SUM(J74:J79),2)</f>
        <v>176.27</v>
      </c>
    </row>
    <row r="81" spans="1:11" s="193" customFormat="1" ht="20.100000000000001" customHeight="1">
      <c r="A81" s="196" t="s">
        <v>109</v>
      </c>
      <c r="B81" s="330" t="s">
        <v>142</v>
      </c>
      <c r="C81" s="330"/>
      <c r="D81" s="330"/>
      <c r="E81" s="330"/>
      <c r="F81" s="330"/>
      <c r="G81" s="330"/>
      <c r="H81" s="215">
        <f>H45*H80</f>
        <v>3.4297600000000004E-2</v>
      </c>
      <c r="I81" s="211">
        <f>ROUND(H45*I80,2)</f>
        <v>57</v>
      </c>
      <c r="J81" s="212">
        <f>ROUND(H45*J80,2)</f>
        <v>64.87</v>
      </c>
    </row>
    <row r="82" spans="1:11" s="193" customFormat="1" ht="20.100000000000001" customHeight="1">
      <c r="A82" s="333" t="s">
        <v>97</v>
      </c>
      <c r="B82" s="333"/>
      <c r="C82" s="333"/>
      <c r="D82" s="333"/>
      <c r="E82" s="333"/>
      <c r="F82" s="333"/>
      <c r="G82" s="333"/>
      <c r="H82" s="214">
        <f>H80+H81</f>
        <v>0.12749760000000002</v>
      </c>
      <c r="I82" s="211">
        <f>TRUNC(I80+I81,2)</f>
        <v>211.89</v>
      </c>
      <c r="J82" s="212">
        <f>TRUNC(J80+J81,2)</f>
        <v>241.14</v>
      </c>
    </row>
    <row r="83" spans="1:11" s="193" customFormat="1" ht="20.100000000000001" customHeight="1">
      <c r="A83" s="258" t="s">
        <v>143</v>
      </c>
      <c r="B83" s="329" t="s">
        <v>144</v>
      </c>
      <c r="C83" s="329"/>
      <c r="D83" s="329"/>
      <c r="E83" s="329"/>
      <c r="F83" s="329"/>
      <c r="G83" s="329"/>
      <c r="H83" s="329"/>
      <c r="I83" s="209" t="s">
        <v>85</v>
      </c>
      <c r="J83" s="260" t="s">
        <v>85</v>
      </c>
      <c r="K83" s="213"/>
    </row>
    <row r="84" spans="1:11" s="193" customFormat="1" ht="20.100000000000001" customHeight="1">
      <c r="A84" s="196" t="s">
        <v>61</v>
      </c>
      <c r="B84" s="337" t="s">
        <v>420</v>
      </c>
      <c r="C84" s="338"/>
      <c r="D84" s="338"/>
      <c r="E84" s="338"/>
      <c r="F84" s="338"/>
      <c r="G84" s="338"/>
      <c r="H84" s="339"/>
      <c r="I84" s="211">
        <f>ROUND(15.21*8.71,2)</f>
        <v>132.47999999999999</v>
      </c>
      <c r="J84" s="217">
        <f>ROUND(15.21*8.71,2)</f>
        <v>132.47999999999999</v>
      </c>
      <c r="K84" s="213"/>
    </row>
    <row r="85" spans="1:11" s="193" customFormat="1" ht="20.100000000000001" customHeight="1">
      <c r="A85" s="335" t="s">
        <v>145</v>
      </c>
      <c r="B85" s="335"/>
      <c r="C85" s="335"/>
      <c r="D85" s="335"/>
      <c r="E85" s="335"/>
      <c r="F85" s="335"/>
      <c r="G85" s="335"/>
      <c r="H85" s="335"/>
      <c r="I85" s="335"/>
      <c r="J85" s="335"/>
    </row>
    <row r="86" spans="1:11" s="193" customFormat="1" ht="20.100000000000001" customHeight="1">
      <c r="A86" s="258">
        <v>4</v>
      </c>
      <c r="B86" s="329" t="s">
        <v>146</v>
      </c>
      <c r="C86" s="329"/>
      <c r="D86" s="329"/>
      <c r="E86" s="329"/>
      <c r="F86" s="329"/>
      <c r="G86" s="329"/>
      <c r="H86" s="258" t="s">
        <v>84</v>
      </c>
      <c r="I86" s="209" t="s">
        <v>85</v>
      </c>
      <c r="J86" s="260" t="s">
        <v>85</v>
      </c>
    </row>
    <row r="87" spans="1:11" s="193" customFormat="1" ht="20.100000000000001" customHeight="1">
      <c r="A87" s="261" t="s">
        <v>135</v>
      </c>
      <c r="B87" s="343" t="s">
        <v>147</v>
      </c>
      <c r="C87" s="344"/>
      <c r="D87" s="344"/>
      <c r="E87" s="344"/>
      <c r="F87" s="344"/>
      <c r="G87" s="344"/>
      <c r="H87" s="345"/>
      <c r="I87" s="211">
        <f>I82</f>
        <v>211.89</v>
      </c>
      <c r="J87" s="211">
        <f>J82</f>
        <v>241.14</v>
      </c>
    </row>
    <row r="88" spans="1:11" s="193" customFormat="1" ht="20.100000000000001" customHeight="1">
      <c r="A88" s="261" t="s">
        <v>143</v>
      </c>
      <c r="B88" s="343" t="s">
        <v>148</v>
      </c>
      <c r="C88" s="344"/>
      <c r="D88" s="344"/>
      <c r="E88" s="344"/>
      <c r="F88" s="344"/>
      <c r="G88" s="344"/>
      <c r="H88" s="345"/>
      <c r="I88" s="211">
        <f>I84</f>
        <v>132.47999999999999</v>
      </c>
      <c r="J88" s="211">
        <f>J84</f>
        <v>132.47999999999999</v>
      </c>
    </row>
    <row r="89" spans="1:11" s="193" customFormat="1" ht="20.100000000000001" customHeight="1">
      <c r="A89" s="340" t="s">
        <v>97</v>
      </c>
      <c r="B89" s="341"/>
      <c r="C89" s="341"/>
      <c r="D89" s="341"/>
      <c r="E89" s="341"/>
      <c r="F89" s="341"/>
      <c r="G89" s="341"/>
      <c r="H89" s="342"/>
      <c r="I89" s="211">
        <f>I87+I88</f>
        <v>344.37</v>
      </c>
      <c r="J89" s="212">
        <f>J87+J88</f>
        <v>373.62</v>
      </c>
    </row>
    <row r="90" spans="1:11" s="193" customFormat="1" ht="20.100000000000001" customHeight="1">
      <c r="A90" s="336" t="s">
        <v>149</v>
      </c>
      <c r="B90" s="336"/>
      <c r="C90" s="336"/>
      <c r="D90" s="336"/>
      <c r="E90" s="336"/>
      <c r="F90" s="336"/>
      <c r="G90" s="336"/>
      <c r="H90" s="336"/>
      <c r="I90" s="336"/>
      <c r="J90" s="336"/>
    </row>
    <row r="91" spans="1:11" s="193" customFormat="1" ht="20.100000000000001" customHeight="1">
      <c r="A91" s="258">
        <v>5</v>
      </c>
      <c r="B91" s="329" t="s">
        <v>150</v>
      </c>
      <c r="C91" s="329"/>
      <c r="D91" s="329"/>
      <c r="E91" s="329"/>
      <c r="F91" s="329"/>
      <c r="G91" s="329"/>
      <c r="H91" s="329"/>
      <c r="I91" s="209" t="s">
        <v>85</v>
      </c>
      <c r="J91" s="260" t="s">
        <v>85</v>
      </c>
    </row>
    <row r="92" spans="1:11" s="193" customFormat="1" ht="15" customHeight="1">
      <c r="A92" s="196" t="s">
        <v>61</v>
      </c>
      <c r="B92" s="337" t="s">
        <v>151</v>
      </c>
      <c r="C92" s="338"/>
      <c r="D92" s="338"/>
      <c r="E92" s="338"/>
      <c r="F92" s="338"/>
      <c r="G92" s="338"/>
      <c r="H92" s="339"/>
      <c r="I92" s="211">
        <f>Uniforme!G12</f>
        <v>48.263666666666673</v>
      </c>
      <c r="J92" s="211">
        <f>Uniforme!G12</f>
        <v>48.263666666666673</v>
      </c>
    </row>
    <row r="93" spans="1:11" s="193" customFormat="1" ht="16.5" customHeight="1">
      <c r="A93" s="196" t="s">
        <v>63</v>
      </c>
      <c r="B93" s="337" t="s">
        <v>152</v>
      </c>
      <c r="C93" s="338"/>
      <c r="D93" s="338"/>
      <c r="E93" s="338"/>
      <c r="F93" s="338"/>
      <c r="G93" s="338"/>
      <c r="H93" s="339"/>
      <c r="I93" s="211">
        <f>'EPIs e materiais'!G15</f>
        <v>59.190958333333327</v>
      </c>
      <c r="J93" s="212">
        <f>'EPIs e materiais'!G15</f>
        <v>59.190958333333327</v>
      </c>
    </row>
    <row r="94" spans="1:11" s="193" customFormat="1" ht="20.100000000000001" customHeight="1">
      <c r="A94" s="196" t="s">
        <v>66</v>
      </c>
      <c r="B94" s="323" t="s">
        <v>86</v>
      </c>
      <c r="C94" s="323"/>
      <c r="D94" s="323"/>
      <c r="E94" s="323"/>
      <c r="F94" s="323"/>
      <c r="G94" s="323"/>
      <c r="H94" s="323"/>
      <c r="I94" s="211"/>
      <c r="J94" s="212"/>
    </row>
    <row r="95" spans="1:11" s="193" customFormat="1" ht="20.100000000000001" customHeight="1">
      <c r="A95" s="333" t="s">
        <v>153</v>
      </c>
      <c r="B95" s="333"/>
      <c r="C95" s="333"/>
      <c r="D95" s="333"/>
      <c r="E95" s="333"/>
      <c r="F95" s="333"/>
      <c r="G95" s="333"/>
      <c r="H95" s="333"/>
      <c r="I95" s="211">
        <f>TRUNC(SUM(I92:I94),2)</f>
        <v>107.45</v>
      </c>
      <c r="J95" s="212">
        <f>TRUNC(SUM(J92:J94),2)</f>
        <v>107.45</v>
      </c>
    </row>
    <row r="96" spans="1:11" s="193" customFormat="1" ht="20.100000000000001" customHeight="1">
      <c r="A96" s="334" t="s">
        <v>154</v>
      </c>
      <c r="B96" s="334"/>
      <c r="C96" s="334"/>
      <c r="D96" s="334"/>
      <c r="E96" s="334"/>
      <c r="F96" s="334"/>
      <c r="G96" s="334"/>
      <c r="H96" s="334"/>
      <c r="I96" s="334"/>
      <c r="J96" s="238"/>
    </row>
    <row r="97" spans="1:10" s="193" customFormat="1" ht="20.100000000000001" customHeight="1">
      <c r="A97" s="335" t="s">
        <v>155</v>
      </c>
      <c r="B97" s="335"/>
      <c r="C97" s="335"/>
      <c r="D97" s="335"/>
      <c r="E97" s="335"/>
      <c r="F97" s="335"/>
      <c r="G97" s="335"/>
      <c r="H97" s="335"/>
      <c r="I97" s="335"/>
      <c r="J97" s="335"/>
    </row>
    <row r="98" spans="1:10" s="193" customFormat="1" ht="20.100000000000001" customHeight="1">
      <c r="A98" s="258">
        <v>6</v>
      </c>
      <c r="B98" s="329" t="s">
        <v>156</v>
      </c>
      <c r="C98" s="329"/>
      <c r="D98" s="329"/>
      <c r="E98" s="329"/>
      <c r="F98" s="329"/>
      <c r="G98" s="329"/>
      <c r="H98" s="258" t="s">
        <v>84</v>
      </c>
      <c r="I98" s="239" t="s">
        <v>85</v>
      </c>
      <c r="J98" s="240" t="s">
        <v>85</v>
      </c>
    </row>
    <row r="99" spans="1:10" s="193" customFormat="1" ht="20.100000000000001" customHeight="1">
      <c r="A99" s="196" t="s">
        <v>61</v>
      </c>
      <c r="B99" s="330" t="s">
        <v>157</v>
      </c>
      <c r="C99" s="330"/>
      <c r="D99" s="330"/>
      <c r="E99" s="330"/>
      <c r="F99" s="330"/>
      <c r="G99" s="330"/>
      <c r="H99" s="288">
        <v>0</v>
      </c>
      <c r="I99" s="211">
        <f>ROUND(H99*I116,2)</f>
        <v>0</v>
      </c>
      <c r="J99" s="212">
        <f>ROUND(H99*J116,2)</f>
        <v>0</v>
      </c>
    </row>
    <row r="100" spans="1:10" s="193" customFormat="1" ht="20.100000000000001" customHeight="1">
      <c r="A100" s="196" t="s">
        <v>63</v>
      </c>
      <c r="B100" s="330" t="s">
        <v>158</v>
      </c>
      <c r="C100" s="330"/>
      <c r="D100" s="330"/>
      <c r="E100" s="330"/>
      <c r="F100" s="330"/>
      <c r="G100" s="330"/>
      <c r="H100" s="288">
        <v>0</v>
      </c>
      <c r="I100" s="211">
        <f>ROUND((I116+I99)*H100,2)</f>
        <v>0</v>
      </c>
      <c r="J100" s="212">
        <f>ROUND((J116+J99)*H100,2)</f>
        <v>0</v>
      </c>
    </row>
    <row r="101" spans="1:10" s="193" customFormat="1" ht="20.100000000000001" customHeight="1">
      <c r="A101" s="331" t="s">
        <v>66</v>
      </c>
      <c r="B101" s="330" t="s">
        <v>159</v>
      </c>
      <c r="C101" s="330"/>
      <c r="D101" s="330"/>
      <c r="E101" s="330"/>
      <c r="F101" s="330"/>
      <c r="G101" s="330"/>
      <c r="H101" s="241">
        <f>SUM(H103:H106)</f>
        <v>8.6499999999999994E-2</v>
      </c>
      <c r="I101" s="211">
        <f>TRUNC(SUM(I103:I106),2)</f>
        <v>342.39</v>
      </c>
      <c r="J101" s="212">
        <f>TRUNC(SUM(J103:J106),2)</f>
        <v>379.71</v>
      </c>
    </row>
    <row r="102" spans="1:10" s="193" customFormat="1" ht="20.100000000000001" customHeight="1">
      <c r="A102" s="331"/>
      <c r="B102" s="330" t="s">
        <v>160</v>
      </c>
      <c r="C102" s="330"/>
      <c r="D102" s="330"/>
      <c r="E102" s="330"/>
      <c r="F102" s="330"/>
      <c r="G102" s="330"/>
      <c r="H102" s="242"/>
      <c r="I102" s="211"/>
      <c r="J102" s="212"/>
    </row>
    <row r="103" spans="1:10" s="193" customFormat="1" ht="20.100000000000001" customHeight="1">
      <c r="A103" s="331"/>
      <c r="B103" s="332" t="s">
        <v>161</v>
      </c>
      <c r="C103" s="332"/>
      <c r="D103" s="332"/>
      <c r="E103" s="332"/>
      <c r="F103" s="332"/>
      <c r="G103" s="332"/>
      <c r="H103" s="289">
        <v>0.03</v>
      </c>
      <c r="I103" s="211">
        <f>ROUND(I118*H103,2)</f>
        <v>118.75</v>
      </c>
      <c r="J103" s="212">
        <f>ROUND(J118*H103,2)</f>
        <v>131.69</v>
      </c>
    </row>
    <row r="104" spans="1:10" s="193" customFormat="1" ht="20.100000000000001" customHeight="1">
      <c r="A104" s="331"/>
      <c r="B104" s="332" t="s">
        <v>162</v>
      </c>
      <c r="C104" s="332"/>
      <c r="D104" s="332"/>
      <c r="E104" s="332"/>
      <c r="F104" s="332"/>
      <c r="G104" s="332"/>
      <c r="H104" s="289">
        <v>6.4999999999999997E-3</v>
      </c>
      <c r="I104" s="211">
        <f>ROUND(I118*H104,2)</f>
        <v>25.73</v>
      </c>
      <c r="J104" s="212">
        <f>ROUND(J118*H104,2)</f>
        <v>28.53</v>
      </c>
    </row>
    <row r="105" spans="1:10" s="193" customFormat="1" ht="20.100000000000001" customHeight="1">
      <c r="A105" s="331"/>
      <c r="B105" s="330" t="s">
        <v>163</v>
      </c>
      <c r="C105" s="330"/>
      <c r="D105" s="330"/>
      <c r="E105" s="330"/>
      <c r="F105" s="330"/>
      <c r="G105" s="330"/>
      <c r="H105" s="289">
        <v>0.05</v>
      </c>
      <c r="I105" s="211">
        <f>ROUND(I118*H105,2)</f>
        <v>197.91</v>
      </c>
      <c r="J105" s="212">
        <f>ROUND(J118*H105,2)</f>
        <v>219.49</v>
      </c>
    </row>
    <row r="106" spans="1:10" s="193" customFormat="1" ht="20.100000000000001" customHeight="1">
      <c r="A106" s="331"/>
      <c r="B106" s="330" t="s">
        <v>164</v>
      </c>
      <c r="C106" s="330"/>
      <c r="D106" s="330"/>
      <c r="E106" s="330"/>
      <c r="F106" s="330"/>
      <c r="G106" s="330"/>
      <c r="H106" s="289">
        <v>0</v>
      </c>
      <c r="I106" s="211">
        <f>ROUND(I118*H106,2)</f>
        <v>0</v>
      </c>
      <c r="J106" s="212">
        <f>ROUND(J118*H106,2)</f>
        <v>0</v>
      </c>
    </row>
    <row r="107" spans="1:10" s="193" customFormat="1" ht="20.100000000000001" customHeight="1">
      <c r="A107" s="326" t="s">
        <v>165</v>
      </c>
      <c r="B107" s="326"/>
      <c r="C107" s="326"/>
      <c r="D107" s="326"/>
      <c r="E107" s="326"/>
      <c r="F107" s="326"/>
      <c r="G107" s="326"/>
      <c r="H107" s="326"/>
      <c r="I107" s="211">
        <f>TRUNC(SUM(I99:I101),2)</f>
        <v>342.39</v>
      </c>
      <c r="J107" s="212">
        <f>TRUNC(SUM(J99:J101),2)</f>
        <v>379.71</v>
      </c>
    </row>
    <row r="108" spans="1:10" s="193" customFormat="1" ht="20.100000000000001" customHeight="1">
      <c r="A108" s="327"/>
      <c r="B108" s="327"/>
      <c r="C108" s="327"/>
      <c r="D108" s="327"/>
      <c r="E108" s="327"/>
      <c r="F108" s="327"/>
      <c r="G108" s="327"/>
      <c r="H108" s="327"/>
      <c r="I108" s="327"/>
      <c r="J108" s="243"/>
    </row>
    <row r="109" spans="1:10" s="193" customFormat="1" ht="20.100000000000001" customHeight="1">
      <c r="A109" s="328" t="s">
        <v>166</v>
      </c>
      <c r="B109" s="328"/>
      <c r="C109" s="328"/>
      <c r="D109" s="328"/>
      <c r="E109" s="328"/>
      <c r="F109" s="328"/>
      <c r="G109" s="328"/>
      <c r="H109" s="328"/>
      <c r="I109" s="328"/>
      <c r="J109" s="328"/>
    </row>
    <row r="110" spans="1:10" s="193" customFormat="1" ht="20.100000000000001" customHeight="1">
      <c r="A110" s="329" t="s">
        <v>167</v>
      </c>
      <c r="B110" s="329"/>
      <c r="C110" s="329"/>
      <c r="D110" s="329"/>
      <c r="E110" s="329"/>
      <c r="F110" s="329"/>
      <c r="G110" s="329"/>
      <c r="H110" s="329"/>
      <c r="I110" s="209" t="s">
        <v>85</v>
      </c>
      <c r="J110" s="260" t="s">
        <v>85</v>
      </c>
    </row>
    <row r="111" spans="1:10" s="193" customFormat="1" ht="20.100000000000001" customHeight="1">
      <c r="A111" s="244" t="s">
        <v>61</v>
      </c>
      <c r="B111" s="323" t="s">
        <v>168</v>
      </c>
      <c r="C111" s="323"/>
      <c r="D111" s="323"/>
      <c r="E111" s="323"/>
      <c r="F111" s="323"/>
      <c r="G111" s="323"/>
      <c r="H111" s="323"/>
      <c r="I111" s="211">
        <f>I26</f>
        <v>1661.93</v>
      </c>
      <c r="J111" s="212">
        <f>J26</f>
        <v>1891.29</v>
      </c>
    </row>
    <row r="112" spans="1:10" s="193" customFormat="1" ht="20.100000000000001" customHeight="1">
      <c r="A112" s="244" t="s">
        <v>63</v>
      </c>
      <c r="B112" s="323" t="s">
        <v>169</v>
      </c>
      <c r="C112" s="323"/>
      <c r="D112" s="323"/>
      <c r="E112" s="323"/>
      <c r="F112" s="323"/>
      <c r="G112" s="323"/>
      <c r="H112" s="323"/>
      <c r="I112" s="211">
        <f>I62</f>
        <v>1383.89</v>
      </c>
      <c r="J112" s="212">
        <f>J62</f>
        <v>1503.18</v>
      </c>
    </row>
    <row r="113" spans="1:10" s="193" customFormat="1" ht="20.100000000000001" customHeight="1">
      <c r="A113" s="244" t="s">
        <v>66</v>
      </c>
      <c r="B113" s="323" t="s">
        <v>126</v>
      </c>
      <c r="C113" s="323"/>
      <c r="D113" s="323"/>
      <c r="E113" s="323"/>
      <c r="F113" s="323"/>
      <c r="G113" s="323"/>
      <c r="H113" s="323"/>
      <c r="I113" s="211">
        <f>I71</f>
        <v>118.23000000000002</v>
      </c>
      <c r="J113" s="212">
        <f>J71</f>
        <v>134.54</v>
      </c>
    </row>
    <row r="114" spans="1:10" s="193" customFormat="1" ht="20.100000000000001" customHeight="1">
      <c r="A114" s="244" t="s">
        <v>69</v>
      </c>
      <c r="B114" s="323" t="s">
        <v>170</v>
      </c>
      <c r="C114" s="323"/>
      <c r="D114" s="323"/>
      <c r="E114" s="323"/>
      <c r="F114" s="323"/>
      <c r="G114" s="323"/>
      <c r="H114" s="323"/>
      <c r="I114" s="211">
        <f>I89</f>
        <v>344.37</v>
      </c>
      <c r="J114" s="212">
        <f>J89</f>
        <v>373.62</v>
      </c>
    </row>
    <row r="115" spans="1:10" ht="20.100000000000001" customHeight="1">
      <c r="A115" s="244" t="s">
        <v>105</v>
      </c>
      <c r="B115" s="323" t="s">
        <v>171</v>
      </c>
      <c r="C115" s="323"/>
      <c r="D115" s="323"/>
      <c r="E115" s="323"/>
      <c r="F115" s="323"/>
      <c r="G115" s="323"/>
      <c r="H115" s="323"/>
      <c r="I115" s="211">
        <f>I95</f>
        <v>107.45</v>
      </c>
      <c r="J115" s="212">
        <f>J95</f>
        <v>107.45</v>
      </c>
    </row>
    <row r="116" spans="1:10" ht="20.100000000000001" customHeight="1">
      <c r="A116" s="324" t="s">
        <v>172</v>
      </c>
      <c r="B116" s="324"/>
      <c r="C116" s="324"/>
      <c r="D116" s="324"/>
      <c r="E116" s="324"/>
      <c r="F116" s="324"/>
      <c r="G116" s="324"/>
      <c r="H116" s="324"/>
      <c r="I116" s="211">
        <f>TRUNC(SUM(I111:I115),2)</f>
        <v>3615.87</v>
      </c>
      <c r="J116" s="212">
        <f>TRUNC(SUM(J111:J115),2)</f>
        <v>4010.08</v>
      </c>
    </row>
    <row r="117" spans="1:10" ht="20.100000000000001" customHeight="1">
      <c r="A117" s="245" t="s">
        <v>109</v>
      </c>
      <c r="B117" s="325" t="s">
        <v>173</v>
      </c>
      <c r="C117" s="325"/>
      <c r="D117" s="325"/>
      <c r="E117" s="325"/>
      <c r="F117" s="325"/>
      <c r="G117" s="325"/>
      <c r="H117" s="325"/>
      <c r="I117" s="211">
        <f>I107</f>
        <v>342.39</v>
      </c>
      <c r="J117" s="212">
        <f>J107</f>
        <v>379.71</v>
      </c>
    </row>
    <row r="118" spans="1:10" ht="20.100000000000001" customHeight="1">
      <c r="A118" s="319" t="s">
        <v>174</v>
      </c>
      <c r="B118" s="319"/>
      <c r="C118" s="319"/>
      <c r="D118" s="319"/>
      <c r="E118" s="319"/>
      <c r="F118" s="319"/>
      <c r="G118" s="319"/>
      <c r="H118" s="319"/>
      <c r="I118" s="227">
        <f>TRUNC((I116+I99+I100)/(1-H101),2)</f>
        <v>3958.25</v>
      </c>
      <c r="J118" s="212">
        <f>TRUNC((J116+J99+J100)/(1-H101),2)</f>
        <v>4389.79</v>
      </c>
    </row>
    <row r="119" spans="1:10" ht="20.100000000000001" customHeight="1">
      <c r="A119" s="319" t="s">
        <v>175</v>
      </c>
      <c r="B119" s="319"/>
      <c r="C119" s="319"/>
      <c r="D119" s="319"/>
      <c r="E119" s="319"/>
      <c r="F119" s="319"/>
      <c r="G119" s="319"/>
      <c r="H119" s="319"/>
      <c r="I119" s="290">
        <f>2*I118</f>
        <v>7916.5</v>
      </c>
      <c r="J119" s="291">
        <f>2*J118</f>
        <v>8779.58</v>
      </c>
    </row>
    <row r="120" spans="1:10" ht="20.100000000000001" customHeight="1">
      <c r="J120" s="247"/>
    </row>
  </sheetData>
  <mergeCells count="158">
    <mergeCell ref="A10:F10"/>
    <mergeCell ref="G10:H10"/>
    <mergeCell ref="B5:H5"/>
    <mergeCell ref="I5:J5"/>
    <mergeCell ref="B6:H6"/>
    <mergeCell ref="I6:J6"/>
    <mergeCell ref="B7:H7"/>
    <mergeCell ref="I7:J7"/>
    <mergeCell ref="A1:H1"/>
    <mergeCell ref="I1:J1"/>
    <mergeCell ref="A2:H2"/>
    <mergeCell ref="A3:J3"/>
    <mergeCell ref="B4:H4"/>
    <mergeCell ref="I4:J4"/>
    <mergeCell ref="A8:J8"/>
    <mergeCell ref="A9:F9"/>
    <mergeCell ref="G9:H9"/>
    <mergeCell ref="I9:J9"/>
    <mergeCell ref="B15:H15"/>
    <mergeCell ref="I15:J15"/>
    <mergeCell ref="B16:H16"/>
    <mergeCell ref="I16:J16"/>
    <mergeCell ref="A11:J11"/>
    <mergeCell ref="B12:H12"/>
    <mergeCell ref="I12:J12"/>
    <mergeCell ref="B14:H14"/>
    <mergeCell ref="I14:J14"/>
    <mergeCell ref="B13:H13"/>
    <mergeCell ref="I13:J13"/>
    <mergeCell ref="B17:H17"/>
    <mergeCell ref="I17:J17"/>
    <mergeCell ref="A19:J19"/>
    <mergeCell ref="B20:G20"/>
    <mergeCell ref="B21:H21"/>
    <mergeCell ref="A24:H24"/>
    <mergeCell ref="B25:G25"/>
    <mergeCell ref="B22:H22"/>
    <mergeCell ref="B23:H23"/>
    <mergeCell ref="B29:G29"/>
    <mergeCell ref="B30:G30"/>
    <mergeCell ref="B31:G31"/>
    <mergeCell ref="A32:G32"/>
    <mergeCell ref="B33:G33"/>
    <mergeCell ref="A34:G34"/>
    <mergeCell ref="A26:H26"/>
    <mergeCell ref="A27:J27"/>
    <mergeCell ref="A28:J28"/>
    <mergeCell ref="B41:G41"/>
    <mergeCell ref="B42:G42"/>
    <mergeCell ref="B43:G43"/>
    <mergeCell ref="B44:G44"/>
    <mergeCell ref="A45:G45"/>
    <mergeCell ref="A46:J46"/>
    <mergeCell ref="A35:J35"/>
    <mergeCell ref="B36:G36"/>
    <mergeCell ref="B37:G37"/>
    <mergeCell ref="B38:G38"/>
    <mergeCell ref="B39:G39"/>
    <mergeCell ref="B40:G40"/>
    <mergeCell ref="BB47:BI47"/>
    <mergeCell ref="BJ47:BQ47"/>
    <mergeCell ref="BR47:BY47"/>
    <mergeCell ref="BZ47:CG47"/>
    <mergeCell ref="CH47:CO47"/>
    <mergeCell ref="CP47:CW47"/>
    <mergeCell ref="B47:H47"/>
    <mergeCell ref="K47:O47"/>
    <mergeCell ref="V47:AC47"/>
    <mergeCell ref="AD47:AK47"/>
    <mergeCell ref="AL47:AS47"/>
    <mergeCell ref="AT47:BA47"/>
    <mergeCell ref="B53:H53"/>
    <mergeCell ref="B54:H54"/>
    <mergeCell ref="B55:H55"/>
    <mergeCell ref="A56:I56"/>
    <mergeCell ref="A57:J57"/>
    <mergeCell ref="B58:G58"/>
    <mergeCell ref="GP47:GW47"/>
    <mergeCell ref="GX47:HE47"/>
    <mergeCell ref="B48:E48"/>
    <mergeCell ref="B49:F49"/>
    <mergeCell ref="B51:H51"/>
    <mergeCell ref="B52:H52"/>
    <mergeCell ref="ET47:FA47"/>
    <mergeCell ref="FB47:FI47"/>
    <mergeCell ref="FJ47:FQ47"/>
    <mergeCell ref="FR47:FY47"/>
    <mergeCell ref="FZ47:GG47"/>
    <mergeCell ref="GH47:GO47"/>
    <mergeCell ref="CX47:DE47"/>
    <mergeCell ref="DF47:DM47"/>
    <mergeCell ref="DN47:DU47"/>
    <mergeCell ref="DV47:EC47"/>
    <mergeCell ref="ED47:EK47"/>
    <mergeCell ref="EL47:ES47"/>
    <mergeCell ref="B65:G65"/>
    <mergeCell ref="B66:G66"/>
    <mergeCell ref="B67:G67"/>
    <mergeCell ref="B68:G68"/>
    <mergeCell ref="B69:G69"/>
    <mergeCell ref="B70:G70"/>
    <mergeCell ref="B59:G59"/>
    <mergeCell ref="B60:G60"/>
    <mergeCell ref="B61:G61"/>
    <mergeCell ref="A62:G62"/>
    <mergeCell ref="A63:J63"/>
    <mergeCell ref="B64:H64"/>
    <mergeCell ref="B79:G79"/>
    <mergeCell ref="A80:G80"/>
    <mergeCell ref="B81:G81"/>
    <mergeCell ref="A71:G71"/>
    <mergeCell ref="A72:J72"/>
    <mergeCell ref="B73:H73"/>
    <mergeCell ref="B74:G74"/>
    <mergeCell ref="B75:G75"/>
    <mergeCell ref="B76:G76"/>
    <mergeCell ref="B77:G77"/>
    <mergeCell ref="B78:G78"/>
    <mergeCell ref="A96:I96"/>
    <mergeCell ref="A97:J97"/>
    <mergeCell ref="B98:G98"/>
    <mergeCell ref="B99:G99"/>
    <mergeCell ref="A82:G82"/>
    <mergeCell ref="A90:J90"/>
    <mergeCell ref="B91:H91"/>
    <mergeCell ref="B83:H83"/>
    <mergeCell ref="A85:J85"/>
    <mergeCell ref="B86:G86"/>
    <mergeCell ref="B84:H84"/>
    <mergeCell ref="A89:H89"/>
    <mergeCell ref="B87:H87"/>
    <mergeCell ref="B88:H88"/>
    <mergeCell ref="B92:H92"/>
    <mergeCell ref="B93:H93"/>
    <mergeCell ref="A119:H119"/>
    <mergeCell ref="B50:F50"/>
    <mergeCell ref="B113:H113"/>
    <mergeCell ref="B114:H114"/>
    <mergeCell ref="B115:H115"/>
    <mergeCell ref="A116:H116"/>
    <mergeCell ref="B117:H117"/>
    <mergeCell ref="A118:H118"/>
    <mergeCell ref="A107:H107"/>
    <mergeCell ref="A108:I108"/>
    <mergeCell ref="A109:J109"/>
    <mergeCell ref="A110:H110"/>
    <mergeCell ref="B111:H111"/>
    <mergeCell ref="B112:H112"/>
    <mergeCell ref="B100:G100"/>
    <mergeCell ref="A101:A106"/>
    <mergeCell ref="B101:G101"/>
    <mergeCell ref="B102:G102"/>
    <mergeCell ref="B103:G103"/>
    <mergeCell ref="B104:G104"/>
    <mergeCell ref="B105:G105"/>
    <mergeCell ref="B106:G106"/>
    <mergeCell ref="B94:H94"/>
    <mergeCell ref="A95:H95"/>
  </mergeCells>
  <pageMargins left="0.23622047244094491" right="0.23622047244094491" top="0.74881889763779519" bottom="0.74881889763779519" header="0.31535433070866142" footer="0.31535433070866142"/>
  <pageSetup paperSize="9" scale="10" fitToWidth="0" fitToHeight="0" orientation="landscape" r:id="rId1"/>
  <ignoredErrors>
    <ignoredError sqref="H66:H71 H59:H62 H79:H82 H101 H45 H30:H32 H34 I30:J32 I21:J21 I92:J95 I99:J107 I111:J119 I65:J71 I74:J82 I48:J55 I59:J62 I37:J45 I87:J89 I23:J26 I22 F48" unlockedFormula="1"/>
    <ignoredError sqref="H33 I33:J34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3CD93-7D9D-4CDC-B1C6-1D2F6DC009E4}">
  <dimension ref="A1:AMJ120"/>
  <sheetViews>
    <sheetView showGridLines="0" workbookViewId="0">
      <pane ySplit="2" topLeftCell="A108" activePane="bottomLeft" state="frozen"/>
      <selection pane="bottomLeft" activeCell="M80" sqref="M80"/>
    </sheetView>
  </sheetViews>
  <sheetFormatPr defaultRowHeight="20.100000000000001" customHeight="1"/>
  <cols>
    <col min="1" max="1" width="9.85546875" style="193" customWidth="1"/>
    <col min="2" max="3" width="11.42578125" style="193" customWidth="1"/>
    <col min="4" max="4" width="13.7109375" style="193" customWidth="1"/>
    <col min="5" max="5" width="16.85546875" style="193" customWidth="1"/>
    <col min="6" max="6" width="16.7109375" style="193" customWidth="1"/>
    <col min="7" max="7" width="12.28515625" style="193" customWidth="1"/>
    <col min="8" max="8" width="15.42578125" style="246" customWidth="1"/>
    <col min="9" max="9" width="15.5703125" style="220" customWidth="1"/>
    <col min="10" max="10" width="16.28515625" style="220" customWidth="1"/>
    <col min="11" max="11" width="13.5703125" style="193" customWidth="1"/>
    <col min="12" max="17" width="11.42578125" style="193" customWidth="1"/>
    <col min="18" max="18" width="15" style="193" customWidth="1"/>
    <col min="19" max="1024" width="11.42578125" style="193" customWidth="1"/>
    <col min="1025" max="16384" width="9.140625" style="213"/>
  </cols>
  <sheetData>
    <row r="1" spans="1:10" s="193" customFormat="1" ht="20.100000000000001" customHeight="1">
      <c r="A1" s="387" t="s">
        <v>58</v>
      </c>
      <c r="B1" s="387"/>
      <c r="C1" s="387"/>
      <c r="D1" s="387"/>
      <c r="E1" s="387"/>
      <c r="F1" s="387"/>
      <c r="G1" s="387"/>
      <c r="H1" s="388"/>
      <c r="I1" s="389" t="s">
        <v>397</v>
      </c>
      <c r="J1" s="389"/>
    </row>
    <row r="2" spans="1:10" s="193" customFormat="1" ht="20.100000000000001" customHeight="1">
      <c r="A2" s="390" t="s">
        <v>59</v>
      </c>
      <c r="B2" s="390"/>
      <c r="C2" s="390"/>
      <c r="D2" s="390"/>
      <c r="E2" s="390"/>
      <c r="F2" s="390"/>
      <c r="G2" s="390"/>
      <c r="H2" s="391"/>
      <c r="I2" s="194" t="s">
        <v>49</v>
      </c>
      <c r="J2" s="195" t="s">
        <v>52</v>
      </c>
    </row>
    <row r="3" spans="1:10" s="193" customFormat="1" ht="20.100000000000001" customHeight="1">
      <c r="A3" s="392" t="s">
        <v>60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0" s="193" customFormat="1" ht="20.100000000000001" customHeight="1">
      <c r="A4" s="196" t="s">
        <v>61</v>
      </c>
      <c r="B4" s="330" t="s">
        <v>62</v>
      </c>
      <c r="C4" s="330"/>
      <c r="D4" s="330"/>
      <c r="E4" s="330"/>
      <c r="F4" s="330"/>
      <c r="G4" s="330"/>
      <c r="H4" s="330"/>
      <c r="I4" s="393"/>
      <c r="J4" s="393"/>
    </row>
    <row r="5" spans="1:10" s="193" customFormat="1" ht="20.100000000000001" customHeight="1">
      <c r="A5" s="196" t="s">
        <v>63</v>
      </c>
      <c r="B5" s="330" t="s">
        <v>64</v>
      </c>
      <c r="C5" s="330"/>
      <c r="D5" s="330"/>
      <c r="E5" s="330"/>
      <c r="F5" s="330"/>
      <c r="G5" s="330"/>
      <c r="H5" s="330"/>
      <c r="I5" s="384" t="s">
        <v>390</v>
      </c>
      <c r="J5" s="384"/>
    </row>
    <row r="6" spans="1:10" s="193" customFormat="1" ht="20.100000000000001" customHeight="1">
      <c r="A6" s="196" t="s">
        <v>66</v>
      </c>
      <c r="B6" s="330" t="s">
        <v>67</v>
      </c>
      <c r="C6" s="330"/>
      <c r="D6" s="330"/>
      <c r="E6" s="330"/>
      <c r="F6" s="330"/>
      <c r="G6" s="330"/>
      <c r="H6" s="330"/>
      <c r="I6" s="384" t="s">
        <v>68</v>
      </c>
      <c r="J6" s="384"/>
    </row>
    <row r="7" spans="1:10" s="193" customFormat="1" ht="20.100000000000001" customHeight="1">
      <c r="A7" s="250" t="s">
        <v>69</v>
      </c>
      <c r="B7" s="385" t="s">
        <v>70</v>
      </c>
      <c r="C7" s="385"/>
      <c r="D7" s="385"/>
      <c r="E7" s="385"/>
      <c r="F7" s="385"/>
      <c r="G7" s="385"/>
      <c r="H7" s="385"/>
      <c r="I7" s="386">
        <v>20</v>
      </c>
      <c r="J7" s="386"/>
    </row>
    <row r="8" spans="1:10" s="193" customFormat="1" ht="20.100000000000001" customHeight="1">
      <c r="A8" s="394" t="s">
        <v>71</v>
      </c>
      <c r="B8" s="394"/>
      <c r="C8" s="394"/>
      <c r="D8" s="394"/>
      <c r="E8" s="394"/>
      <c r="F8" s="394"/>
      <c r="G8" s="394"/>
      <c r="H8" s="394"/>
      <c r="I8" s="394"/>
      <c r="J8" s="394"/>
    </row>
    <row r="9" spans="1:10" s="193" customFormat="1" ht="51.75" customHeight="1">
      <c r="A9" s="395" t="s">
        <v>72</v>
      </c>
      <c r="B9" s="395"/>
      <c r="C9" s="395"/>
      <c r="D9" s="395"/>
      <c r="E9" s="395"/>
      <c r="F9" s="395"/>
      <c r="G9" s="396" t="s">
        <v>48</v>
      </c>
      <c r="H9" s="392"/>
      <c r="I9" s="397" t="s">
        <v>73</v>
      </c>
      <c r="J9" s="397"/>
    </row>
    <row r="10" spans="1:10" s="193" customFormat="1" ht="20.100000000000001" customHeight="1">
      <c r="A10" s="382" t="s">
        <v>413</v>
      </c>
      <c r="B10" s="382"/>
      <c r="C10" s="382"/>
      <c r="D10" s="382"/>
      <c r="E10" s="382"/>
      <c r="F10" s="382"/>
      <c r="G10" s="382" t="s">
        <v>414</v>
      </c>
      <c r="H10" s="383"/>
      <c r="I10" s="251">
        <v>1</v>
      </c>
      <c r="J10" s="251">
        <v>1</v>
      </c>
    </row>
    <row r="11" spans="1:10" s="193" customFormat="1" ht="20.100000000000001" customHeight="1">
      <c r="A11" s="374" t="s">
        <v>74</v>
      </c>
      <c r="B11" s="374"/>
      <c r="C11" s="374"/>
      <c r="D11" s="374"/>
      <c r="E11" s="374"/>
      <c r="F11" s="374"/>
      <c r="G11" s="374"/>
      <c r="H11" s="374"/>
      <c r="I11" s="374"/>
      <c r="J11" s="374"/>
    </row>
    <row r="12" spans="1:10" s="193" customFormat="1" ht="20.100000000000001" customHeight="1">
      <c r="A12" s="252">
        <v>1</v>
      </c>
      <c r="B12" s="357" t="s">
        <v>75</v>
      </c>
      <c r="C12" s="357"/>
      <c r="D12" s="357"/>
      <c r="E12" s="357"/>
      <c r="F12" s="357"/>
      <c r="G12" s="357"/>
      <c r="H12" s="357"/>
      <c r="I12" s="375" t="s">
        <v>76</v>
      </c>
      <c r="J12" s="375"/>
    </row>
    <row r="13" spans="1:10" s="193" customFormat="1" ht="20.100000000000001" customHeight="1">
      <c r="A13" s="252">
        <v>2</v>
      </c>
      <c r="B13" s="377" t="s">
        <v>410</v>
      </c>
      <c r="C13" s="378"/>
      <c r="D13" s="378"/>
      <c r="E13" s="378"/>
      <c r="F13" s="378"/>
      <c r="G13" s="378"/>
      <c r="H13" s="379"/>
      <c r="I13" s="380" t="s">
        <v>411</v>
      </c>
      <c r="J13" s="381"/>
    </row>
    <row r="14" spans="1:10" s="193" customFormat="1" ht="20.100000000000001" customHeight="1">
      <c r="A14" s="196">
        <v>3</v>
      </c>
      <c r="B14" s="323" t="s">
        <v>77</v>
      </c>
      <c r="C14" s="323"/>
      <c r="D14" s="323"/>
      <c r="E14" s="323"/>
      <c r="F14" s="323"/>
      <c r="G14" s="323"/>
      <c r="H14" s="323"/>
      <c r="I14" s="376">
        <v>1278.4100000000001</v>
      </c>
      <c r="J14" s="376"/>
    </row>
    <row r="15" spans="1:10" s="193" customFormat="1" ht="20.100000000000001" customHeight="1">
      <c r="A15" s="196">
        <v>4</v>
      </c>
      <c r="B15" s="323" t="s">
        <v>78</v>
      </c>
      <c r="C15" s="323"/>
      <c r="D15" s="323"/>
      <c r="E15" s="323"/>
      <c r="F15" s="323"/>
      <c r="G15" s="323"/>
      <c r="H15" s="323"/>
      <c r="I15" s="373" t="s">
        <v>79</v>
      </c>
      <c r="J15" s="373"/>
    </row>
    <row r="16" spans="1:10" s="193" customFormat="1" ht="20.100000000000001" customHeight="1">
      <c r="A16" s="196">
        <v>5</v>
      </c>
      <c r="B16" s="323" t="s">
        <v>80</v>
      </c>
      <c r="C16" s="323"/>
      <c r="D16" s="323"/>
      <c r="E16" s="323"/>
      <c r="F16" s="323"/>
      <c r="G16" s="323"/>
      <c r="H16" s="323"/>
      <c r="I16" s="373">
        <v>43525</v>
      </c>
      <c r="J16" s="373"/>
    </row>
    <row r="17" spans="1:11" s="193" customFormat="1" ht="20.100000000000001" customHeight="1">
      <c r="A17" s="196">
        <v>6</v>
      </c>
      <c r="B17" s="323" t="s">
        <v>81</v>
      </c>
      <c r="C17" s="323"/>
      <c r="D17" s="323"/>
      <c r="E17" s="323"/>
      <c r="F17" s="323"/>
      <c r="G17" s="323"/>
      <c r="H17" s="323"/>
      <c r="I17" s="360">
        <v>15.21</v>
      </c>
      <c r="J17" s="360"/>
    </row>
    <row r="18" spans="1:11" s="193" customFormat="1" ht="20.100000000000001" customHeight="1">
      <c r="A18" s="197"/>
      <c r="B18" s="198"/>
      <c r="C18" s="198"/>
      <c r="D18" s="198"/>
      <c r="E18" s="198"/>
      <c r="F18" s="198"/>
      <c r="G18" s="198"/>
      <c r="H18" s="199"/>
      <c r="I18" s="199"/>
    </row>
    <row r="19" spans="1:11" s="193" customFormat="1" ht="20.100000000000001" customHeight="1">
      <c r="A19" s="361" t="s">
        <v>82</v>
      </c>
      <c r="B19" s="361"/>
      <c r="C19" s="361"/>
      <c r="D19" s="361"/>
      <c r="E19" s="361"/>
      <c r="F19" s="361"/>
      <c r="G19" s="361"/>
      <c r="H19" s="361"/>
      <c r="I19" s="361"/>
      <c r="J19" s="361"/>
    </row>
    <row r="20" spans="1:11" s="193" customFormat="1" ht="20.100000000000001" customHeight="1">
      <c r="A20" s="284">
        <v>1</v>
      </c>
      <c r="B20" s="329" t="s">
        <v>83</v>
      </c>
      <c r="C20" s="329"/>
      <c r="D20" s="329"/>
      <c r="E20" s="329"/>
      <c r="F20" s="329"/>
      <c r="G20" s="329"/>
      <c r="H20" s="285" t="s">
        <v>84</v>
      </c>
      <c r="I20" s="200" t="s">
        <v>85</v>
      </c>
      <c r="J20" s="201" t="s">
        <v>85</v>
      </c>
    </row>
    <row r="21" spans="1:11" s="193" customFormat="1" ht="20.100000000000001" customHeight="1">
      <c r="A21" s="196" t="s">
        <v>61</v>
      </c>
      <c r="B21" s="362" t="s">
        <v>404</v>
      </c>
      <c r="C21" s="362"/>
      <c r="D21" s="362"/>
      <c r="E21" s="362"/>
      <c r="F21" s="362"/>
      <c r="G21" s="362"/>
      <c r="H21" s="362"/>
      <c r="I21" s="202">
        <f>I14</f>
        <v>1278.4100000000001</v>
      </c>
      <c r="J21" s="203">
        <f>I14</f>
        <v>1278.4100000000001</v>
      </c>
    </row>
    <row r="22" spans="1:11" s="193" customFormat="1" ht="20.100000000000001" customHeight="1">
      <c r="A22" s="196" t="s">
        <v>63</v>
      </c>
      <c r="B22" s="369" t="s">
        <v>409</v>
      </c>
      <c r="C22" s="369"/>
      <c r="D22" s="369"/>
      <c r="E22" s="369"/>
      <c r="F22" s="369"/>
      <c r="G22" s="369"/>
      <c r="H22" s="369"/>
      <c r="I22" s="204"/>
      <c r="J22" s="203">
        <f>8*1.45*15.21</f>
        <v>176.43600000000001</v>
      </c>
      <c r="K22" s="205"/>
    </row>
    <row r="23" spans="1:11" s="193" customFormat="1" ht="20.100000000000001" customHeight="1">
      <c r="A23" s="196" t="s">
        <v>66</v>
      </c>
      <c r="B23" s="370" t="s">
        <v>86</v>
      </c>
      <c r="C23" s="371"/>
      <c r="D23" s="371"/>
      <c r="E23" s="371"/>
      <c r="F23" s="371"/>
      <c r="G23" s="371"/>
      <c r="H23" s="372"/>
      <c r="I23" s="206"/>
      <c r="J23" s="203"/>
      <c r="K23" s="205"/>
    </row>
    <row r="24" spans="1:11" s="193" customFormat="1" ht="20.100000000000001" customHeight="1">
      <c r="A24" s="363" t="s">
        <v>87</v>
      </c>
      <c r="B24" s="364"/>
      <c r="C24" s="364"/>
      <c r="D24" s="364"/>
      <c r="E24" s="364"/>
      <c r="F24" s="364"/>
      <c r="G24" s="364"/>
      <c r="H24" s="365"/>
      <c r="I24" s="202">
        <f>TRUNC(SUM(I21:I23),2)</f>
        <v>1278.4100000000001</v>
      </c>
      <c r="J24" s="202">
        <f>TRUNC(SUM(J21:J23),2)</f>
        <v>1454.84</v>
      </c>
      <c r="K24" s="205"/>
    </row>
    <row r="25" spans="1:11" s="193" customFormat="1" ht="20.100000000000001" customHeight="1">
      <c r="A25" s="196" t="s">
        <v>69</v>
      </c>
      <c r="B25" s="366" t="s">
        <v>88</v>
      </c>
      <c r="C25" s="367"/>
      <c r="D25" s="367"/>
      <c r="E25" s="367"/>
      <c r="F25" s="367"/>
      <c r="G25" s="368"/>
      <c r="H25" s="207">
        <v>0.3</v>
      </c>
      <c r="I25" s="202">
        <f>I24*H25</f>
        <v>383.52300000000002</v>
      </c>
      <c r="J25" s="203">
        <f>J24*H25</f>
        <v>436.45199999999994</v>
      </c>
    </row>
    <row r="26" spans="1:11" s="193" customFormat="1" ht="20.100000000000001" customHeight="1">
      <c r="A26" s="326" t="s">
        <v>89</v>
      </c>
      <c r="B26" s="326"/>
      <c r="C26" s="326"/>
      <c r="D26" s="326"/>
      <c r="E26" s="326"/>
      <c r="F26" s="326"/>
      <c r="G26" s="326"/>
      <c r="H26" s="326"/>
      <c r="I26" s="202">
        <f>TRUNC(SUM(I24:I25),2)</f>
        <v>1661.93</v>
      </c>
      <c r="J26" s="203">
        <f>TRUNC(SUM(J24:J25),2)</f>
        <v>1891.29</v>
      </c>
    </row>
    <row r="27" spans="1:11" s="193" customFormat="1" ht="20.100000000000001" customHeight="1">
      <c r="A27" s="336" t="s">
        <v>90</v>
      </c>
      <c r="B27" s="336"/>
      <c r="C27" s="336"/>
      <c r="D27" s="336"/>
      <c r="E27" s="336"/>
      <c r="F27" s="336"/>
      <c r="G27" s="336"/>
      <c r="H27" s="336"/>
      <c r="I27" s="336"/>
      <c r="J27" s="336"/>
    </row>
    <row r="28" spans="1:11" s="193" customFormat="1" ht="20.100000000000001" customHeight="1">
      <c r="A28" s="335" t="s">
        <v>91</v>
      </c>
      <c r="B28" s="335"/>
      <c r="C28" s="335"/>
      <c r="D28" s="335"/>
      <c r="E28" s="335"/>
      <c r="F28" s="335"/>
      <c r="G28" s="335"/>
      <c r="H28" s="335"/>
      <c r="I28" s="335"/>
      <c r="J28" s="335"/>
    </row>
    <row r="29" spans="1:11" s="193" customFormat="1" ht="20.100000000000001" customHeight="1">
      <c r="A29" s="284" t="s">
        <v>92</v>
      </c>
      <c r="B29" s="359" t="s">
        <v>93</v>
      </c>
      <c r="C29" s="359"/>
      <c r="D29" s="359"/>
      <c r="E29" s="359"/>
      <c r="F29" s="359"/>
      <c r="G29" s="359"/>
      <c r="H29" s="208" t="s">
        <v>84</v>
      </c>
      <c r="I29" s="209" t="s">
        <v>85</v>
      </c>
      <c r="J29" s="286" t="s">
        <v>85</v>
      </c>
      <c r="K29" s="210"/>
    </row>
    <row r="30" spans="1:11" s="193" customFormat="1" ht="20.100000000000001" customHeight="1">
      <c r="A30" s="196" t="s">
        <v>61</v>
      </c>
      <c r="B30" s="350" t="s">
        <v>94</v>
      </c>
      <c r="C30" s="350"/>
      <c r="D30" s="350"/>
      <c r="E30" s="350"/>
      <c r="F30" s="350"/>
      <c r="G30" s="350"/>
      <c r="H30" s="248">
        <f>1/12</f>
        <v>8.3333333333333329E-2</v>
      </c>
      <c r="I30" s="211">
        <f>ROUND($I$26*H30,2)</f>
        <v>138.49</v>
      </c>
      <c r="J30" s="212">
        <f>ROUND($J$26*H30,2)</f>
        <v>157.61000000000001</v>
      </c>
      <c r="K30" s="213"/>
    </row>
    <row r="31" spans="1:11" ht="20.100000000000001" customHeight="1">
      <c r="A31" s="196" t="s">
        <v>63</v>
      </c>
      <c r="B31" s="330" t="s">
        <v>418</v>
      </c>
      <c r="C31" s="330"/>
      <c r="D31" s="330"/>
      <c r="E31" s="330"/>
      <c r="F31" s="330"/>
      <c r="G31" s="330"/>
      <c r="H31" s="249">
        <f>((1/12)/3)</f>
        <v>2.7777777777777776E-2</v>
      </c>
      <c r="I31" s="211">
        <f>ROUND(H31*I26,2)</f>
        <v>46.16</v>
      </c>
      <c r="J31" s="212">
        <f>ROUND(H31*J26,2)</f>
        <v>52.54</v>
      </c>
    </row>
    <row r="32" spans="1:11" ht="20.100000000000001" customHeight="1">
      <c r="A32" s="333" t="s">
        <v>95</v>
      </c>
      <c r="B32" s="333"/>
      <c r="C32" s="333"/>
      <c r="D32" s="333"/>
      <c r="E32" s="333"/>
      <c r="F32" s="333"/>
      <c r="G32" s="333"/>
      <c r="H32" s="214">
        <f>H30+H31</f>
        <v>0.1111111111111111</v>
      </c>
      <c r="I32" s="211">
        <f>TRUNC(I30+I31,2)</f>
        <v>184.65</v>
      </c>
      <c r="J32" s="212">
        <f>TRUNC(J30+J31,2)</f>
        <v>210.15</v>
      </c>
    </row>
    <row r="33" spans="1:213" ht="20.100000000000001" customHeight="1">
      <c r="A33" s="196" t="s">
        <v>66</v>
      </c>
      <c r="B33" s="350" t="s">
        <v>96</v>
      </c>
      <c r="C33" s="350"/>
      <c r="D33" s="350"/>
      <c r="E33" s="350"/>
      <c r="F33" s="350"/>
      <c r="G33" s="350"/>
      <c r="H33" s="215">
        <f>H32*H45</f>
        <v>4.0888888888888891E-2</v>
      </c>
      <c r="I33" s="211">
        <f>ROUND(I32*H45,2)</f>
        <v>67.95</v>
      </c>
      <c r="J33" s="212">
        <f>ROUND(J32*H45,2)</f>
        <v>77.34</v>
      </c>
    </row>
    <row r="34" spans="1:213" ht="20.100000000000001" customHeight="1">
      <c r="A34" s="333" t="s">
        <v>97</v>
      </c>
      <c r="B34" s="333"/>
      <c r="C34" s="333"/>
      <c r="D34" s="333"/>
      <c r="E34" s="333"/>
      <c r="F34" s="333"/>
      <c r="G34" s="333"/>
      <c r="H34" s="216">
        <f>H32+H33</f>
        <v>0.152</v>
      </c>
      <c r="I34" s="211">
        <f>TRUNC(I32+I33,2)</f>
        <v>252.6</v>
      </c>
      <c r="J34" s="212">
        <f>TRUNC(J32+J33,2)</f>
        <v>287.49</v>
      </c>
    </row>
    <row r="35" spans="1:213" ht="20.100000000000001" customHeight="1">
      <c r="A35" s="358" t="s">
        <v>98</v>
      </c>
      <c r="B35" s="358"/>
      <c r="C35" s="358"/>
      <c r="D35" s="358"/>
      <c r="E35" s="358"/>
      <c r="F35" s="358"/>
      <c r="G35" s="358"/>
      <c r="H35" s="358"/>
      <c r="I35" s="358"/>
      <c r="J35" s="358"/>
    </row>
    <row r="36" spans="1:213" ht="20.100000000000001" customHeight="1">
      <c r="A36" s="284" t="s">
        <v>99</v>
      </c>
      <c r="B36" s="359" t="s">
        <v>100</v>
      </c>
      <c r="C36" s="359"/>
      <c r="D36" s="359"/>
      <c r="E36" s="359"/>
      <c r="F36" s="359"/>
      <c r="G36" s="359"/>
      <c r="H36" s="284" t="s">
        <v>84</v>
      </c>
      <c r="I36" s="209" t="s">
        <v>85</v>
      </c>
      <c r="J36" s="286" t="s">
        <v>85</v>
      </c>
    </row>
    <row r="37" spans="1:213" ht="20.100000000000001" customHeight="1">
      <c r="A37" s="196" t="s">
        <v>61</v>
      </c>
      <c r="B37" s="330" t="s">
        <v>101</v>
      </c>
      <c r="C37" s="330"/>
      <c r="D37" s="330"/>
      <c r="E37" s="330"/>
      <c r="F37" s="330"/>
      <c r="G37" s="330"/>
      <c r="H37" s="214">
        <v>0.2</v>
      </c>
      <c r="I37" s="211">
        <f>ROUND($I$26*H37,2)</f>
        <v>332.39</v>
      </c>
      <c r="J37" s="211">
        <f t="shared" ref="J37:J44" si="0">ROUND($J$26*H37,2)</f>
        <v>378.26</v>
      </c>
    </row>
    <row r="38" spans="1:213" ht="20.100000000000001" customHeight="1">
      <c r="A38" s="196" t="s">
        <v>63</v>
      </c>
      <c r="B38" s="330" t="s">
        <v>102</v>
      </c>
      <c r="C38" s="330"/>
      <c r="D38" s="330"/>
      <c r="E38" s="330"/>
      <c r="F38" s="330"/>
      <c r="G38" s="330"/>
      <c r="H38" s="214">
        <v>2.5000000000000001E-2</v>
      </c>
      <c r="I38" s="211">
        <f t="shared" ref="I38:I44" si="1">ROUND($I$26*H38,2)</f>
        <v>41.55</v>
      </c>
      <c r="J38" s="217">
        <f t="shared" si="0"/>
        <v>47.28</v>
      </c>
    </row>
    <row r="39" spans="1:213" ht="20.100000000000001" customHeight="1">
      <c r="A39" s="196" t="s">
        <v>66</v>
      </c>
      <c r="B39" s="330" t="s">
        <v>103</v>
      </c>
      <c r="C39" s="330"/>
      <c r="D39" s="330"/>
      <c r="E39" s="330"/>
      <c r="F39" s="330"/>
      <c r="G39" s="330"/>
      <c r="H39" s="462">
        <v>0.03</v>
      </c>
      <c r="I39" s="211">
        <f t="shared" si="1"/>
        <v>49.86</v>
      </c>
      <c r="J39" s="217">
        <f t="shared" si="0"/>
        <v>56.74</v>
      </c>
    </row>
    <row r="40" spans="1:213" ht="20.100000000000001" customHeight="1">
      <c r="A40" s="196" t="s">
        <v>69</v>
      </c>
      <c r="B40" s="330" t="s">
        <v>104</v>
      </c>
      <c r="C40" s="330"/>
      <c r="D40" s="330"/>
      <c r="E40" s="330"/>
      <c r="F40" s="330"/>
      <c r="G40" s="330"/>
      <c r="H40" s="214">
        <v>1.4999999999999999E-2</v>
      </c>
      <c r="I40" s="211">
        <f t="shared" si="1"/>
        <v>24.93</v>
      </c>
      <c r="J40" s="217">
        <f t="shared" si="0"/>
        <v>28.37</v>
      </c>
    </row>
    <row r="41" spans="1:213" ht="20.100000000000001" customHeight="1">
      <c r="A41" s="196" t="s">
        <v>105</v>
      </c>
      <c r="B41" s="330" t="s">
        <v>106</v>
      </c>
      <c r="C41" s="330"/>
      <c r="D41" s="330"/>
      <c r="E41" s="330"/>
      <c r="F41" s="330"/>
      <c r="G41" s="330"/>
      <c r="H41" s="214">
        <v>0.01</v>
      </c>
      <c r="I41" s="211">
        <f t="shared" si="1"/>
        <v>16.62</v>
      </c>
      <c r="J41" s="217">
        <f t="shared" si="0"/>
        <v>18.91</v>
      </c>
    </row>
    <row r="42" spans="1:213" ht="20.100000000000001" customHeight="1">
      <c r="A42" s="196" t="s">
        <v>107</v>
      </c>
      <c r="B42" s="330" t="s">
        <v>108</v>
      </c>
      <c r="C42" s="330"/>
      <c r="D42" s="330"/>
      <c r="E42" s="330"/>
      <c r="F42" s="330"/>
      <c r="G42" s="330"/>
      <c r="H42" s="214">
        <v>6.0000000000000001E-3</v>
      </c>
      <c r="I42" s="211">
        <f t="shared" si="1"/>
        <v>9.9700000000000006</v>
      </c>
      <c r="J42" s="217">
        <f t="shared" si="0"/>
        <v>11.35</v>
      </c>
    </row>
    <row r="43" spans="1:213" ht="20.100000000000001" customHeight="1">
      <c r="A43" s="196" t="s">
        <v>109</v>
      </c>
      <c r="B43" s="330" t="s">
        <v>110</v>
      </c>
      <c r="C43" s="330"/>
      <c r="D43" s="330"/>
      <c r="E43" s="330"/>
      <c r="F43" s="330"/>
      <c r="G43" s="330"/>
      <c r="H43" s="214">
        <v>2E-3</v>
      </c>
      <c r="I43" s="211">
        <f t="shared" si="1"/>
        <v>3.32</v>
      </c>
      <c r="J43" s="217">
        <f t="shared" si="0"/>
        <v>3.78</v>
      </c>
    </row>
    <row r="44" spans="1:213" ht="20.100000000000001" customHeight="1">
      <c r="A44" s="196" t="s">
        <v>111</v>
      </c>
      <c r="B44" s="330" t="s">
        <v>112</v>
      </c>
      <c r="C44" s="330"/>
      <c r="D44" s="330"/>
      <c r="E44" s="330"/>
      <c r="F44" s="330"/>
      <c r="G44" s="330"/>
      <c r="H44" s="214">
        <v>0.08</v>
      </c>
      <c r="I44" s="211">
        <f t="shared" si="1"/>
        <v>132.94999999999999</v>
      </c>
      <c r="J44" s="217">
        <f t="shared" si="0"/>
        <v>151.30000000000001</v>
      </c>
    </row>
    <row r="45" spans="1:213" s="220" customFormat="1" ht="20.100000000000001" customHeight="1">
      <c r="A45" s="333" t="s">
        <v>97</v>
      </c>
      <c r="B45" s="333"/>
      <c r="C45" s="333"/>
      <c r="D45" s="333"/>
      <c r="E45" s="333"/>
      <c r="F45" s="333"/>
      <c r="G45" s="333"/>
      <c r="H45" s="214">
        <f>SUM(H37:H44)</f>
        <v>0.36800000000000005</v>
      </c>
      <c r="I45" s="218">
        <f>SUM(I37:I44)</f>
        <v>611.59</v>
      </c>
      <c r="J45" s="219">
        <f>SUM(J37:J44)</f>
        <v>695.99</v>
      </c>
    </row>
    <row r="46" spans="1:213" ht="20.100000000000001" customHeight="1">
      <c r="A46" s="336" t="s">
        <v>113</v>
      </c>
      <c r="B46" s="336"/>
      <c r="C46" s="336"/>
      <c r="D46" s="336"/>
      <c r="E46" s="336"/>
      <c r="F46" s="336"/>
      <c r="G46" s="336"/>
      <c r="H46" s="336"/>
      <c r="I46" s="336"/>
      <c r="J46" s="336"/>
    </row>
    <row r="47" spans="1:213" s="197" customFormat="1" ht="20.100000000000001" customHeight="1">
      <c r="A47" s="284" t="s">
        <v>114</v>
      </c>
      <c r="B47" s="329" t="s">
        <v>115</v>
      </c>
      <c r="C47" s="329"/>
      <c r="D47" s="329"/>
      <c r="E47" s="329"/>
      <c r="F47" s="329"/>
      <c r="G47" s="329"/>
      <c r="H47" s="329"/>
      <c r="I47" s="209" t="s">
        <v>85</v>
      </c>
      <c r="J47" s="286" t="s">
        <v>85</v>
      </c>
      <c r="K47" s="353"/>
      <c r="L47" s="353"/>
      <c r="M47" s="353"/>
      <c r="N47" s="353"/>
      <c r="O47" s="353"/>
      <c r="V47" s="353"/>
      <c r="W47" s="353"/>
      <c r="X47" s="353"/>
      <c r="Y47" s="353"/>
      <c r="Z47" s="353"/>
      <c r="AA47" s="353"/>
      <c r="AB47" s="353"/>
      <c r="AC47" s="353"/>
      <c r="AD47" s="353"/>
      <c r="AE47" s="353"/>
      <c r="AF47" s="353"/>
      <c r="AG47" s="353"/>
      <c r="AH47" s="353"/>
      <c r="AI47" s="353"/>
      <c r="AJ47" s="353"/>
      <c r="AK47" s="353"/>
      <c r="AL47" s="353"/>
      <c r="AM47" s="353"/>
      <c r="AN47" s="353"/>
      <c r="AO47" s="353"/>
      <c r="AP47" s="353"/>
      <c r="AQ47" s="353"/>
      <c r="AR47" s="353"/>
      <c r="AS47" s="353"/>
      <c r="AT47" s="353"/>
      <c r="AU47" s="353"/>
      <c r="AV47" s="353"/>
      <c r="AW47" s="353"/>
      <c r="AX47" s="353"/>
      <c r="AY47" s="353"/>
      <c r="AZ47" s="353"/>
      <c r="BA47" s="353"/>
      <c r="BB47" s="353"/>
      <c r="BC47" s="353"/>
      <c r="BD47" s="353"/>
      <c r="BE47" s="353"/>
      <c r="BF47" s="353"/>
      <c r="BG47" s="353"/>
      <c r="BH47" s="353"/>
      <c r="BI47" s="353"/>
      <c r="BJ47" s="353"/>
      <c r="BK47" s="353"/>
      <c r="BL47" s="353"/>
      <c r="BM47" s="353"/>
      <c r="BN47" s="353"/>
      <c r="BO47" s="353"/>
      <c r="BP47" s="353"/>
      <c r="BQ47" s="353"/>
      <c r="BR47" s="353"/>
      <c r="BS47" s="353"/>
      <c r="BT47" s="353"/>
      <c r="BU47" s="353"/>
      <c r="BV47" s="353"/>
      <c r="BW47" s="353"/>
      <c r="BX47" s="353"/>
      <c r="BY47" s="353"/>
      <c r="BZ47" s="353"/>
      <c r="CA47" s="353"/>
      <c r="CB47" s="353"/>
      <c r="CC47" s="353"/>
      <c r="CD47" s="353"/>
      <c r="CE47" s="353"/>
      <c r="CF47" s="353"/>
      <c r="CG47" s="353"/>
      <c r="CH47" s="353"/>
      <c r="CI47" s="353"/>
      <c r="CJ47" s="353"/>
      <c r="CK47" s="353"/>
      <c r="CL47" s="353"/>
      <c r="CM47" s="353"/>
      <c r="CN47" s="353"/>
      <c r="CO47" s="353"/>
      <c r="CP47" s="353"/>
      <c r="CQ47" s="353"/>
      <c r="CR47" s="353"/>
      <c r="CS47" s="353"/>
      <c r="CT47" s="353"/>
      <c r="CU47" s="353"/>
      <c r="CV47" s="353"/>
      <c r="CW47" s="353"/>
      <c r="CX47" s="353"/>
      <c r="CY47" s="353"/>
      <c r="CZ47" s="353"/>
      <c r="DA47" s="353"/>
      <c r="DB47" s="353"/>
      <c r="DC47" s="353"/>
      <c r="DD47" s="353"/>
      <c r="DE47" s="353"/>
      <c r="DF47" s="353"/>
      <c r="DG47" s="353"/>
      <c r="DH47" s="353"/>
      <c r="DI47" s="353"/>
      <c r="DJ47" s="353"/>
      <c r="DK47" s="353"/>
      <c r="DL47" s="353"/>
      <c r="DM47" s="353"/>
      <c r="DN47" s="353"/>
      <c r="DO47" s="353"/>
      <c r="DP47" s="353"/>
      <c r="DQ47" s="353"/>
      <c r="DR47" s="353"/>
      <c r="DS47" s="353"/>
      <c r="DT47" s="353"/>
      <c r="DU47" s="353"/>
      <c r="DV47" s="353"/>
      <c r="DW47" s="353"/>
      <c r="DX47" s="353"/>
      <c r="DY47" s="353"/>
      <c r="DZ47" s="353"/>
      <c r="EA47" s="353"/>
      <c r="EB47" s="353"/>
      <c r="EC47" s="353"/>
      <c r="ED47" s="353"/>
      <c r="EE47" s="353"/>
      <c r="EF47" s="353"/>
      <c r="EG47" s="353"/>
      <c r="EH47" s="353"/>
      <c r="EI47" s="353"/>
      <c r="EJ47" s="353"/>
      <c r="EK47" s="353"/>
      <c r="EL47" s="353"/>
      <c r="EM47" s="353"/>
      <c r="EN47" s="353"/>
      <c r="EO47" s="353"/>
      <c r="EP47" s="353"/>
      <c r="EQ47" s="353"/>
      <c r="ER47" s="353"/>
      <c r="ES47" s="353"/>
      <c r="ET47" s="353"/>
      <c r="EU47" s="353"/>
      <c r="EV47" s="353"/>
      <c r="EW47" s="353"/>
      <c r="EX47" s="353"/>
      <c r="EY47" s="353"/>
      <c r="EZ47" s="353"/>
      <c r="FA47" s="353"/>
      <c r="FB47" s="353"/>
      <c r="FC47" s="353"/>
      <c r="FD47" s="353"/>
      <c r="FE47" s="353"/>
      <c r="FF47" s="353"/>
      <c r="FG47" s="353"/>
      <c r="FH47" s="353"/>
      <c r="FI47" s="353"/>
      <c r="FJ47" s="353"/>
      <c r="FK47" s="353"/>
      <c r="FL47" s="353"/>
      <c r="FM47" s="353"/>
      <c r="FN47" s="353"/>
      <c r="FO47" s="353"/>
      <c r="FP47" s="353"/>
      <c r="FQ47" s="353"/>
      <c r="FR47" s="353"/>
      <c r="FS47" s="353"/>
      <c r="FT47" s="353"/>
      <c r="FU47" s="353"/>
      <c r="FV47" s="353"/>
      <c r="FW47" s="353"/>
      <c r="FX47" s="353"/>
      <c r="FY47" s="353"/>
      <c r="FZ47" s="353"/>
      <c r="GA47" s="353"/>
      <c r="GB47" s="353"/>
      <c r="GC47" s="353"/>
      <c r="GD47" s="353"/>
      <c r="GE47" s="353"/>
      <c r="GF47" s="353"/>
      <c r="GG47" s="353"/>
      <c r="GH47" s="353"/>
      <c r="GI47" s="353"/>
      <c r="GJ47" s="353"/>
      <c r="GK47" s="353"/>
      <c r="GL47" s="353"/>
      <c r="GM47" s="353"/>
      <c r="GN47" s="353"/>
      <c r="GO47" s="353"/>
      <c r="GP47" s="353"/>
      <c r="GQ47" s="353"/>
      <c r="GR47" s="353"/>
      <c r="GS47" s="353"/>
      <c r="GT47" s="353"/>
      <c r="GU47" s="353"/>
      <c r="GV47" s="353"/>
      <c r="GW47" s="353"/>
      <c r="GX47" s="353"/>
      <c r="GY47" s="353"/>
      <c r="GZ47" s="353"/>
      <c r="HA47" s="353"/>
      <c r="HB47" s="353"/>
      <c r="HC47" s="353"/>
      <c r="HD47" s="353"/>
      <c r="HE47" s="353"/>
    </row>
    <row r="48" spans="1:213" s="193" customFormat="1" ht="20.100000000000001" customHeight="1">
      <c r="A48" s="196" t="s">
        <v>61</v>
      </c>
      <c r="B48" s="354" t="s">
        <v>400</v>
      </c>
      <c r="C48" s="355"/>
      <c r="D48" s="355"/>
      <c r="E48" s="356"/>
      <c r="F48" s="254">
        <f>I17</f>
        <v>15.21</v>
      </c>
      <c r="G48" s="221">
        <v>2</v>
      </c>
      <c r="H48" s="222">
        <v>3</v>
      </c>
      <c r="I48" s="211">
        <f>ROUND((G48*H48*F48)-((I14/2)*0.06),2)</f>
        <v>52.91</v>
      </c>
      <c r="J48" s="212">
        <f>ROUND((G48*H48*F48)-((I14/2)*0.06),2)</f>
        <v>52.91</v>
      </c>
      <c r="K48" s="223"/>
      <c r="L48" s="223"/>
    </row>
    <row r="49" spans="1:12" s="193" customFormat="1" ht="20.100000000000001" customHeight="1">
      <c r="A49" s="196" t="s">
        <v>63</v>
      </c>
      <c r="B49" s="354" t="s">
        <v>116</v>
      </c>
      <c r="C49" s="355"/>
      <c r="D49" s="355"/>
      <c r="E49" s="355"/>
      <c r="F49" s="356"/>
      <c r="G49" s="224">
        <v>28</v>
      </c>
      <c r="H49" s="225">
        <v>0.99</v>
      </c>
      <c r="I49" s="211">
        <f>ROUND((15*G49)*H49,2)</f>
        <v>415.8</v>
      </c>
      <c r="J49" s="211">
        <f>ROUND((15*G49)*H49,2)</f>
        <v>415.8</v>
      </c>
      <c r="L49" s="223"/>
    </row>
    <row r="50" spans="1:12" s="193" customFormat="1" ht="20.100000000000001" customHeight="1">
      <c r="A50" s="196" t="s">
        <v>66</v>
      </c>
      <c r="B50" s="320" t="s">
        <v>401</v>
      </c>
      <c r="C50" s="321"/>
      <c r="D50" s="321"/>
      <c r="E50" s="321"/>
      <c r="F50" s="322"/>
      <c r="G50" s="225">
        <v>0.16</v>
      </c>
      <c r="H50" s="226">
        <v>0.01</v>
      </c>
      <c r="I50" s="227">
        <f>ROUND((G50*I14)-(H50*I14),2)/12</f>
        <v>15.979999999999999</v>
      </c>
      <c r="J50" s="212">
        <f>ROUND((G50*I14)-(H50*I14),2)/12</f>
        <v>15.979999999999999</v>
      </c>
      <c r="K50" s="223"/>
    </row>
    <row r="51" spans="1:12" s="193" customFormat="1" ht="20.100000000000001" customHeight="1">
      <c r="A51" s="196" t="s">
        <v>69</v>
      </c>
      <c r="B51" s="323" t="s">
        <v>118</v>
      </c>
      <c r="C51" s="323"/>
      <c r="D51" s="323"/>
      <c r="E51" s="323"/>
      <c r="F51" s="323"/>
      <c r="G51" s="323"/>
      <c r="H51" s="357"/>
      <c r="I51" s="211">
        <v>10.68</v>
      </c>
      <c r="J51" s="212">
        <v>10.68</v>
      </c>
    </row>
    <row r="52" spans="1:12" s="193" customFormat="1" ht="20.100000000000001" customHeight="1">
      <c r="A52" s="196" t="s">
        <v>105</v>
      </c>
      <c r="B52" s="323" t="s">
        <v>119</v>
      </c>
      <c r="C52" s="323"/>
      <c r="D52" s="323"/>
      <c r="E52" s="323"/>
      <c r="F52" s="323"/>
      <c r="G52" s="323"/>
      <c r="H52" s="323"/>
      <c r="I52" s="211"/>
      <c r="J52" s="212"/>
    </row>
    <row r="53" spans="1:12" s="193" customFormat="1" ht="20.100000000000001" customHeight="1">
      <c r="A53" s="196" t="s">
        <v>107</v>
      </c>
      <c r="B53" s="323" t="s">
        <v>120</v>
      </c>
      <c r="C53" s="323"/>
      <c r="D53" s="323"/>
      <c r="E53" s="323"/>
      <c r="F53" s="323"/>
      <c r="G53" s="323"/>
      <c r="H53" s="323"/>
      <c r="I53" s="211"/>
      <c r="J53" s="212"/>
    </row>
    <row r="54" spans="1:12" s="228" customFormat="1" ht="20.100000000000001" customHeight="1">
      <c r="A54" s="196" t="s">
        <v>109</v>
      </c>
      <c r="B54" s="323" t="s">
        <v>86</v>
      </c>
      <c r="C54" s="323"/>
      <c r="D54" s="323"/>
      <c r="E54" s="323"/>
      <c r="F54" s="323"/>
      <c r="G54" s="323"/>
      <c r="H54" s="323"/>
      <c r="I54" s="211"/>
      <c r="J54" s="212"/>
    </row>
    <row r="55" spans="1:12" s="193" customFormat="1" ht="20.100000000000001" customHeight="1">
      <c r="A55" s="229"/>
      <c r="B55" s="326" t="s">
        <v>121</v>
      </c>
      <c r="C55" s="326"/>
      <c r="D55" s="326"/>
      <c r="E55" s="326"/>
      <c r="F55" s="326"/>
      <c r="G55" s="326"/>
      <c r="H55" s="326"/>
      <c r="I55" s="230">
        <f>TRUNC(SUM(I48:I54),2)</f>
        <v>495.37</v>
      </c>
      <c r="J55" s="231">
        <f>TRUNC(SUM(J48:J54),2)</f>
        <v>495.37</v>
      </c>
    </row>
    <row r="56" spans="1:12" s="193" customFormat="1" ht="20.100000000000001" customHeight="1">
      <c r="A56" s="352"/>
      <c r="B56" s="352"/>
      <c r="C56" s="352"/>
      <c r="D56" s="352"/>
      <c r="E56" s="352"/>
      <c r="F56" s="352"/>
      <c r="G56" s="352"/>
      <c r="H56" s="352"/>
      <c r="I56" s="352"/>
      <c r="J56" s="232"/>
    </row>
    <row r="57" spans="1:12" s="193" customFormat="1" ht="20.100000000000001" customHeight="1">
      <c r="A57" s="335" t="s">
        <v>122</v>
      </c>
      <c r="B57" s="335"/>
      <c r="C57" s="335"/>
      <c r="D57" s="335"/>
      <c r="E57" s="335"/>
      <c r="F57" s="335"/>
      <c r="G57" s="335"/>
      <c r="H57" s="335"/>
      <c r="I57" s="335"/>
      <c r="J57" s="335"/>
    </row>
    <row r="58" spans="1:12" s="193" customFormat="1" ht="20.100000000000001" customHeight="1">
      <c r="A58" s="284">
        <v>2</v>
      </c>
      <c r="B58" s="329" t="s">
        <v>123</v>
      </c>
      <c r="C58" s="329"/>
      <c r="D58" s="329"/>
      <c r="E58" s="329"/>
      <c r="F58" s="329"/>
      <c r="G58" s="329"/>
      <c r="H58" s="284" t="s">
        <v>84</v>
      </c>
      <c r="I58" s="209" t="s">
        <v>85</v>
      </c>
      <c r="J58" s="286" t="s">
        <v>85</v>
      </c>
    </row>
    <row r="59" spans="1:12" s="193" customFormat="1" ht="20.100000000000001" customHeight="1">
      <c r="A59" s="287" t="s">
        <v>92</v>
      </c>
      <c r="B59" s="351" t="s">
        <v>124</v>
      </c>
      <c r="C59" s="351"/>
      <c r="D59" s="351"/>
      <c r="E59" s="351"/>
      <c r="F59" s="351"/>
      <c r="G59" s="351"/>
      <c r="H59" s="214">
        <f>H32</f>
        <v>0.1111111111111111</v>
      </c>
      <c r="I59" s="211">
        <f>I34</f>
        <v>252.6</v>
      </c>
      <c r="J59" s="211">
        <f>J34</f>
        <v>287.49</v>
      </c>
    </row>
    <row r="60" spans="1:12" s="193" customFormat="1" ht="20.100000000000001" customHeight="1">
      <c r="A60" s="287" t="s">
        <v>99</v>
      </c>
      <c r="B60" s="351" t="s">
        <v>100</v>
      </c>
      <c r="C60" s="351"/>
      <c r="D60" s="351"/>
      <c r="E60" s="351"/>
      <c r="F60" s="351"/>
      <c r="G60" s="351"/>
      <c r="H60" s="214">
        <f>H45</f>
        <v>0.36800000000000005</v>
      </c>
      <c r="I60" s="211">
        <f>I45</f>
        <v>611.59</v>
      </c>
      <c r="J60" s="211">
        <f>J45</f>
        <v>695.99</v>
      </c>
    </row>
    <row r="61" spans="1:12" s="193" customFormat="1" ht="20.100000000000001" customHeight="1">
      <c r="A61" s="287" t="s">
        <v>114</v>
      </c>
      <c r="B61" s="351" t="s">
        <v>115</v>
      </c>
      <c r="C61" s="351"/>
      <c r="D61" s="351"/>
      <c r="E61" s="351"/>
      <c r="F61" s="351"/>
      <c r="G61" s="351"/>
      <c r="H61" s="233" t="s">
        <v>125</v>
      </c>
      <c r="I61" s="211">
        <f>I55</f>
        <v>495.37</v>
      </c>
      <c r="J61" s="211">
        <f>J55</f>
        <v>495.37</v>
      </c>
    </row>
    <row r="62" spans="1:12" s="193" customFormat="1" ht="20.100000000000001" customHeight="1">
      <c r="A62" s="333" t="s">
        <v>97</v>
      </c>
      <c r="B62" s="333"/>
      <c r="C62" s="333"/>
      <c r="D62" s="333"/>
      <c r="E62" s="333"/>
      <c r="F62" s="333"/>
      <c r="G62" s="333"/>
      <c r="H62" s="214">
        <f>H59+H60</f>
        <v>0.47911111111111115</v>
      </c>
      <c r="I62" s="211">
        <f>SUM(I59:I61)</f>
        <v>1359.56</v>
      </c>
      <c r="J62" s="211">
        <f>SUM(J59:J61)</f>
        <v>1478.85</v>
      </c>
    </row>
    <row r="63" spans="1:12" s="193" customFormat="1" ht="20.100000000000001" customHeight="1">
      <c r="A63" s="336" t="s">
        <v>126</v>
      </c>
      <c r="B63" s="336"/>
      <c r="C63" s="336"/>
      <c r="D63" s="336"/>
      <c r="E63" s="336"/>
      <c r="F63" s="336"/>
      <c r="G63" s="336"/>
      <c r="H63" s="336"/>
      <c r="I63" s="336"/>
      <c r="J63" s="336"/>
    </row>
    <row r="64" spans="1:12" s="193" customFormat="1" ht="20.100000000000001" customHeight="1">
      <c r="A64" s="284">
        <v>3</v>
      </c>
      <c r="B64" s="329" t="s">
        <v>127</v>
      </c>
      <c r="C64" s="329"/>
      <c r="D64" s="329"/>
      <c r="E64" s="329"/>
      <c r="F64" s="329"/>
      <c r="G64" s="329"/>
      <c r="H64" s="329"/>
      <c r="I64" s="209" t="s">
        <v>85</v>
      </c>
      <c r="J64" s="286" t="s">
        <v>85</v>
      </c>
    </row>
    <row r="65" spans="1:12" s="193" customFormat="1" ht="20.100000000000001" customHeight="1">
      <c r="A65" s="196" t="s">
        <v>61</v>
      </c>
      <c r="B65" s="347" t="s">
        <v>128</v>
      </c>
      <c r="C65" s="347"/>
      <c r="D65" s="347"/>
      <c r="E65" s="347"/>
      <c r="F65" s="347"/>
      <c r="G65" s="347"/>
      <c r="H65" s="215">
        <v>4.1999999999999997E-3</v>
      </c>
      <c r="I65" s="211">
        <f>ROUND(I26*H65,2)</f>
        <v>6.98</v>
      </c>
      <c r="J65" s="212">
        <f>ROUND(J26*H65,2)</f>
        <v>7.94</v>
      </c>
    </row>
    <row r="66" spans="1:12" s="193" customFormat="1" ht="20.100000000000001" customHeight="1">
      <c r="A66" s="196" t="s">
        <v>63</v>
      </c>
      <c r="B66" s="330" t="s">
        <v>129</v>
      </c>
      <c r="C66" s="330"/>
      <c r="D66" s="330"/>
      <c r="E66" s="330"/>
      <c r="F66" s="330"/>
      <c r="G66" s="330"/>
      <c r="H66" s="214">
        <f>H44*H65</f>
        <v>3.3599999999999998E-4</v>
      </c>
      <c r="I66" s="211">
        <f>ROUND(I26*H66,2)</f>
        <v>0.56000000000000005</v>
      </c>
      <c r="J66" s="212">
        <f>ROUND(J26*H66,2)</f>
        <v>0.64</v>
      </c>
      <c r="L66" s="234"/>
    </row>
    <row r="67" spans="1:12" s="193" customFormat="1" ht="30.75" customHeight="1">
      <c r="A67" s="196" t="s">
        <v>66</v>
      </c>
      <c r="B67" s="348" t="s">
        <v>130</v>
      </c>
      <c r="C67" s="348"/>
      <c r="D67" s="348"/>
      <c r="E67" s="348"/>
      <c r="F67" s="348"/>
      <c r="G67" s="348"/>
      <c r="H67" s="248">
        <f>4%-H70</f>
        <v>8.0000000000000002E-3</v>
      </c>
      <c r="I67" s="211">
        <f>ROUND(I26*H67,2)</f>
        <v>13.3</v>
      </c>
      <c r="J67" s="212">
        <f>ROUND(J26*H67,2)</f>
        <v>15.13</v>
      </c>
      <c r="K67" s="235"/>
    </row>
    <row r="68" spans="1:12" s="193" customFormat="1" ht="20.100000000000001" customHeight="1">
      <c r="A68" s="196" t="s">
        <v>69</v>
      </c>
      <c r="B68" s="349" t="s">
        <v>131</v>
      </c>
      <c r="C68" s="349"/>
      <c r="D68" s="349"/>
      <c r="E68" s="349"/>
      <c r="F68" s="349"/>
      <c r="G68" s="349"/>
      <c r="H68" s="248">
        <f>((7/30)/12)</f>
        <v>1.9444444444444445E-2</v>
      </c>
      <c r="I68" s="211">
        <f>ROUND(I26*H68,2)</f>
        <v>32.32</v>
      </c>
      <c r="J68" s="212">
        <f>ROUND(J26*H68,2)</f>
        <v>36.78</v>
      </c>
    </row>
    <row r="69" spans="1:12" s="193" customFormat="1" ht="20.100000000000001" customHeight="1">
      <c r="A69" s="196" t="s">
        <v>105</v>
      </c>
      <c r="B69" s="350" t="s">
        <v>132</v>
      </c>
      <c r="C69" s="350"/>
      <c r="D69" s="350"/>
      <c r="E69" s="350"/>
      <c r="F69" s="350"/>
      <c r="G69" s="350"/>
      <c r="H69" s="214">
        <f>H45*H68</f>
        <v>7.1555555555555565E-3</v>
      </c>
      <c r="I69" s="211">
        <f>ROUND(I26*H69,2)</f>
        <v>11.89</v>
      </c>
      <c r="J69" s="212">
        <f>ROUND(J26*H69,2)</f>
        <v>13.53</v>
      </c>
    </row>
    <row r="70" spans="1:12" s="193" customFormat="1" ht="29.25" customHeight="1">
      <c r="A70" s="196" t="s">
        <v>107</v>
      </c>
      <c r="B70" s="349" t="s">
        <v>133</v>
      </c>
      <c r="C70" s="349"/>
      <c r="D70" s="349"/>
      <c r="E70" s="349"/>
      <c r="F70" s="349"/>
      <c r="G70" s="349"/>
      <c r="H70" s="248">
        <f>40%*8%</f>
        <v>3.2000000000000001E-2</v>
      </c>
      <c r="I70" s="211">
        <f>ROUND(I26*H70,2)</f>
        <v>53.18</v>
      </c>
      <c r="J70" s="212">
        <f>ROUND(J26*H70,2)</f>
        <v>60.52</v>
      </c>
      <c r="K70" s="235"/>
    </row>
    <row r="71" spans="1:12" s="193" customFormat="1" ht="20.100000000000001" customHeight="1">
      <c r="A71" s="333" t="s">
        <v>97</v>
      </c>
      <c r="B71" s="333"/>
      <c r="C71" s="333"/>
      <c r="D71" s="333"/>
      <c r="E71" s="333"/>
      <c r="F71" s="333"/>
      <c r="G71" s="333"/>
      <c r="H71" s="214">
        <f>SUM(H65:H70)</f>
        <v>7.1136000000000005E-2</v>
      </c>
      <c r="I71" s="211">
        <f>SUM(I65:I70)</f>
        <v>118.23000000000002</v>
      </c>
      <c r="J71" s="212">
        <f>SUM(J65:J70)</f>
        <v>134.54</v>
      </c>
    </row>
    <row r="72" spans="1:12" s="193" customFormat="1" ht="20.100000000000001" customHeight="1">
      <c r="A72" s="336" t="s">
        <v>134</v>
      </c>
      <c r="B72" s="336"/>
      <c r="C72" s="336"/>
      <c r="D72" s="336"/>
      <c r="E72" s="336"/>
      <c r="F72" s="336"/>
      <c r="G72" s="336"/>
      <c r="H72" s="336"/>
      <c r="I72" s="336"/>
      <c r="J72" s="336"/>
    </row>
    <row r="73" spans="1:12" s="193" customFormat="1" ht="20.100000000000001" customHeight="1">
      <c r="A73" s="284" t="s">
        <v>135</v>
      </c>
      <c r="B73" s="329" t="s">
        <v>136</v>
      </c>
      <c r="C73" s="329"/>
      <c r="D73" s="329"/>
      <c r="E73" s="329"/>
      <c r="F73" s="329"/>
      <c r="G73" s="329"/>
      <c r="H73" s="329"/>
      <c r="I73" s="209" t="s">
        <v>85</v>
      </c>
      <c r="J73" s="286" t="s">
        <v>85</v>
      </c>
      <c r="K73" s="213"/>
    </row>
    <row r="74" spans="1:12" s="193" customFormat="1" ht="20.100000000000001" customHeight="1">
      <c r="A74" s="196" t="s">
        <v>61</v>
      </c>
      <c r="B74" s="346" t="s">
        <v>137</v>
      </c>
      <c r="C74" s="346"/>
      <c r="D74" s="346"/>
      <c r="E74" s="346"/>
      <c r="F74" s="346"/>
      <c r="G74" s="346"/>
      <c r="H74" s="236">
        <v>9.3200000000000005E-2</v>
      </c>
      <c r="I74" s="211">
        <f t="shared" ref="I74" si="2">ROUND($I$26*H74,2)</f>
        <v>154.88999999999999</v>
      </c>
      <c r="J74" s="212">
        <f t="shared" ref="J74" si="3">ROUND($J$26*H74,2)</f>
        <v>176.27</v>
      </c>
      <c r="K74" s="213"/>
    </row>
    <row r="75" spans="1:12" s="193" customFormat="1" ht="20.100000000000001" customHeight="1">
      <c r="A75" s="196" t="s">
        <v>63</v>
      </c>
      <c r="B75" s="330" t="s">
        <v>138</v>
      </c>
      <c r="C75" s="330"/>
      <c r="D75" s="330"/>
      <c r="E75" s="330"/>
      <c r="F75" s="330"/>
      <c r="G75" s="330"/>
      <c r="H75" s="237">
        <v>0</v>
      </c>
      <c r="I75" s="211">
        <f>ROUND($I$26*H75,2)</f>
        <v>0</v>
      </c>
      <c r="J75" s="211">
        <f>ROUND($J$26*H75,2)</f>
        <v>0</v>
      </c>
      <c r="K75" s="213"/>
    </row>
    <row r="76" spans="1:12" s="193" customFormat="1" ht="20.100000000000001" customHeight="1">
      <c r="A76" s="196" t="s">
        <v>66</v>
      </c>
      <c r="B76" s="330" t="s">
        <v>139</v>
      </c>
      <c r="C76" s="330"/>
      <c r="D76" s="330"/>
      <c r="E76" s="330"/>
      <c r="F76" s="330"/>
      <c r="G76" s="330"/>
      <c r="H76" s="237">
        <v>0</v>
      </c>
      <c r="I76" s="211">
        <f t="shared" ref="I76:I79" si="4">ROUND($I$26*H76,2)</f>
        <v>0</v>
      </c>
      <c r="J76" s="211">
        <f t="shared" ref="J76:J79" si="5">ROUND($J$26*H76,2)</f>
        <v>0</v>
      </c>
      <c r="K76" s="213"/>
    </row>
    <row r="77" spans="1:12" s="193" customFormat="1" ht="20.100000000000001" customHeight="1">
      <c r="A77" s="196" t="s">
        <v>69</v>
      </c>
      <c r="B77" s="330" t="s">
        <v>140</v>
      </c>
      <c r="C77" s="330"/>
      <c r="D77" s="330"/>
      <c r="E77" s="330"/>
      <c r="F77" s="330"/>
      <c r="G77" s="330"/>
      <c r="H77" s="237">
        <v>0</v>
      </c>
      <c r="I77" s="211">
        <f t="shared" si="4"/>
        <v>0</v>
      </c>
      <c r="J77" s="211">
        <f t="shared" si="5"/>
        <v>0</v>
      </c>
      <c r="K77" s="213"/>
    </row>
    <row r="78" spans="1:12" s="193" customFormat="1" ht="20.100000000000001" customHeight="1">
      <c r="A78" s="196" t="s">
        <v>105</v>
      </c>
      <c r="B78" s="330" t="s">
        <v>141</v>
      </c>
      <c r="C78" s="330"/>
      <c r="D78" s="330"/>
      <c r="E78" s="330"/>
      <c r="F78" s="330"/>
      <c r="G78" s="330"/>
      <c r="H78" s="237">
        <v>0</v>
      </c>
      <c r="I78" s="211">
        <f t="shared" si="4"/>
        <v>0</v>
      </c>
      <c r="J78" s="211">
        <f t="shared" si="5"/>
        <v>0</v>
      </c>
      <c r="K78" s="213"/>
    </row>
    <row r="79" spans="1:12" s="193" customFormat="1" ht="20.100000000000001" customHeight="1">
      <c r="A79" s="196" t="s">
        <v>107</v>
      </c>
      <c r="B79" s="330" t="s">
        <v>416</v>
      </c>
      <c r="C79" s="330"/>
      <c r="D79" s="330"/>
      <c r="E79" s="330"/>
      <c r="F79" s="330"/>
      <c r="G79" s="330"/>
      <c r="H79" s="237"/>
      <c r="I79" s="211">
        <f t="shared" si="4"/>
        <v>0</v>
      </c>
      <c r="J79" s="212">
        <f t="shared" si="5"/>
        <v>0</v>
      </c>
    </row>
    <row r="80" spans="1:12" s="193" customFormat="1" ht="20.100000000000001" customHeight="1">
      <c r="A80" s="333" t="s">
        <v>95</v>
      </c>
      <c r="B80" s="333"/>
      <c r="C80" s="333"/>
      <c r="D80" s="333"/>
      <c r="E80" s="333"/>
      <c r="F80" s="333"/>
      <c r="G80" s="333"/>
      <c r="H80" s="214">
        <f>SUM(H74:H79)</f>
        <v>9.3200000000000005E-2</v>
      </c>
      <c r="I80" s="211">
        <f>TRUNC(SUM(I74:I79),2)</f>
        <v>154.88999999999999</v>
      </c>
      <c r="J80" s="212">
        <f>TRUNC(SUM(J74:J79),2)</f>
        <v>176.27</v>
      </c>
    </row>
    <row r="81" spans="1:11" s="193" customFormat="1" ht="20.100000000000001" customHeight="1">
      <c r="A81" s="196" t="s">
        <v>109</v>
      </c>
      <c r="B81" s="330" t="s">
        <v>142</v>
      </c>
      <c r="C81" s="330"/>
      <c r="D81" s="330"/>
      <c r="E81" s="330"/>
      <c r="F81" s="330"/>
      <c r="G81" s="330"/>
      <c r="H81" s="215">
        <f>H45*H80</f>
        <v>3.4297600000000004E-2</v>
      </c>
      <c r="I81" s="211">
        <f>ROUND(H45*I80,2)</f>
        <v>57</v>
      </c>
      <c r="J81" s="212">
        <f>ROUND(H45*J80,2)</f>
        <v>64.87</v>
      </c>
    </row>
    <row r="82" spans="1:11" s="193" customFormat="1" ht="20.100000000000001" customHeight="1">
      <c r="A82" s="333" t="s">
        <v>97</v>
      </c>
      <c r="B82" s="333"/>
      <c r="C82" s="333"/>
      <c r="D82" s="333"/>
      <c r="E82" s="333"/>
      <c r="F82" s="333"/>
      <c r="G82" s="333"/>
      <c r="H82" s="214">
        <f>H80+H81</f>
        <v>0.12749760000000002</v>
      </c>
      <c r="I82" s="211">
        <f>TRUNC(I80+I81,2)</f>
        <v>211.89</v>
      </c>
      <c r="J82" s="212">
        <f>TRUNC(J80+J81,2)</f>
        <v>241.14</v>
      </c>
    </row>
    <row r="83" spans="1:11" s="193" customFormat="1" ht="20.100000000000001" customHeight="1">
      <c r="A83" s="284" t="s">
        <v>143</v>
      </c>
      <c r="B83" s="329" t="s">
        <v>144</v>
      </c>
      <c r="C83" s="329"/>
      <c r="D83" s="329"/>
      <c r="E83" s="329"/>
      <c r="F83" s="329"/>
      <c r="G83" s="329"/>
      <c r="H83" s="329"/>
      <c r="I83" s="209" t="s">
        <v>85</v>
      </c>
      <c r="J83" s="286" t="s">
        <v>85</v>
      </c>
      <c r="K83" s="213"/>
    </row>
    <row r="84" spans="1:11" s="193" customFormat="1" ht="20.100000000000001" customHeight="1">
      <c r="A84" s="196" t="s">
        <v>61</v>
      </c>
      <c r="B84" s="337" t="s">
        <v>420</v>
      </c>
      <c r="C84" s="338"/>
      <c r="D84" s="338"/>
      <c r="E84" s="338"/>
      <c r="F84" s="338"/>
      <c r="G84" s="338"/>
      <c r="H84" s="339"/>
      <c r="I84" s="211">
        <f>ROUND(15.21*8.71,2)</f>
        <v>132.47999999999999</v>
      </c>
      <c r="J84" s="217">
        <f>ROUND(15.21*8.71,2)</f>
        <v>132.47999999999999</v>
      </c>
      <c r="K84" s="213"/>
    </row>
    <row r="85" spans="1:11" s="193" customFormat="1" ht="20.100000000000001" customHeight="1">
      <c r="A85" s="335" t="s">
        <v>145</v>
      </c>
      <c r="B85" s="335"/>
      <c r="C85" s="335"/>
      <c r="D85" s="335"/>
      <c r="E85" s="335"/>
      <c r="F85" s="335"/>
      <c r="G85" s="335"/>
      <c r="H85" s="335"/>
      <c r="I85" s="335"/>
      <c r="J85" s="335"/>
    </row>
    <row r="86" spans="1:11" s="193" customFormat="1" ht="20.100000000000001" customHeight="1">
      <c r="A86" s="284">
        <v>4</v>
      </c>
      <c r="B86" s="329" t="s">
        <v>146</v>
      </c>
      <c r="C86" s="329"/>
      <c r="D86" s="329"/>
      <c r="E86" s="329"/>
      <c r="F86" s="329"/>
      <c r="G86" s="329"/>
      <c r="H86" s="284" t="s">
        <v>84</v>
      </c>
      <c r="I86" s="209" t="s">
        <v>85</v>
      </c>
      <c r="J86" s="286" t="s">
        <v>85</v>
      </c>
    </row>
    <row r="87" spans="1:11" s="193" customFormat="1" ht="20.100000000000001" customHeight="1">
      <c r="A87" s="287" t="s">
        <v>135</v>
      </c>
      <c r="B87" s="343" t="s">
        <v>147</v>
      </c>
      <c r="C87" s="344"/>
      <c r="D87" s="344"/>
      <c r="E87" s="344"/>
      <c r="F87" s="344"/>
      <c r="G87" s="344"/>
      <c r="H87" s="345"/>
      <c r="I87" s="211">
        <f>I82</f>
        <v>211.89</v>
      </c>
      <c r="J87" s="211">
        <f>J82</f>
        <v>241.14</v>
      </c>
    </row>
    <row r="88" spans="1:11" s="193" customFormat="1" ht="20.100000000000001" customHeight="1">
      <c r="A88" s="287" t="s">
        <v>143</v>
      </c>
      <c r="B88" s="343" t="s">
        <v>148</v>
      </c>
      <c r="C88" s="344"/>
      <c r="D88" s="344"/>
      <c r="E88" s="344"/>
      <c r="F88" s="344"/>
      <c r="G88" s="344"/>
      <c r="H88" s="345"/>
      <c r="I88" s="211">
        <f>I84</f>
        <v>132.47999999999999</v>
      </c>
      <c r="J88" s="211">
        <f>J84</f>
        <v>132.47999999999999</v>
      </c>
    </row>
    <row r="89" spans="1:11" s="193" customFormat="1" ht="20.100000000000001" customHeight="1">
      <c r="A89" s="340" t="s">
        <v>97</v>
      </c>
      <c r="B89" s="341"/>
      <c r="C89" s="341"/>
      <c r="D89" s="341"/>
      <c r="E89" s="341"/>
      <c r="F89" s="341"/>
      <c r="G89" s="341"/>
      <c r="H89" s="342"/>
      <c r="I89" s="211">
        <f>I87+I88</f>
        <v>344.37</v>
      </c>
      <c r="J89" s="212">
        <f>J87+J88</f>
        <v>373.62</v>
      </c>
    </row>
    <row r="90" spans="1:11" s="193" customFormat="1" ht="20.100000000000001" customHeight="1">
      <c r="A90" s="336" t="s">
        <v>149</v>
      </c>
      <c r="B90" s="336"/>
      <c r="C90" s="336"/>
      <c r="D90" s="336"/>
      <c r="E90" s="336"/>
      <c r="F90" s="336"/>
      <c r="G90" s="336"/>
      <c r="H90" s="336"/>
      <c r="I90" s="336"/>
      <c r="J90" s="336"/>
    </row>
    <row r="91" spans="1:11" s="193" customFormat="1" ht="20.100000000000001" customHeight="1">
      <c r="A91" s="284">
        <v>5</v>
      </c>
      <c r="B91" s="329" t="s">
        <v>150</v>
      </c>
      <c r="C91" s="329"/>
      <c r="D91" s="329"/>
      <c r="E91" s="329"/>
      <c r="F91" s="329"/>
      <c r="G91" s="329"/>
      <c r="H91" s="329"/>
      <c r="I91" s="209" t="s">
        <v>85</v>
      </c>
      <c r="J91" s="286" t="s">
        <v>85</v>
      </c>
    </row>
    <row r="92" spans="1:11" s="193" customFormat="1" ht="15" customHeight="1">
      <c r="A92" s="196" t="s">
        <v>61</v>
      </c>
      <c r="B92" s="337" t="s">
        <v>151</v>
      </c>
      <c r="C92" s="338"/>
      <c r="D92" s="338"/>
      <c r="E92" s="338"/>
      <c r="F92" s="338"/>
      <c r="G92" s="338"/>
      <c r="H92" s="339"/>
      <c r="I92" s="211">
        <f>Uniforme!G12</f>
        <v>48.263666666666673</v>
      </c>
      <c r="J92" s="211">
        <f>Uniforme!G12</f>
        <v>48.263666666666673</v>
      </c>
    </row>
    <row r="93" spans="1:11" s="193" customFormat="1" ht="16.5" customHeight="1">
      <c r="A93" s="196" t="s">
        <v>63</v>
      </c>
      <c r="B93" s="337" t="s">
        <v>152</v>
      </c>
      <c r="C93" s="338"/>
      <c r="D93" s="338"/>
      <c r="E93" s="338"/>
      <c r="F93" s="338"/>
      <c r="G93" s="338"/>
      <c r="H93" s="339"/>
      <c r="I93" s="211">
        <f>'EPIs e materiais'!G15</f>
        <v>59.190958333333327</v>
      </c>
      <c r="J93" s="212">
        <f>'EPIs e materiais'!G15</f>
        <v>59.190958333333327</v>
      </c>
    </row>
    <row r="94" spans="1:11" s="193" customFormat="1" ht="20.100000000000001" customHeight="1">
      <c r="A94" s="196" t="s">
        <v>66</v>
      </c>
      <c r="B94" s="323" t="s">
        <v>86</v>
      </c>
      <c r="C94" s="323"/>
      <c r="D94" s="323"/>
      <c r="E94" s="323"/>
      <c r="F94" s="323"/>
      <c r="G94" s="323"/>
      <c r="H94" s="323"/>
      <c r="I94" s="211"/>
      <c r="J94" s="212"/>
    </row>
    <row r="95" spans="1:11" s="193" customFormat="1" ht="20.100000000000001" customHeight="1">
      <c r="A95" s="333" t="s">
        <v>153</v>
      </c>
      <c r="B95" s="333"/>
      <c r="C95" s="333"/>
      <c r="D95" s="333"/>
      <c r="E95" s="333"/>
      <c r="F95" s="333"/>
      <c r="G95" s="333"/>
      <c r="H95" s="333"/>
      <c r="I95" s="211">
        <f>TRUNC(SUM(I92:I94),2)</f>
        <v>107.45</v>
      </c>
      <c r="J95" s="212">
        <f>TRUNC(SUM(J92:J94),2)</f>
        <v>107.45</v>
      </c>
    </row>
    <row r="96" spans="1:11" s="193" customFormat="1" ht="20.100000000000001" customHeight="1">
      <c r="A96" s="334" t="s">
        <v>154</v>
      </c>
      <c r="B96" s="334"/>
      <c r="C96" s="334"/>
      <c r="D96" s="334"/>
      <c r="E96" s="334"/>
      <c r="F96" s="334"/>
      <c r="G96" s="334"/>
      <c r="H96" s="334"/>
      <c r="I96" s="334"/>
      <c r="J96" s="238"/>
    </row>
    <row r="97" spans="1:10" s="193" customFormat="1" ht="20.100000000000001" customHeight="1">
      <c r="A97" s="335" t="s">
        <v>155</v>
      </c>
      <c r="B97" s="335"/>
      <c r="C97" s="335"/>
      <c r="D97" s="335"/>
      <c r="E97" s="335"/>
      <c r="F97" s="335"/>
      <c r="G97" s="335"/>
      <c r="H97" s="335"/>
      <c r="I97" s="335"/>
      <c r="J97" s="335"/>
    </row>
    <row r="98" spans="1:10" s="193" customFormat="1" ht="20.100000000000001" customHeight="1">
      <c r="A98" s="284">
        <v>6</v>
      </c>
      <c r="B98" s="329" t="s">
        <v>156</v>
      </c>
      <c r="C98" s="329"/>
      <c r="D98" s="329"/>
      <c r="E98" s="329"/>
      <c r="F98" s="329"/>
      <c r="G98" s="329"/>
      <c r="H98" s="284" t="s">
        <v>84</v>
      </c>
      <c r="I98" s="239" t="s">
        <v>85</v>
      </c>
      <c r="J98" s="240" t="s">
        <v>85</v>
      </c>
    </row>
    <row r="99" spans="1:10" s="193" customFormat="1" ht="20.100000000000001" customHeight="1">
      <c r="A99" s="196" t="s">
        <v>61</v>
      </c>
      <c r="B99" s="330" t="s">
        <v>157</v>
      </c>
      <c r="C99" s="330"/>
      <c r="D99" s="330"/>
      <c r="E99" s="330"/>
      <c r="F99" s="330"/>
      <c r="G99" s="330"/>
      <c r="H99" s="288">
        <v>0</v>
      </c>
      <c r="I99" s="211">
        <f>ROUND(H99*I116,2)</f>
        <v>0</v>
      </c>
      <c r="J99" s="212">
        <f>ROUND(H99*J116,2)</f>
        <v>0</v>
      </c>
    </row>
    <row r="100" spans="1:10" s="193" customFormat="1" ht="20.100000000000001" customHeight="1">
      <c r="A100" s="196" t="s">
        <v>63</v>
      </c>
      <c r="B100" s="330" t="s">
        <v>158</v>
      </c>
      <c r="C100" s="330"/>
      <c r="D100" s="330"/>
      <c r="E100" s="330"/>
      <c r="F100" s="330"/>
      <c r="G100" s="330"/>
      <c r="H100" s="288">
        <v>0</v>
      </c>
      <c r="I100" s="211">
        <f>ROUND((I116+I99)*H100,2)</f>
        <v>0</v>
      </c>
      <c r="J100" s="212">
        <f>ROUND((J116+J99)*H100,2)</f>
        <v>0</v>
      </c>
    </row>
    <row r="101" spans="1:10" s="193" customFormat="1" ht="20.100000000000001" customHeight="1">
      <c r="A101" s="331" t="s">
        <v>66</v>
      </c>
      <c r="B101" s="330" t="s">
        <v>159</v>
      </c>
      <c r="C101" s="330"/>
      <c r="D101" s="330"/>
      <c r="E101" s="330"/>
      <c r="F101" s="330"/>
      <c r="G101" s="330"/>
      <c r="H101" s="241">
        <f>SUM(H103:H106)</f>
        <v>8.6499999999999994E-2</v>
      </c>
      <c r="I101" s="211">
        <f>TRUNC(SUM(I103:I106),2)</f>
        <v>340.09</v>
      </c>
      <c r="J101" s="212">
        <f>TRUNC(SUM(J103:J106),2)</f>
        <v>377.41</v>
      </c>
    </row>
    <row r="102" spans="1:10" s="193" customFormat="1" ht="20.100000000000001" customHeight="1">
      <c r="A102" s="331"/>
      <c r="B102" s="330" t="s">
        <v>160</v>
      </c>
      <c r="C102" s="330"/>
      <c r="D102" s="330"/>
      <c r="E102" s="330"/>
      <c r="F102" s="330"/>
      <c r="G102" s="330"/>
      <c r="H102" s="242"/>
      <c r="I102" s="211"/>
      <c r="J102" s="212"/>
    </row>
    <row r="103" spans="1:10" s="193" customFormat="1" ht="20.100000000000001" customHeight="1">
      <c r="A103" s="331"/>
      <c r="B103" s="332" t="s">
        <v>161</v>
      </c>
      <c r="C103" s="332"/>
      <c r="D103" s="332"/>
      <c r="E103" s="332"/>
      <c r="F103" s="332"/>
      <c r="G103" s="332"/>
      <c r="H103" s="289">
        <v>0.03</v>
      </c>
      <c r="I103" s="211">
        <f>ROUND(I118*H103,2)</f>
        <v>117.95</v>
      </c>
      <c r="J103" s="212">
        <f>ROUND(J118*H103,2)</f>
        <v>130.88999999999999</v>
      </c>
    </row>
    <row r="104" spans="1:10" s="193" customFormat="1" ht="20.100000000000001" customHeight="1">
      <c r="A104" s="331"/>
      <c r="B104" s="332" t="s">
        <v>162</v>
      </c>
      <c r="C104" s="332"/>
      <c r="D104" s="332"/>
      <c r="E104" s="332"/>
      <c r="F104" s="332"/>
      <c r="G104" s="332"/>
      <c r="H104" s="289">
        <v>6.4999999999999997E-3</v>
      </c>
      <c r="I104" s="211">
        <f>ROUND(I118*H104,2)</f>
        <v>25.56</v>
      </c>
      <c r="J104" s="212">
        <f>ROUND(J118*H104,2)</f>
        <v>28.36</v>
      </c>
    </row>
    <row r="105" spans="1:10" s="193" customFormat="1" ht="20.100000000000001" customHeight="1">
      <c r="A105" s="331"/>
      <c r="B105" s="330" t="s">
        <v>163</v>
      </c>
      <c r="C105" s="330"/>
      <c r="D105" s="330"/>
      <c r="E105" s="330"/>
      <c r="F105" s="330"/>
      <c r="G105" s="330"/>
      <c r="H105" s="289">
        <v>0.05</v>
      </c>
      <c r="I105" s="211">
        <f>ROUND(I118*H105,2)</f>
        <v>196.58</v>
      </c>
      <c r="J105" s="212">
        <f>ROUND(J118*H105,2)</f>
        <v>218.16</v>
      </c>
    </row>
    <row r="106" spans="1:10" s="193" customFormat="1" ht="20.100000000000001" customHeight="1">
      <c r="A106" s="331"/>
      <c r="B106" s="330" t="s">
        <v>164</v>
      </c>
      <c r="C106" s="330"/>
      <c r="D106" s="330"/>
      <c r="E106" s="330"/>
      <c r="F106" s="330"/>
      <c r="G106" s="330"/>
      <c r="H106" s="289">
        <v>0</v>
      </c>
      <c r="I106" s="211">
        <f>ROUND(I118*H106,2)</f>
        <v>0</v>
      </c>
      <c r="J106" s="212">
        <f>ROUND(J118*H106,2)</f>
        <v>0</v>
      </c>
    </row>
    <row r="107" spans="1:10" s="193" customFormat="1" ht="20.100000000000001" customHeight="1">
      <c r="A107" s="326" t="s">
        <v>165</v>
      </c>
      <c r="B107" s="326"/>
      <c r="C107" s="326"/>
      <c r="D107" s="326"/>
      <c r="E107" s="326"/>
      <c r="F107" s="326"/>
      <c r="G107" s="326"/>
      <c r="H107" s="326"/>
      <c r="I107" s="211">
        <f>TRUNC(SUM(I99:I101),2)</f>
        <v>340.09</v>
      </c>
      <c r="J107" s="212">
        <f>TRUNC(SUM(J99:J101),2)</f>
        <v>377.41</v>
      </c>
    </row>
    <row r="108" spans="1:10" s="193" customFormat="1" ht="20.100000000000001" customHeight="1">
      <c r="A108" s="327"/>
      <c r="B108" s="327"/>
      <c r="C108" s="327"/>
      <c r="D108" s="327"/>
      <c r="E108" s="327"/>
      <c r="F108" s="327"/>
      <c r="G108" s="327"/>
      <c r="H108" s="327"/>
      <c r="I108" s="327"/>
      <c r="J108" s="243"/>
    </row>
    <row r="109" spans="1:10" s="193" customFormat="1" ht="20.100000000000001" customHeight="1">
      <c r="A109" s="328" t="s">
        <v>166</v>
      </c>
      <c r="B109" s="328"/>
      <c r="C109" s="328"/>
      <c r="D109" s="328"/>
      <c r="E109" s="328"/>
      <c r="F109" s="328"/>
      <c r="G109" s="328"/>
      <c r="H109" s="328"/>
      <c r="I109" s="328"/>
      <c r="J109" s="328"/>
    </row>
    <row r="110" spans="1:10" s="193" customFormat="1" ht="20.100000000000001" customHeight="1">
      <c r="A110" s="329" t="s">
        <v>167</v>
      </c>
      <c r="B110" s="329"/>
      <c r="C110" s="329"/>
      <c r="D110" s="329"/>
      <c r="E110" s="329"/>
      <c r="F110" s="329"/>
      <c r="G110" s="329"/>
      <c r="H110" s="329"/>
      <c r="I110" s="209" t="s">
        <v>85</v>
      </c>
      <c r="J110" s="286" t="s">
        <v>85</v>
      </c>
    </row>
    <row r="111" spans="1:10" s="193" customFormat="1" ht="20.100000000000001" customHeight="1">
      <c r="A111" s="244" t="s">
        <v>61</v>
      </c>
      <c r="B111" s="323" t="s">
        <v>168</v>
      </c>
      <c r="C111" s="323"/>
      <c r="D111" s="323"/>
      <c r="E111" s="323"/>
      <c r="F111" s="323"/>
      <c r="G111" s="323"/>
      <c r="H111" s="323"/>
      <c r="I111" s="211">
        <f>I26</f>
        <v>1661.93</v>
      </c>
      <c r="J111" s="212">
        <f>J26</f>
        <v>1891.29</v>
      </c>
    </row>
    <row r="112" spans="1:10" s="193" customFormat="1" ht="20.100000000000001" customHeight="1">
      <c r="A112" s="244" t="s">
        <v>63</v>
      </c>
      <c r="B112" s="323" t="s">
        <v>169</v>
      </c>
      <c r="C112" s="323"/>
      <c r="D112" s="323"/>
      <c r="E112" s="323"/>
      <c r="F112" s="323"/>
      <c r="G112" s="323"/>
      <c r="H112" s="323"/>
      <c r="I112" s="211">
        <f>I62</f>
        <v>1359.56</v>
      </c>
      <c r="J112" s="212">
        <f>J62</f>
        <v>1478.85</v>
      </c>
    </row>
    <row r="113" spans="1:10" s="193" customFormat="1" ht="20.100000000000001" customHeight="1">
      <c r="A113" s="244" t="s">
        <v>66</v>
      </c>
      <c r="B113" s="323" t="s">
        <v>126</v>
      </c>
      <c r="C113" s="323"/>
      <c r="D113" s="323"/>
      <c r="E113" s="323"/>
      <c r="F113" s="323"/>
      <c r="G113" s="323"/>
      <c r="H113" s="323"/>
      <c r="I113" s="211">
        <f>I71</f>
        <v>118.23000000000002</v>
      </c>
      <c r="J113" s="212">
        <f>J71</f>
        <v>134.54</v>
      </c>
    </row>
    <row r="114" spans="1:10" s="193" customFormat="1" ht="20.100000000000001" customHeight="1">
      <c r="A114" s="244" t="s">
        <v>69</v>
      </c>
      <c r="B114" s="323" t="s">
        <v>170</v>
      </c>
      <c r="C114" s="323"/>
      <c r="D114" s="323"/>
      <c r="E114" s="323"/>
      <c r="F114" s="323"/>
      <c r="G114" s="323"/>
      <c r="H114" s="323"/>
      <c r="I114" s="211">
        <f>I89</f>
        <v>344.37</v>
      </c>
      <c r="J114" s="212">
        <f>J89</f>
        <v>373.62</v>
      </c>
    </row>
    <row r="115" spans="1:10" ht="20.100000000000001" customHeight="1">
      <c r="A115" s="244" t="s">
        <v>105</v>
      </c>
      <c r="B115" s="323" t="s">
        <v>171</v>
      </c>
      <c r="C115" s="323"/>
      <c r="D115" s="323"/>
      <c r="E115" s="323"/>
      <c r="F115" s="323"/>
      <c r="G115" s="323"/>
      <c r="H115" s="323"/>
      <c r="I115" s="211">
        <f>I95</f>
        <v>107.45</v>
      </c>
      <c r="J115" s="212">
        <f>J95</f>
        <v>107.45</v>
      </c>
    </row>
    <row r="116" spans="1:10" ht="20.100000000000001" customHeight="1">
      <c r="A116" s="324" t="s">
        <v>172</v>
      </c>
      <c r="B116" s="324"/>
      <c r="C116" s="324"/>
      <c r="D116" s="324"/>
      <c r="E116" s="324"/>
      <c r="F116" s="324"/>
      <c r="G116" s="324"/>
      <c r="H116" s="324"/>
      <c r="I116" s="211">
        <f>TRUNC(SUM(I111:I115),2)</f>
        <v>3591.54</v>
      </c>
      <c r="J116" s="212">
        <f>TRUNC(SUM(J111:J115),2)</f>
        <v>3985.75</v>
      </c>
    </row>
    <row r="117" spans="1:10" ht="20.100000000000001" customHeight="1">
      <c r="A117" s="245" t="s">
        <v>109</v>
      </c>
      <c r="B117" s="325" t="s">
        <v>173</v>
      </c>
      <c r="C117" s="325"/>
      <c r="D117" s="325"/>
      <c r="E117" s="325"/>
      <c r="F117" s="325"/>
      <c r="G117" s="325"/>
      <c r="H117" s="325"/>
      <c r="I117" s="211">
        <f>I107</f>
        <v>340.09</v>
      </c>
      <c r="J117" s="212">
        <f>J107</f>
        <v>377.41</v>
      </c>
    </row>
    <row r="118" spans="1:10" ht="20.100000000000001" customHeight="1">
      <c r="A118" s="319" t="s">
        <v>174</v>
      </c>
      <c r="B118" s="319"/>
      <c r="C118" s="319"/>
      <c r="D118" s="319"/>
      <c r="E118" s="319"/>
      <c r="F118" s="319"/>
      <c r="G118" s="319"/>
      <c r="H118" s="319"/>
      <c r="I118" s="227">
        <f>TRUNC((I116+I99+I100)/(1-H101),2)</f>
        <v>3931.62</v>
      </c>
      <c r="J118" s="212">
        <f>TRUNC((J116+J99+J100)/(1-H101),2)</f>
        <v>4363.16</v>
      </c>
    </row>
    <row r="119" spans="1:10" ht="20.100000000000001" customHeight="1">
      <c r="A119" s="319" t="s">
        <v>175</v>
      </c>
      <c r="B119" s="319"/>
      <c r="C119" s="319"/>
      <c r="D119" s="319"/>
      <c r="E119" s="319"/>
      <c r="F119" s="319"/>
      <c r="G119" s="319"/>
      <c r="H119" s="319"/>
      <c r="I119" s="290">
        <f>2*I118</f>
        <v>7863.24</v>
      </c>
      <c r="J119" s="291">
        <f>2*J118</f>
        <v>8726.32</v>
      </c>
    </row>
    <row r="120" spans="1:10" ht="20.100000000000001" customHeight="1">
      <c r="J120" s="247"/>
    </row>
  </sheetData>
  <mergeCells count="158">
    <mergeCell ref="B5:H5"/>
    <mergeCell ref="I5:J5"/>
    <mergeCell ref="B6:H6"/>
    <mergeCell ref="I6:J6"/>
    <mergeCell ref="B7:H7"/>
    <mergeCell ref="I7:J7"/>
    <mergeCell ref="A1:H1"/>
    <mergeCell ref="I1:J1"/>
    <mergeCell ref="A2:H2"/>
    <mergeCell ref="A3:J3"/>
    <mergeCell ref="B4:H4"/>
    <mergeCell ref="I4:J4"/>
    <mergeCell ref="A11:J11"/>
    <mergeCell ref="B12:H12"/>
    <mergeCell ref="I12:J12"/>
    <mergeCell ref="B14:H14"/>
    <mergeCell ref="I14:J14"/>
    <mergeCell ref="B15:H15"/>
    <mergeCell ref="I15:J15"/>
    <mergeCell ref="A8:J8"/>
    <mergeCell ref="A9:F9"/>
    <mergeCell ref="G9:H9"/>
    <mergeCell ref="I9:J9"/>
    <mergeCell ref="A10:F10"/>
    <mergeCell ref="G10:H10"/>
    <mergeCell ref="B13:H13"/>
    <mergeCell ref="I13:J13"/>
    <mergeCell ref="B21:H21"/>
    <mergeCell ref="B22:H22"/>
    <mergeCell ref="B23:H23"/>
    <mergeCell ref="A24:H24"/>
    <mergeCell ref="B25:G25"/>
    <mergeCell ref="A26:H26"/>
    <mergeCell ref="B16:H16"/>
    <mergeCell ref="I16:J16"/>
    <mergeCell ref="B17:H17"/>
    <mergeCell ref="I17:J17"/>
    <mergeCell ref="A19:J19"/>
    <mergeCell ref="B20:G20"/>
    <mergeCell ref="B33:G33"/>
    <mergeCell ref="A34:G34"/>
    <mergeCell ref="A35:J35"/>
    <mergeCell ref="B36:G36"/>
    <mergeCell ref="B37:G37"/>
    <mergeCell ref="B38:G38"/>
    <mergeCell ref="A27:J27"/>
    <mergeCell ref="A28:J28"/>
    <mergeCell ref="B29:G29"/>
    <mergeCell ref="B30:G30"/>
    <mergeCell ref="B31:G31"/>
    <mergeCell ref="A32:G32"/>
    <mergeCell ref="A45:G45"/>
    <mergeCell ref="A46:J46"/>
    <mergeCell ref="B47:H47"/>
    <mergeCell ref="K47:O47"/>
    <mergeCell ref="V47:AC47"/>
    <mergeCell ref="AD47:AK47"/>
    <mergeCell ref="B39:G39"/>
    <mergeCell ref="B40:G40"/>
    <mergeCell ref="B41:G41"/>
    <mergeCell ref="B42:G42"/>
    <mergeCell ref="B43:G43"/>
    <mergeCell ref="B44:G44"/>
    <mergeCell ref="FZ47:GG47"/>
    <mergeCell ref="GH47:GO47"/>
    <mergeCell ref="GP47:GW47"/>
    <mergeCell ref="GX47:HE47"/>
    <mergeCell ref="B48:E48"/>
    <mergeCell ref="B49:F49"/>
    <mergeCell ref="ED47:EK47"/>
    <mergeCell ref="EL47:ES47"/>
    <mergeCell ref="ET47:FA47"/>
    <mergeCell ref="FB47:FI47"/>
    <mergeCell ref="FJ47:FQ47"/>
    <mergeCell ref="FR47:FY47"/>
    <mergeCell ref="CH47:CO47"/>
    <mergeCell ref="CP47:CW47"/>
    <mergeCell ref="CX47:DE47"/>
    <mergeCell ref="DF47:DM47"/>
    <mergeCell ref="DN47:DU47"/>
    <mergeCell ref="DV47:EC47"/>
    <mergeCell ref="AL47:AS47"/>
    <mergeCell ref="AT47:BA47"/>
    <mergeCell ref="BB47:BI47"/>
    <mergeCell ref="BJ47:BQ47"/>
    <mergeCell ref="BR47:BY47"/>
    <mergeCell ref="BZ47:CG47"/>
    <mergeCell ref="A56:I56"/>
    <mergeCell ref="A57:J57"/>
    <mergeCell ref="B58:G58"/>
    <mergeCell ref="B59:G59"/>
    <mergeCell ref="B60:G60"/>
    <mergeCell ref="B61:G61"/>
    <mergeCell ref="B50:F50"/>
    <mergeCell ref="B51:H51"/>
    <mergeCell ref="B52:H52"/>
    <mergeCell ref="B53:H53"/>
    <mergeCell ref="B54:H54"/>
    <mergeCell ref="B55:H55"/>
    <mergeCell ref="B68:G68"/>
    <mergeCell ref="B69:G69"/>
    <mergeCell ref="B70:G70"/>
    <mergeCell ref="A71:G71"/>
    <mergeCell ref="A72:J72"/>
    <mergeCell ref="B73:H73"/>
    <mergeCell ref="A62:G62"/>
    <mergeCell ref="A63:J63"/>
    <mergeCell ref="B64:H64"/>
    <mergeCell ref="B65:G65"/>
    <mergeCell ref="B66:G66"/>
    <mergeCell ref="B67:G67"/>
    <mergeCell ref="A80:G80"/>
    <mergeCell ref="B81:G81"/>
    <mergeCell ref="A82:G82"/>
    <mergeCell ref="B83:H83"/>
    <mergeCell ref="B84:H84"/>
    <mergeCell ref="A85:J85"/>
    <mergeCell ref="B74:G74"/>
    <mergeCell ref="B75:G75"/>
    <mergeCell ref="B76:G76"/>
    <mergeCell ref="B77:G77"/>
    <mergeCell ref="B78:G78"/>
    <mergeCell ref="B79:G79"/>
    <mergeCell ref="B92:H92"/>
    <mergeCell ref="B93:H93"/>
    <mergeCell ref="B94:H94"/>
    <mergeCell ref="A95:H95"/>
    <mergeCell ref="A96:I96"/>
    <mergeCell ref="A97:J97"/>
    <mergeCell ref="B86:G86"/>
    <mergeCell ref="B87:H87"/>
    <mergeCell ref="B88:H88"/>
    <mergeCell ref="A89:H89"/>
    <mergeCell ref="A90:J90"/>
    <mergeCell ref="B91:H91"/>
    <mergeCell ref="B98:G98"/>
    <mergeCell ref="B99:G99"/>
    <mergeCell ref="B100:G100"/>
    <mergeCell ref="A101:A106"/>
    <mergeCell ref="B101:G101"/>
    <mergeCell ref="B102:G102"/>
    <mergeCell ref="B103:G103"/>
    <mergeCell ref="B104:G104"/>
    <mergeCell ref="B105:G105"/>
    <mergeCell ref="B106:G106"/>
    <mergeCell ref="A119:H119"/>
    <mergeCell ref="B113:H113"/>
    <mergeCell ref="B114:H114"/>
    <mergeCell ref="B115:H115"/>
    <mergeCell ref="A116:H116"/>
    <mergeCell ref="B117:H117"/>
    <mergeCell ref="A118:H118"/>
    <mergeCell ref="A107:H107"/>
    <mergeCell ref="A108:I108"/>
    <mergeCell ref="A109:J109"/>
    <mergeCell ref="A110:H110"/>
    <mergeCell ref="B111:H111"/>
    <mergeCell ref="B112:H112"/>
  </mergeCells>
  <pageMargins left="0.23622047244094491" right="0.23622047244094491" top="0.74881889763779519" bottom="0.74881889763779519" header="0.31535433070866142" footer="0.31535433070866142"/>
  <pageSetup paperSize="9" scale="10" fitToWidth="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25E4A-D5FA-48AD-88AD-BCAEDFEDD7A6}">
  <dimension ref="A1:AMJ119"/>
  <sheetViews>
    <sheetView showGridLines="0" workbookViewId="0">
      <pane ySplit="2" topLeftCell="A105" activePane="bottomLeft" state="frozen"/>
      <selection pane="bottomLeft" activeCell="A84" sqref="A84:J84"/>
    </sheetView>
  </sheetViews>
  <sheetFormatPr defaultRowHeight="20.100000000000001" customHeight="1"/>
  <cols>
    <col min="1" max="1" width="9.85546875" style="193" customWidth="1"/>
    <col min="2" max="3" width="11.42578125" style="193" customWidth="1"/>
    <col min="4" max="4" width="13.7109375" style="193" customWidth="1"/>
    <col min="5" max="5" width="16.85546875" style="193" customWidth="1"/>
    <col min="6" max="6" width="16.7109375" style="193" customWidth="1"/>
    <col min="7" max="7" width="12.28515625" style="193" customWidth="1"/>
    <col min="8" max="8" width="15.42578125" style="246" customWidth="1"/>
    <col min="9" max="9" width="16.85546875" style="220" customWidth="1"/>
    <col min="10" max="10" width="16.28515625" style="220" customWidth="1"/>
    <col min="11" max="11" width="13.5703125" style="193" customWidth="1"/>
    <col min="12" max="17" width="11.42578125" style="193" customWidth="1"/>
    <col min="18" max="18" width="15" style="193" customWidth="1"/>
    <col min="19" max="1024" width="11.42578125" style="193" customWidth="1"/>
    <col min="1025" max="16384" width="9.140625" style="213"/>
  </cols>
  <sheetData>
    <row r="1" spans="1:10" s="193" customFormat="1" ht="20.100000000000001" customHeight="1">
      <c r="A1" s="387" t="s">
        <v>58</v>
      </c>
      <c r="B1" s="387"/>
      <c r="C1" s="387"/>
      <c r="D1" s="387"/>
      <c r="E1" s="387"/>
      <c r="F1" s="387"/>
      <c r="G1" s="387"/>
      <c r="H1" s="388"/>
      <c r="I1" s="389" t="s">
        <v>396</v>
      </c>
      <c r="J1" s="389"/>
    </row>
    <row r="2" spans="1:10" s="193" customFormat="1" ht="20.100000000000001" customHeight="1">
      <c r="A2" s="390" t="s">
        <v>59</v>
      </c>
      <c r="B2" s="390"/>
      <c r="C2" s="390"/>
      <c r="D2" s="390"/>
      <c r="E2" s="390"/>
      <c r="F2" s="390"/>
      <c r="G2" s="390"/>
      <c r="H2" s="391"/>
      <c r="I2" s="194" t="s">
        <v>49</v>
      </c>
      <c r="J2" s="195" t="s">
        <v>52</v>
      </c>
    </row>
    <row r="3" spans="1:10" s="193" customFormat="1" ht="20.100000000000001" customHeight="1">
      <c r="A3" s="392" t="s">
        <v>60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0" s="193" customFormat="1" ht="20.100000000000001" customHeight="1">
      <c r="A4" s="196" t="s">
        <v>61</v>
      </c>
      <c r="B4" s="330" t="s">
        <v>62</v>
      </c>
      <c r="C4" s="330"/>
      <c r="D4" s="330"/>
      <c r="E4" s="330"/>
      <c r="F4" s="330"/>
      <c r="G4" s="330"/>
      <c r="H4" s="330"/>
      <c r="I4" s="393"/>
      <c r="J4" s="393"/>
    </row>
    <row r="5" spans="1:10" s="193" customFormat="1" ht="31.5" customHeight="1">
      <c r="A5" s="196" t="s">
        <v>63</v>
      </c>
      <c r="B5" s="330" t="s">
        <v>392</v>
      </c>
      <c r="C5" s="330"/>
      <c r="D5" s="330"/>
      <c r="E5" s="330"/>
      <c r="F5" s="330"/>
      <c r="G5" s="330"/>
      <c r="H5" s="330"/>
      <c r="I5" s="398" t="s">
        <v>391</v>
      </c>
      <c r="J5" s="398"/>
    </row>
    <row r="6" spans="1:10" s="193" customFormat="1" ht="20.100000000000001" customHeight="1">
      <c r="A6" s="196" t="s">
        <v>66</v>
      </c>
      <c r="B6" s="330" t="s">
        <v>67</v>
      </c>
      <c r="C6" s="330"/>
      <c r="D6" s="330"/>
      <c r="E6" s="330"/>
      <c r="F6" s="330"/>
      <c r="G6" s="330"/>
      <c r="H6" s="330"/>
      <c r="I6" s="384" t="s">
        <v>68</v>
      </c>
      <c r="J6" s="384"/>
    </row>
    <row r="7" spans="1:10" s="193" customFormat="1" ht="20.100000000000001" customHeight="1">
      <c r="A7" s="250" t="s">
        <v>69</v>
      </c>
      <c r="B7" s="385" t="s">
        <v>70</v>
      </c>
      <c r="C7" s="385"/>
      <c r="D7" s="385"/>
      <c r="E7" s="385"/>
      <c r="F7" s="385"/>
      <c r="G7" s="385"/>
      <c r="H7" s="385"/>
      <c r="I7" s="386">
        <v>20</v>
      </c>
      <c r="J7" s="386"/>
    </row>
    <row r="8" spans="1:10" s="193" customFormat="1" ht="20.100000000000001" customHeight="1">
      <c r="A8" s="394" t="s">
        <v>71</v>
      </c>
      <c r="B8" s="394"/>
      <c r="C8" s="394"/>
      <c r="D8" s="394"/>
      <c r="E8" s="394"/>
      <c r="F8" s="394"/>
      <c r="G8" s="394"/>
      <c r="H8" s="394"/>
      <c r="I8" s="394"/>
      <c r="J8" s="394"/>
    </row>
    <row r="9" spans="1:10" s="193" customFormat="1" ht="51.75" customHeight="1">
      <c r="A9" s="395" t="s">
        <v>72</v>
      </c>
      <c r="B9" s="395"/>
      <c r="C9" s="395"/>
      <c r="D9" s="395"/>
      <c r="E9" s="395"/>
      <c r="F9" s="395"/>
      <c r="G9" s="396" t="s">
        <v>48</v>
      </c>
      <c r="H9" s="392"/>
      <c r="I9" s="397" t="s">
        <v>73</v>
      </c>
      <c r="J9" s="397"/>
    </row>
    <row r="10" spans="1:10" s="193" customFormat="1" ht="20.100000000000001" customHeight="1">
      <c r="A10" s="382" t="s">
        <v>413</v>
      </c>
      <c r="B10" s="382"/>
      <c r="C10" s="382"/>
      <c r="D10" s="382"/>
      <c r="E10" s="382"/>
      <c r="F10" s="382"/>
      <c r="G10" s="382" t="s">
        <v>414</v>
      </c>
      <c r="H10" s="383"/>
      <c r="I10" s="251">
        <v>2</v>
      </c>
      <c r="J10" s="251">
        <v>3</v>
      </c>
    </row>
    <row r="11" spans="1:10" s="193" customFormat="1" ht="20.100000000000001" customHeight="1">
      <c r="A11" s="374" t="s">
        <v>74</v>
      </c>
      <c r="B11" s="374"/>
      <c r="C11" s="374"/>
      <c r="D11" s="374"/>
      <c r="E11" s="374"/>
      <c r="F11" s="374"/>
      <c r="G11" s="374"/>
      <c r="H11" s="374"/>
      <c r="I11" s="374"/>
      <c r="J11" s="374"/>
    </row>
    <row r="12" spans="1:10" s="193" customFormat="1" ht="20.100000000000001" customHeight="1">
      <c r="A12" s="252">
        <v>1</v>
      </c>
      <c r="B12" s="357" t="s">
        <v>75</v>
      </c>
      <c r="C12" s="357"/>
      <c r="D12" s="357"/>
      <c r="E12" s="357"/>
      <c r="F12" s="357"/>
      <c r="G12" s="357"/>
      <c r="H12" s="357"/>
      <c r="I12" s="375" t="s">
        <v>76</v>
      </c>
      <c r="J12" s="375"/>
    </row>
    <row r="13" spans="1:10" s="193" customFormat="1" ht="20.100000000000001" customHeight="1">
      <c r="A13" s="252">
        <v>2</v>
      </c>
      <c r="B13" s="377" t="s">
        <v>410</v>
      </c>
      <c r="C13" s="378"/>
      <c r="D13" s="378"/>
      <c r="E13" s="378"/>
      <c r="F13" s="378"/>
      <c r="G13" s="378"/>
      <c r="H13" s="379"/>
      <c r="I13" s="380" t="s">
        <v>411</v>
      </c>
      <c r="J13" s="381"/>
    </row>
    <row r="14" spans="1:10" s="193" customFormat="1" ht="20.100000000000001" customHeight="1">
      <c r="A14" s="196">
        <v>3</v>
      </c>
      <c r="B14" s="323" t="s">
        <v>77</v>
      </c>
      <c r="C14" s="323"/>
      <c r="D14" s="323"/>
      <c r="E14" s="323"/>
      <c r="F14" s="323"/>
      <c r="G14" s="323"/>
      <c r="H14" s="323"/>
      <c r="I14" s="376">
        <v>1278.4100000000001</v>
      </c>
      <c r="J14" s="376"/>
    </row>
    <row r="15" spans="1:10" s="193" customFormat="1" ht="20.100000000000001" customHeight="1">
      <c r="A15" s="196">
        <v>4</v>
      </c>
      <c r="B15" s="323" t="s">
        <v>78</v>
      </c>
      <c r="C15" s="323"/>
      <c r="D15" s="323"/>
      <c r="E15" s="323"/>
      <c r="F15" s="323"/>
      <c r="G15" s="323"/>
      <c r="H15" s="323"/>
      <c r="I15" s="373" t="s">
        <v>79</v>
      </c>
      <c r="J15" s="373"/>
    </row>
    <row r="16" spans="1:10" s="193" customFormat="1" ht="20.100000000000001" customHeight="1">
      <c r="A16" s="196">
        <v>5</v>
      </c>
      <c r="B16" s="323" t="s">
        <v>80</v>
      </c>
      <c r="C16" s="323"/>
      <c r="D16" s="323"/>
      <c r="E16" s="323"/>
      <c r="F16" s="323"/>
      <c r="G16" s="323"/>
      <c r="H16" s="323"/>
      <c r="I16" s="373">
        <v>43525</v>
      </c>
      <c r="J16" s="373"/>
    </row>
    <row r="17" spans="1:11" s="193" customFormat="1" ht="20.100000000000001" customHeight="1">
      <c r="A17" s="196">
        <v>6</v>
      </c>
      <c r="B17" s="323" t="s">
        <v>81</v>
      </c>
      <c r="C17" s="323"/>
      <c r="D17" s="323"/>
      <c r="E17" s="323"/>
      <c r="F17" s="323"/>
      <c r="G17" s="323"/>
      <c r="H17" s="323"/>
      <c r="I17" s="360">
        <v>15.21</v>
      </c>
      <c r="J17" s="360"/>
    </row>
    <row r="18" spans="1:11" s="193" customFormat="1" ht="20.100000000000001" customHeight="1">
      <c r="A18" s="197"/>
      <c r="B18" s="198"/>
      <c r="C18" s="198"/>
      <c r="D18" s="198"/>
      <c r="E18" s="198"/>
      <c r="F18" s="198"/>
      <c r="G18" s="198"/>
      <c r="H18" s="199"/>
      <c r="I18" s="199"/>
    </row>
    <row r="19" spans="1:11" s="193" customFormat="1" ht="20.100000000000001" customHeight="1">
      <c r="A19" s="361" t="s">
        <v>82</v>
      </c>
      <c r="B19" s="361"/>
      <c r="C19" s="361"/>
      <c r="D19" s="361"/>
      <c r="E19" s="361"/>
      <c r="F19" s="361"/>
      <c r="G19" s="361"/>
      <c r="H19" s="361"/>
      <c r="I19" s="361"/>
      <c r="J19" s="361"/>
    </row>
    <row r="20" spans="1:11" s="193" customFormat="1" ht="20.100000000000001" customHeight="1">
      <c r="A20" s="284">
        <v>1</v>
      </c>
      <c r="B20" s="329" t="s">
        <v>83</v>
      </c>
      <c r="C20" s="329"/>
      <c r="D20" s="329"/>
      <c r="E20" s="329"/>
      <c r="F20" s="329"/>
      <c r="G20" s="329"/>
      <c r="H20" s="285" t="s">
        <v>84</v>
      </c>
      <c r="I20" s="200" t="s">
        <v>85</v>
      </c>
      <c r="J20" s="201" t="s">
        <v>85</v>
      </c>
    </row>
    <row r="21" spans="1:11" s="193" customFormat="1" ht="20.100000000000001" customHeight="1">
      <c r="A21" s="196" t="s">
        <v>61</v>
      </c>
      <c r="B21" s="362" t="s">
        <v>404</v>
      </c>
      <c r="C21" s="362"/>
      <c r="D21" s="362"/>
      <c r="E21" s="362"/>
      <c r="F21" s="362"/>
      <c r="G21" s="362"/>
      <c r="H21" s="362"/>
      <c r="I21" s="202">
        <f>I14</f>
        <v>1278.4100000000001</v>
      </c>
      <c r="J21" s="203">
        <f>I14</f>
        <v>1278.4100000000001</v>
      </c>
    </row>
    <row r="22" spans="1:11" s="193" customFormat="1" ht="20.100000000000001" customHeight="1">
      <c r="A22" s="196" t="s">
        <v>63</v>
      </c>
      <c r="B22" s="369" t="s">
        <v>409</v>
      </c>
      <c r="C22" s="369"/>
      <c r="D22" s="369"/>
      <c r="E22" s="369"/>
      <c r="F22" s="369"/>
      <c r="G22" s="369"/>
      <c r="H22" s="369"/>
      <c r="I22" s="204"/>
      <c r="J22" s="203">
        <f>8*1.45*15.21</f>
        <v>176.43600000000001</v>
      </c>
      <c r="K22" s="205"/>
    </row>
    <row r="23" spans="1:11" s="193" customFormat="1" ht="20.100000000000001" customHeight="1">
      <c r="A23" s="196" t="s">
        <v>66</v>
      </c>
      <c r="B23" s="370" t="s">
        <v>86</v>
      </c>
      <c r="C23" s="371"/>
      <c r="D23" s="371"/>
      <c r="E23" s="371"/>
      <c r="F23" s="371"/>
      <c r="G23" s="371"/>
      <c r="H23" s="372"/>
      <c r="I23" s="206"/>
      <c r="J23" s="203"/>
      <c r="K23" s="205"/>
    </row>
    <row r="24" spans="1:11" s="193" customFormat="1" ht="20.100000000000001" customHeight="1">
      <c r="A24" s="363" t="s">
        <v>87</v>
      </c>
      <c r="B24" s="364"/>
      <c r="C24" s="364"/>
      <c r="D24" s="364"/>
      <c r="E24" s="364"/>
      <c r="F24" s="364"/>
      <c r="G24" s="364"/>
      <c r="H24" s="365"/>
      <c r="I24" s="202">
        <f>TRUNC(SUM(I21:I23),2)</f>
        <v>1278.4100000000001</v>
      </c>
      <c r="J24" s="202">
        <f>TRUNC(SUM(J21:J23),2)</f>
        <v>1454.84</v>
      </c>
      <c r="K24" s="205"/>
    </row>
    <row r="25" spans="1:11" s="193" customFormat="1" ht="20.100000000000001" customHeight="1">
      <c r="A25" s="196" t="s">
        <v>69</v>
      </c>
      <c r="B25" s="366" t="s">
        <v>88</v>
      </c>
      <c r="C25" s="367"/>
      <c r="D25" s="367"/>
      <c r="E25" s="367"/>
      <c r="F25" s="367"/>
      <c r="G25" s="368"/>
      <c r="H25" s="207">
        <v>0.3</v>
      </c>
      <c r="I25" s="202">
        <f>I24*H25</f>
        <v>383.52300000000002</v>
      </c>
      <c r="J25" s="203">
        <f>J24*H25</f>
        <v>436.45199999999994</v>
      </c>
    </row>
    <row r="26" spans="1:11" s="193" customFormat="1" ht="20.100000000000001" customHeight="1">
      <c r="A26" s="326" t="s">
        <v>89</v>
      </c>
      <c r="B26" s="326"/>
      <c r="C26" s="326"/>
      <c r="D26" s="326"/>
      <c r="E26" s="326"/>
      <c r="F26" s="326"/>
      <c r="G26" s="326"/>
      <c r="H26" s="326"/>
      <c r="I26" s="202">
        <f>TRUNC(SUM(I24:I25),2)</f>
        <v>1661.93</v>
      </c>
      <c r="J26" s="203">
        <f>TRUNC(SUM(J24:J25),2)</f>
        <v>1891.29</v>
      </c>
    </row>
    <row r="27" spans="1:11" s="193" customFormat="1" ht="20.100000000000001" customHeight="1">
      <c r="A27" s="336" t="s">
        <v>90</v>
      </c>
      <c r="B27" s="336"/>
      <c r="C27" s="336"/>
      <c r="D27" s="336"/>
      <c r="E27" s="336"/>
      <c r="F27" s="336"/>
      <c r="G27" s="336"/>
      <c r="H27" s="336"/>
      <c r="I27" s="336"/>
      <c r="J27" s="336"/>
    </row>
    <row r="28" spans="1:11" s="193" customFormat="1" ht="20.100000000000001" customHeight="1">
      <c r="A28" s="335" t="s">
        <v>91</v>
      </c>
      <c r="B28" s="335"/>
      <c r="C28" s="335"/>
      <c r="D28" s="335"/>
      <c r="E28" s="335"/>
      <c r="F28" s="335"/>
      <c r="G28" s="335"/>
      <c r="H28" s="335"/>
      <c r="I28" s="335"/>
      <c r="J28" s="335"/>
    </row>
    <row r="29" spans="1:11" s="193" customFormat="1" ht="20.100000000000001" customHeight="1">
      <c r="A29" s="284" t="s">
        <v>92</v>
      </c>
      <c r="B29" s="359" t="s">
        <v>93</v>
      </c>
      <c r="C29" s="359"/>
      <c r="D29" s="359"/>
      <c r="E29" s="359"/>
      <c r="F29" s="359"/>
      <c r="G29" s="359"/>
      <c r="H29" s="208" t="s">
        <v>84</v>
      </c>
      <c r="I29" s="209" t="s">
        <v>85</v>
      </c>
      <c r="J29" s="286" t="s">
        <v>85</v>
      </c>
      <c r="K29" s="210"/>
    </row>
    <row r="30" spans="1:11" s="193" customFormat="1" ht="20.100000000000001" customHeight="1">
      <c r="A30" s="196" t="s">
        <v>61</v>
      </c>
      <c r="B30" s="350" t="s">
        <v>94</v>
      </c>
      <c r="C30" s="350"/>
      <c r="D30" s="350"/>
      <c r="E30" s="350"/>
      <c r="F30" s="350"/>
      <c r="G30" s="350"/>
      <c r="H30" s="248">
        <f>1/12</f>
        <v>8.3333333333333329E-2</v>
      </c>
      <c r="I30" s="211">
        <f>ROUND($I$26*H30,2)</f>
        <v>138.49</v>
      </c>
      <c r="J30" s="212">
        <f>ROUND($J$26*H30,2)</f>
        <v>157.61000000000001</v>
      </c>
      <c r="K30" s="213"/>
    </row>
    <row r="31" spans="1:11" ht="20.100000000000001" customHeight="1">
      <c r="A31" s="196" t="s">
        <v>63</v>
      </c>
      <c r="B31" s="330" t="s">
        <v>408</v>
      </c>
      <c r="C31" s="330"/>
      <c r="D31" s="330"/>
      <c r="E31" s="330"/>
      <c r="F31" s="330"/>
      <c r="G31" s="330"/>
      <c r="H31" s="249">
        <f>((1/12)/3)</f>
        <v>2.7777777777777776E-2</v>
      </c>
      <c r="I31" s="211">
        <f>ROUND(H31*I26,2)</f>
        <v>46.16</v>
      </c>
      <c r="J31" s="212">
        <f>ROUND(H31*J26,2)</f>
        <v>52.54</v>
      </c>
    </row>
    <row r="32" spans="1:11" ht="20.100000000000001" customHeight="1">
      <c r="A32" s="333" t="s">
        <v>95</v>
      </c>
      <c r="B32" s="333"/>
      <c r="C32" s="333"/>
      <c r="D32" s="333"/>
      <c r="E32" s="333"/>
      <c r="F32" s="333"/>
      <c r="G32" s="333"/>
      <c r="H32" s="214">
        <f>H30+H31</f>
        <v>0.1111111111111111</v>
      </c>
      <c r="I32" s="211">
        <f>TRUNC(I30+I31,2)</f>
        <v>184.65</v>
      </c>
      <c r="J32" s="212">
        <f>TRUNC(J30+J31,2)</f>
        <v>210.15</v>
      </c>
    </row>
    <row r="33" spans="1:213" ht="20.100000000000001" customHeight="1">
      <c r="A33" s="196" t="s">
        <v>66</v>
      </c>
      <c r="B33" s="350" t="s">
        <v>96</v>
      </c>
      <c r="C33" s="350"/>
      <c r="D33" s="350"/>
      <c r="E33" s="350"/>
      <c r="F33" s="350"/>
      <c r="G33" s="350"/>
      <c r="H33" s="215">
        <f>H32*H45</f>
        <v>4.0888888888888891E-2</v>
      </c>
      <c r="I33" s="211">
        <f>ROUND(I32*H45,2)</f>
        <v>67.95</v>
      </c>
      <c r="J33" s="212">
        <f>ROUND(J32*H45,2)</f>
        <v>77.34</v>
      </c>
    </row>
    <row r="34" spans="1:213" ht="20.100000000000001" customHeight="1">
      <c r="A34" s="333" t="s">
        <v>97</v>
      </c>
      <c r="B34" s="333"/>
      <c r="C34" s="333"/>
      <c r="D34" s="333"/>
      <c r="E34" s="333"/>
      <c r="F34" s="333"/>
      <c r="G34" s="333"/>
      <c r="H34" s="216">
        <f>H32+H33</f>
        <v>0.152</v>
      </c>
      <c r="I34" s="211">
        <f>TRUNC(I32+I33,2)</f>
        <v>252.6</v>
      </c>
      <c r="J34" s="212">
        <f>TRUNC(J32+J33,2)</f>
        <v>287.49</v>
      </c>
    </row>
    <row r="35" spans="1:213" ht="20.100000000000001" customHeight="1">
      <c r="A35" s="358" t="s">
        <v>98</v>
      </c>
      <c r="B35" s="358"/>
      <c r="C35" s="358"/>
      <c r="D35" s="358"/>
      <c r="E35" s="358"/>
      <c r="F35" s="358"/>
      <c r="G35" s="358"/>
      <c r="H35" s="358"/>
      <c r="I35" s="358"/>
      <c r="J35" s="358"/>
    </row>
    <row r="36" spans="1:213" ht="20.100000000000001" customHeight="1">
      <c r="A36" s="284" t="s">
        <v>99</v>
      </c>
      <c r="B36" s="359" t="s">
        <v>100</v>
      </c>
      <c r="C36" s="359"/>
      <c r="D36" s="359"/>
      <c r="E36" s="359"/>
      <c r="F36" s="359"/>
      <c r="G36" s="359"/>
      <c r="H36" s="284" t="s">
        <v>84</v>
      </c>
      <c r="I36" s="209" t="s">
        <v>85</v>
      </c>
      <c r="J36" s="286" t="s">
        <v>85</v>
      </c>
    </row>
    <row r="37" spans="1:213" ht="20.100000000000001" customHeight="1">
      <c r="A37" s="196" t="s">
        <v>61</v>
      </c>
      <c r="B37" s="330" t="s">
        <v>101</v>
      </c>
      <c r="C37" s="330"/>
      <c r="D37" s="330"/>
      <c r="E37" s="330"/>
      <c r="F37" s="330"/>
      <c r="G37" s="330"/>
      <c r="H37" s="214">
        <v>0.2</v>
      </c>
      <c r="I37" s="211">
        <f>ROUND($I$26*H37,2)</f>
        <v>332.39</v>
      </c>
      <c r="J37" s="211">
        <f t="shared" ref="J37:J44" si="0">ROUND($J$26*H37,2)</f>
        <v>378.26</v>
      </c>
    </row>
    <row r="38" spans="1:213" ht="20.100000000000001" customHeight="1">
      <c r="A38" s="196" t="s">
        <v>63</v>
      </c>
      <c r="B38" s="330" t="s">
        <v>102</v>
      </c>
      <c r="C38" s="330"/>
      <c r="D38" s="330"/>
      <c r="E38" s="330"/>
      <c r="F38" s="330"/>
      <c r="G38" s="330"/>
      <c r="H38" s="214">
        <v>2.5000000000000001E-2</v>
      </c>
      <c r="I38" s="211">
        <f t="shared" ref="I38:I44" si="1">ROUND($I$26*H38,2)</f>
        <v>41.55</v>
      </c>
      <c r="J38" s="217">
        <f t="shared" si="0"/>
        <v>47.28</v>
      </c>
    </row>
    <row r="39" spans="1:213" ht="20.100000000000001" customHeight="1">
      <c r="A39" s="196" t="s">
        <v>66</v>
      </c>
      <c r="B39" s="330" t="s">
        <v>103</v>
      </c>
      <c r="C39" s="330"/>
      <c r="D39" s="330"/>
      <c r="E39" s="330"/>
      <c r="F39" s="330"/>
      <c r="G39" s="330"/>
      <c r="H39" s="462">
        <v>0.03</v>
      </c>
      <c r="I39" s="211">
        <f t="shared" si="1"/>
        <v>49.86</v>
      </c>
      <c r="J39" s="217">
        <f t="shared" si="0"/>
        <v>56.74</v>
      </c>
    </row>
    <row r="40" spans="1:213" ht="20.100000000000001" customHeight="1">
      <c r="A40" s="196" t="s">
        <v>69</v>
      </c>
      <c r="B40" s="330" t="s">
        <v>104</v>
      </c>
      <c r="C40" s="330"/>
      <c r="D40" s="330"/>
      <c r="E40" s="330"/>
      <c r="F40" s="330"/>
      <c r="G40" s="330"/>
      <c r="H40" s="214">
        <v>1.4999999999999999E-2</v>
      </c>
      <c r="I40" s="211">
        <f t="shared" si="1"/>
        <v>24.93</v>
      </c>
      <c r="J40" s="217">
        <f t="shared" si="0"/>
        <v>28.37</v>
      </c>
    </row>
    <row r="41" spans="1:213" ht="20.100000000000001" customHeight="1">
      <c r="A41" s="196" t="s">
        <v>105</v>
      </c>
      <c r="B41" s="330" t="s">
        <v>106</v>
      </c>
      <c r="C41" s="330"/>
      <c r="D41" s="330"/>
      <c r="E41" s="330"/>
      <c r="F41" s="330"/>
      <c r="G41" s="330"/>
      <c r="H41" s="214">
        <v>0.01</v>
      </c>
      <c r="I41" s="211">
        <f t="shared" si="1"/>
        <v>16.62</v>
      </c>
      <c r="J41" s="217">
        <f t="shared" si="0"/>
        <v>18.91</v>
      </c>
    </row>
    <row r="42" spans="1:213" ht="20.100000000000001" customHeight="1">
      <c r="A42" s="196" t="s">
        <v>107</v>
      </c>
      <c r="B42" s="330" t="s">
        <v>108</v>
      </c>
      <c r="C42" s="330"/>
      <c r="D42" s="330"/>
      <c r="E42" s="330"/>
      <c r="F42" s="330"/>
      <c r="G42" s="330"/>
      <c r="H42" s="214">
        <v>6.0000000000000001E-3</v>
      </c>
      <c r="I42" s="211">
        <f t="shared" si="1"/>
        <v>9.9700000000000006</v>
      </c>
      <c r="J42" s="217">
        <f t="shared" si="0"/>
        <v>11.35</v>
      </c>
    </row>
    <row r="43" spans="1:213" ht="20.100000000000001" customHeight="1">
      <c r="A43" s="196" t="s">
        <v>109</v>
      </c>
      <c r="B43" s="330" t="s">
        <v>110</v>
      </c>
      <c r="C43" s="330"/>
      <c r="D43" s="330"/>
      <c r="E43" s="330"/>
      <c r="F43" s="330"/>
      <c r="G43" s="330"/>
      <c r="H43" s="214">
        <v>2E-3</v>
      </c>
      <c r="I43" s="211">
        <f t="shared" si="1"/>
        <v>3.32</v>
      </c>
      <c r="J43" s="217">
        <f t="shared" si="0"/>
        <v>3.78</v>
      </c>
    </row>
    <row r="44" spans="1:213" ht="20.100000000000001" customHeight="1">
      <c r="A44" s="196" t="s">
        <v>111</v>
      </c>
      <c r="B44" s="330" t="s">
        <v>112</v>
      </c>
      <c r="C44" s="330"/>
      <c r="D44" s="330"/>
      <c r="E44" s="330"/>
      <c r="F44" s="330"/>
      <c r="G44" s="330"/>
      <c r="H44" s="214">
        <v>0.08</v>
      </c>
      <c r="I44" s="211">
        <f t="shared" si="1"/>
        <v>132.94999999999999</v>
      </c>
      <c r="J44" s="217">
        <f t="shared" si="0"/>
        <v>151.30000000000001</v>
      </c>
    </row>
    <row r="45" spans="1:213" s="220" customFormat="1" ht="20.100000000000001" customHeight="1">
      <c r="A45" s="333" t="s">
        <v>97</v>
      </c>
      <c r="B45" s="333"/>
      <c r="C45" s="333"/>
      <c r="D45" s="333"/>
      <c r="E45" s="333"/>
      <c r="F45" s="333"/>
      <c r="G45" s="333"/>
      <c r="H45" s="214">
        <f>SUM(H37:H44)</f>
        <v>0.36800000000000005</v>
      </c>
      <c r="I45" s="218">
        <f>SUM(I37:I44)</f>
        <v>611.59</v>
      </c>
      <c r="J45" s="219">
        <f>SUM(J37:J44)</f>
        <v>695.99</v>
      </c>
    </row>
    <row r="46" spans="1:213" ht="20.100000000000001" customHeight="1">
      <c r="A46" s="336" t="s">
        <v>113</v>
      </c>
      <c r="B46" s="336"/>
      <c r="C46" s="336"/>
      <c r="D46" s="336"/>
      <c r="E46" s="336"/>
      <c r="F46" s="336"/>
      <c r="G46" s="336"/>
      <c r="H46" s="336"/>
      <c r="I46" s="336"/>
      <c r="J46" s="336"/>
    </row>
    <row r="47" spans="1:213" s="197" customFormat="1" ht="20.100000000000001" customHeight="1">
      <c r="A47" s="284" t="s">
        <v>114</v>
      </c>
      <c r="B47" s="329" t="s">
        <v>115</v>
      </c>
      <c r="C47" s="329"/>
      <c r="D47" s="329"/>
      <c r="E47" s="329"/>
      <c r="F47" s="329"/>
      <c r="G47" s="329"/>
      <c r="H47" s="329"/>
      <c r="I47" s="209" t="s">
        <v>85</v>
      </c>
      <c r="J47" s="286" t="s">
        <v>85</v>
      </c>
      <c r="K47" s="353"/>
      <c r="L47" s="353"/>
      <c r="M47" s="353"/>
      <c r="N47" s="353"/>
      <c r="O47" s="353"/>
      <c r="V47" s="353"/>
      <c r="W47" s="353"/>
      <c r="X47" s="353"/>
      <c r="Y47" s="353"/>
      <c r="Z47" s="353"/>
      <c r="AA47" s="353"/>
      <c r="AB47" s="353"/>
      <c r="AC47" s="353"/>
      <c r="AD47" s="353"/>
      <c r="AE47" s="353"/>
      <c r="AF47" s="353"/>
      <c r="AG47" s="353"/>
      <c r="AH47" s="353"/>
      <c r="AI47" s="353"/>
      <c r="AJ47" s="353"/>
      <c r="AK47" s="353"/>
      <c r="AL47" s="353"/>
      <c r="AM47" s="353"/>
      <c r="AN47" s="353"/>
      <c r="AO47" s="353"/>
      <c r="AP47" s="353"/>
      <c r="AQ47" s="353"/>
      <c r="AR47" s="353"/>
      <c r="AS47" s="353"/>
      <c r="AT47" s="353"/>
      <c r="AU47" s="353"/>
      <c r="AV47" s="353"/>
      <c r="AW47" s="353"/>
      <c r="AX47" s="353"/>
      <c r="AY47" s="353"/>
      <c r="AZ47" s="353"/>
      <c r="BA47" s="353"/>
      <c r="BB47" s="353"/>
      <c r="BC47" s="353"/>
      <c r="BD47" s="353"/>
      <c r="BE47" s="353"/>
      <c r="BF47" s="353"/>
      <c r="BG47" s="353"/>
      <c r="BH47" s="353"/>
      <c r="BI47" s="353"/>
      <c r="BJ47" s="353"/>
      <c r="BK47" s="353"/>
      <c r="BL47" s="353"/>
      <c r="BM47" s="353"/>
      <c r="BN47" s="353"/>
      <c r="BO47" s="353"/>
      <c r="BP47" s="353"/>
      <c r="BQ47" s="353"/>
      <c r="BR47" s="353"/>
      <c r="BS47" s="353"/>
      <c r="BT47" s="353"/>
      <c r="BU47" s="353"/>
      <c r="BV47" s="353"/>
      <c r="BW47" s="353"/>
      <c r="BX47" s="353"/>
      <c r="BY47" s="353"/>
      <c r="BZ47" s="353"/>
      <c r="CA47" s="353"/>
      <c r="CB47" s="353"/>
      <c r="CC47" s="353"/>
      <c r="CD47" s="353"/>
      <c r="CE47" s="353"/>
      <c r="CF47" s="353"/>
      <c r="CG47" s="353"/>
      <c r="CH47" s="353"/>
      <c r="CI47" s="353"/>
      <c r="CJ47" s="353"/>
      <c r="CK47" s="353"/>
      <c r="CL47" s="353"/>
      <c r="CM47" s="353"/>
      <c r="CN47" s="353"/>
      <c r="CO47" s="353"/>
      <c r="CP47" s="353"/>
      <c r="CQ47" s="353"/>
      <c r="CR47" s="353"/>
      <c r="CS47" s="353"/>
      <c r="CT47" s="353"/>
      <c r="CU47" s="353"/>
      <c r="CV47" s="353"/>
      <c r="CW47" s="353"/>
      <c r="CX47" s="353"/>
      <c r="CY47" s="353"/>
      <c r="CZ47" s="353"/>
      <c r="DA47" s="353"/>
      <c r="DB47" s="353"/>
      <c r="DC47" s="353"/>
      <c r="DD47" s="353"/>
      <c r="DE47" s="353"/>
      <c r="DF47" s="353"/>
      <c r="DG47" s="353"/>
      <c r="DH47" s="353"/>
      <c r="DI47" s="353"/>
      <c r="DJ47" s="353"/>
      <c r="DK47" s="353"/>
      <c r="DL47" s="353"/>
      <c r="DM47" s="353"/>
      <c r="DN47" s="353"/>
      <c r="DO47" s="353"/>
      <c r="DP47" s="353"/>
      <c r="DQ47" s="353"/>
      <c r="DR47" s="353"/>
      <c r="DS47" s="353"/>
      <c r="DT47" s="353"/>
      <c r="DU47" s="353"/>
      <c r="DV47" s="353"/>
      <c r="DW47" s="353"/>
      <c r="DX47" s="353"/>
      <c r="DY47" s="353"/>
      <c r="DZ47" s="353"/>
      <c r="EA47" s="353"/>
      <c r="EB47" s="353"/>
      <c r="EC47" s="353"/>
      <c r="ED47" s="353"/>
      <c r="EE47" s="353"/>
      <c r="EF47" s="353"/>
      <c r="EG47" s="353"/>
      <c r="EH47" s="353"/>
      <c r="EI47" s="353"/>
      <c r="EJ47" s="353"/>
      <c r="EK47" s="353"/>
      <c r="EL47" s="353"/>
      <c r="EM47" s="353"/>
      <c r="EN47" s="353"/>
      <c r="EO47" s="353"/>
      <c r="EP47" s="353"/>
      <c r="EQ47" s="353"/>
      <c r="ER47" s="353"/>
      <c r="ES47" s="353"/>
      <c r="ET47" s="353"/>
      <c r="EU47" s="353"/>
      <c r="EV47" s="353"/>
      <c r="EW47" s="353"/>
      <c r="EX47" s="353"/>
      <c r="EY47" s="353"/>
      <c r="EZ47" s="353"/>
      <c r="FA47" s="353"/>
      <c r="FB47" s="353"/>
      <c r="FC47" s="353"/>
      <c r="FD47" s="353"/>
      <c r="FE47" s="353"/>
      <c r="FF47" s="353"/>
      <c r="FG47" s="353"/>
      <c r="FH47" s="353"/>
      <c r="FI47" s="353"/>
      <c r="FJ47" s="353"/>
      <c r="FK47" s="353"/>
      <c r="FL47" s="353"/>
      <c r="FM47" s="353"/>
      <c r="FN47" s="353"/>
      <c r="FO47" s="353"/>
      <c r="FP47" s="353"/>
      <c r="FQ47" s="353"/>
      <c r="FR47" s="353"/>
      <c r="FS47" s="353"/>
      <c r="FT47" s="353"/>
      <c r="FU47" s="353"/>
      <c r="FV47" s="353"/>
      <c r="FW47" s="353"/>
      <c r="FX47" s="353"/>
      <c r="FY47" s="353"/>
      <c r="FZ47" s="353"/>
      <c r="GA47" s="353"/>
      <c r="GB47" s="353"/>
      <c r="GC47" s="353"/>
      <c r="GD47" s="353"/>
      <c r="GE47" s="353"/>
      <c r="GF47" s="353"/>
      <c r="GG47" s="353"/>
      <c r="GH47" s="353"/>
      <c r="GI47" s="353"/>
      <c r="GJ47" s="353"/>
      <c r="GK47" s="353"/>
      <c r="GL47" s="353"/>
      <c r="GM47" s="353"/>
      <c r="GN47" s="353"/>
      <c r="GO47" s="353"/>
      <c r="GP47" s="353"/>
      <c r="GQ47" s="353"/>
      <c r="GR47" s="353"/>
      <c r="GS47" s="353"/>
      <c r="GT47" s="353"/>
      <c r="GU47" s="353"/>
      <c r="GV47" s="353"/>
      <c r="GW47" s="353"/>
      <c r="GX47" s="353"/>
      <c r="GY47" s="353"/>
      <c r="GZ47" s="353"/>
      <c r="HA47" s="353"/>
      <c r="HB47" s="353"/>
      <c r="HC47" s="353"/>
      <c r="HD47" s="353"/>
      <c r="HE47" s="353"/>
    </row>
    <row r="48" spans="1:213" s="193" customFormat="1" ht="20.100000000000001" customHeight="1">
      <c r="A48" s="196" t="s">
        <v>61</v>
      </c>
      <c r="B48" s="354" t="s">
        <v>116</v>
      </c>
      <c r="C48" s="355"/>
      <c r="D48" s="355"/>
      <c r="E48" s="355"/>
      <c r="F48" s="356"/>
      <c r="G48" s="224">
        <v>28</v>
      </c>
      <c r="H48" s="225">
        <v>0.99</v>
      </c>
      <c r="I48" s="211">
        <f>ROUND((15*G48)*H48,2)</f>
        <v>415.8</v>
      </c>
      <c r="J48" s="211">
        <f>ROUND((15*G48)*H48,2)</f>
        <v>415.8</v>
      </c>
      <c r="L48" s="223"/>
    </row>
    <row r="49" spans="1:11" s="193" customFormat="1" ht="20.100000000000001" customHeight="1">
      <c r="A49" s="196" t="s">
        <v>63</v>
      </c>
      <c r="B49" s="320" t="s">
        <v>399</v>
      </c>
      <c r="C49" s="321"/>
      <c r="D49" s="321"/>
      <c r="E49" s="321"/>
      <c r="F49" s="322"/>
      <c r="G49" s="225">
        <v>0.16</v>
      </c>
      <c r="H49" s="226">
        <v>0.01</v>
      </c>
      <c r="I49" s="227">
        <f>ROUND((G49*I14)-(H49*I14),2)/12</f>
        <v>15.979999999999999</v>
      </c>
      <c r="J49" s="212">
        <f>ROUND((G49*I14)-(H49*I14),2)/12</f>
        <v>15.979999999999999</v>
      </c>
      <c r="K49" s="223"/>
    </row>
    <row r="50" spans="1:11" s="193" customFormat="1" ht="20.100000000000001" customHeight="1">
      <c r="A50" s="196" t="s">
        <v>66</v>
      </c>
      <c r="B50" s="323" t="s">
        <v>118</v>
      </c>
      <c r="C50" s="323"/>
      <c r="D50" s="323"/>
      <c r="E50" s="323"/>
      <c r="F50" s="323"/>
      <c r="G50" s="323"/>
      <c r="H50" s="357"/>
      <c r="I50" s="211">
        <v>10.68</v>
      </c>
      <c r="J50" s="212">
        <v>10.68</v>
      </c>
    </row>
    <row r="51" spans="1:11" s="193" customFormat="1" ht="20.100000000000001" customHeight="1">
      <c r="A51" s="196" t="s">
        <v>69</v>
      </c>
      <c r="B51" s="323" t="s">
        <v>119</v>
      </c>
      <c r="C51" s="323"/>
      <c r="D51" s="323"/>
      <c r="E51" s="323"/>
      <c r="F51" s="323"/>
      <c r="G51" s="323"/>
      <c r="H51" s="323"/>
      <c r="I51" s="211"/>
      <c r="J51" s="212"/>
    </row>
    <row r="52" spans="1:11" s="193" customFormat="1" ht="20.100000000000001" customHeight="1">
      <c r="A52" s="196" t="s">
        <v>105</v>
      </c>
      <c r="B52" s="323" t="s">
        <v>120</v>
      </c>
      <c r="C52" s="323"/>
      <c r="D52" s="323"/>
      <c r="E52" s="323"/>
      <c r="F52" s="323"/>
      <c r="G52" s="323"/>
      <c r="H52" s="323"/>
      <c r="I52" s="211"/>
      <c r="J52" s="212"/>
    </row>
    <row r="53" spans="1:11" s="228" customFormat="1" ht="20.100000000000001" customHeight="1">
      <c r="A53" s="196" t="s">
        <v>107</v>
      </c>
      <c r="B53" s="323" t="s">
        <v>86</v>
      </c>
      <c r="C53" s="323"/>
      <c r="D53" s="323"/>
      <c r="E53" s="323"/>
      <c r="F53" s="323"/>
      <c r="G53" s="323"/>
      <c r="H53" s="323"/>
      <c r="I53" s="211"/>
      <c r="J53" s="212"/>
    </row>
    <row r="54" spans="1:11" s="193" customFormat="1" ht="20.100000000000001" customHeight="1">
      <c r="A54" s="229"/>
      <c r="B54" s="326" t="s">
        <v>121</v>
      </c>
      <c r="C54" s="326"/>
      <c r="D54" s="326"/>
      <c r="E54" s="326"/>
      <c r="F54" s="326"/>
      <c r="G54" s="326"/>
      <c r="H54" s="326"/>
      <c r="I54" s="230">
        <f>TRUNC(SUM(I48:I53),2)</f>
        <v>442.46</v>
      </c>
      <c r="J54" s="231">
        <f>TRUNC(SUM(J48:J53),2)</f>
        <v>442.46</v>
      </c>
    </row>
    <row r="55" spans="1:11" s="193" customFormat="1" ht="20.100000000000001" customHeight="1">
      <c r="A55" s="352"/>
      <c r="B55" s="352"/>
      <c r="C55" s="352"/>
      <c r="D55" s="352"/>
      <c r="E55" s="352"/>
      <c r="F55" s="352"/>
      <c r="G55" s="352"/>
      <c r="H55" s="352"/>
      <c r="I55" s="352"/>
      <c r="J55" s="232"/>
    </row>
    <row r="56" spans="1:11" s="193" customFormat="1" ht="20.100000000000001" customHeight="1">
      <c r="A56" s="335" t="s">
        <v>122</v>
      </c>
      <c r="B56" s="335"/>
      <c r="C56" s="335"/>
      <c r="D56" s="335"/>
      <c r="E56" s="335"/>
      <c r="F56" s="335"/>
      <c r="G56" s="335"/>
      <c r="H56" s="335"/>
      <c r="I56" s="335"/>
      <c r="J56" s="335"/>
    </row>
    <row r="57" spans="1:11" s="193" customFormat="1" ht="20.100000000000001" customHeight="1">
      <c r="A57" s="284">
        <v>2</v>
      </c>
      <c r="B57" s="329" t="s">
        <v>123</v>
      </c>
      <c r="C57" s="329"/>
      <c r="D57" s="329"/>
      <c r="E57" s="329"/>
      <c r="F57" s="329"/>
      <c r="G57" s="329"/>
      <c r="H57" s="284" t="s">
        <v>84</v>
      </c>
      <c r="I57" s="209" t="s">
        <v>85</v>
      </c>
      <c r="J57" s="286" t="s">
        <v>85</v>
      </c>
    </row>
    <row r="58" spans="1:11" s="193" customFormat="1" ht="20.100000000000001" customHeight="1">
      <c r="A58" s="287" t="s">
        <v>92</v>
      </c>
      <c r="B58" s="351" t="s">
        <v>124</v>
      </c>
      <c r="C58" s="351"/>
      <c r="D58" s="351"/>
      <c r="E58" s="351"/>
      <c r="F58" s="351"/>
      <c r="G58" s="351"/>
      <c r="H58" s="214">
        <f>H32</f>
        <v>0.1111111111111111</v>
      </c>
      <c r="I58" s="211">
        <f>I34</f>
        <v>252.6</v>
      </c>
      <c r="J58" s="211">
        <f>J34</f>
        <v>287.49</v>
      </c>
    </row>
    <row r="59" spans="1:11" s="193" customFormat="1" ht="20.100000000000001" customHeight="1">
      <c r="A59" s="287" t="s">
        <v>99</v>
      </c>
      <c r="B59" s="351" t="s">
        <v>100</v>
      </c>
      <c r="C59" s="351"/>
      <c r="D59" s="351"/>
      <c r="E59" s="351"/>
      <c r="F59" s="351"/>
      <c r="G59" s="351"/>
      <c r="H59" s="214">
        <f>H45</f>
        <v>0.36800000000000005</v>
      </c>
      <c r="I59" s="211">
        <f>I45</f>
        <v>611.59</v>
      </c>
      <c r="J59" s="211">
        <f>J45</f>
        <v>695.99</v>
      </c>
    </row>
    <row r="60" spans="1:11" s="193" customFormat="1" ht="20.100000000000001" customHeight="1">
      <c r="A60" s="287" t="s">
        <v>114</v>
      </c>
      <c r="B60" s="351" t="s">
        <v>115</v>
      </c>
      <c r="C60" s="351"/>
      <c r="D60" s="351"/>
      <c r="E60" s="351"/>
      <c r="F60" s="351"/>
      <c r="G60" s="351"/>
      <c r="H60" s="233" t="s">
        <v>125</v>
      </c>
      <c r="I60" s="211">
        <f>I54</f>
        <v>442.46</v>
      </c>
      <c r="J60" s="211">
        <f>J54</f>
        <v>442.46</v>
      </c>
    </row>
    <row r="61" spans="1:11" s="193" customFormat="1" ht="20.100000000000001" customHeight="1">
      <c r="A61" s="333" t="s">
        <v>97</v>
      </c>
      <c r="B61" s="333"/>
      <c r="C61" s="333"/>
      <c r="D61" s="333"/>
      <c r="E61" s="333"/>
      <c r="F61" s="333"/>
      <c r="G61" s="333"/>
      <c r="H61" s="214">
        <f>H58+H59</f>
        <v>0.47911111111111115</v>
      </c>
      <c r="I61" s="211">
        <f>SUM(I58:I60)</f>
        <v>1306.6500000000001</v>
      </c>
      <c r="J61" s="211">
        <f>SUM(J58:J60)</f>
        <v>1425.94</v>
      </c>
    </row>
    <row r="62" spans="1:11" s="193" customFormat="1" ht="20.100000000000001" customHeight="1">
      <c r="A62" s="336" t="s">
        <v>126</v>
      </c>
      <c r="B62" s="336"/>
      <c r="C62" s="336"/>
      <c r="D62" s="336"/>
      <c r="E62" s="336"/>
      <c r="F62" s="336"/>
      <c r="G62" s="336"/>
      <c r="H62" s="336"/>
      <c r="I62" s="336"/>
      <c r="J62" s="336"/>
    </row>
    <row r="63" spans="1:11" s="193" customFormat="1" ht="20.100000000000001" customHeight="1">
      <c r="A63" s="284">
        <v>3</v>
      </c>
      <c r="B63" s="329" t="s">
        <v>127</v>
      </c>
      <c r="C63" s="329"/>
      <c r="D63" s="329"/>
      <c r="E63" s="329"/>
      <c r="F63" s="329"/>
      <c r="G63" s="329"/>
      <c r="H63" s="329"/>
      <c r="I63" s="209" t="s">
        <v>85</v>
      </c>
      <c r="J63" s="286" t="s">
        <v>85</v>
      </c>
    </row>
    <row r="64" spans="1:11" s="193" customFormat="1" ht="20.100000000000001" customHeight="1">
      <c r="A64" s="196" t="s">
        <v>61</v>
      </c>
      <c r="B64" s="347" t="s">
        <v>128</v>
      </c>
      <c r="C64" s="347"/>
      <c r="D64" s="347"/>
      <c r="E64" s="347"/>
      <c r="F64" s="347"/>
      <c r="G64" s="347"/>
      <c r="H64" s="215">
        <v>4.1999999999999997E-3</v>
      </c>
      <c r="I64" s="211">
        <f>ROUND(I26*H64,2)</f>
        <v>6.98</v>
      </c>
      <c r="J64" s="212">
        <f>ROUND(J26*H64,2)</f>
        <v>7.94</v>
      </c>
    </row>
    <row r="65" spans="1:12" s="193" customFormat="1" ht="20.100000000000001" customHeight="1">
      <c r="A65" s="196" t="s">
        <v>63</v>
      </c>
      <c r="B65" s="330" t="s">
        <v>129</v>
      </c>
      <c r="C65" s="330"/>
      <c r="D65" s="330"/>
      <c r="E65" s="330"/>
      <c r="F65" s="330"/>
      <c r="G65" s="330"/>
      <c r="H65" s="214">
        <f>H44*H64</f>
        <v>3.3599999999999998E-4</v>
      </c>
      <c r="I65" s="211">
        <f>ROUND(I26*H65,2)</f>
        <v>0.56000000000000005</v>
      </c>
      <c r="J65" s="212">
        <f>ROUND(J26*H65,2)</f>
        <v>0.64</v>
      </c>
      <c r="L65" s="234"/>
    </row>
    <row r="66" spans="1:12" s="193" customFormat="1" ht="30.75" customHeight="1">
      <c r="A66" s="196" t="s">
        <v>66</v>
      </c>
      <c r="B66" s="348" t="s">
        <v>130</v>
      </c>
      <c r="C66" s="348"/>
      <c r="D66" s="348"/>
      <c r="E66" s="348"/>
      <c r="F66" s="348"/>
      <c r="G66" s="348"/>
      <c r="H66" s="248">
        <f>4%-H69</f>
        <v>8.0000000000000002E-3</v>
      </c>
      <c r="I66" s="211">
        <f>ROUND(I26*H66,2)</f>
        <v>13.3</v>
      </c>
      <c r="J66" s="212">
        <f>ROUND(J26*H66,2)</f>
        <v>15.13</v>
      </c>
      <c r="K66" s="235"/>
    </row>
    <row r="67" spans="1:12" s="193" customFormat="1" ht="20.100000000000001" customHeight="1">
      <c r="A67" s="196" t="s">
        <v>69</v>
      </c>
      <c r="B67" s="349" t="s">
        <v>131</v>
      </c>
      <c r="C67" s="349"/>
      <c r="D67" s="349"/>
      <c r="E67" s="349"/>
      <c r="F67" s="349"/>
      <c r="G67" s="349"/>
      <c r="H67" s="248">
        <f>((7/30)/12)</f>
        <v>1.9444444444444445E-2</v>
      </c>
      <c r="I67" s="211">
        <f>ROUND(I26*H67,2)</f>
        <v>32.32</v>
      </c>
      <c r="J67" s="212">
        <f>ROUND(J26*H67,2)</f>
        <v>36.78</v>
      </c>
    </row>
    <row r="68" spans="1:12" s="193" customFormat="1" ht="20.100000000000001" customHeight="1">
      <c r="A68" s="196" t="s">
        <v>105</v>
      </c>
      <c r="B68" s="350" t="s">
        <v>132</v>
      </c>
      <c r="C68" s="350"/>
      <c r="D68" s="350"/>
      <c r="E68" s="350"/>
      <c r="F68" s="350"/>
      <c r="G68" s="350"/>
      <c r="H68" s="214">
        <f>H45*H67</f>
        <v>7.1555555555555565E-3</v>
      </c>
      <c r="I68" s="211">
        <f>ROUND(I26*H68,2)</f>
        <v>11.89</v>
      </c>
      <c r="J68" s="212">
        <f>ROUND(J26*H68,2)</f>
        <v>13.53</v>
      </c>
    </row>
    <row r="69" spans="1:12" s="193" customFormat="1" ht="29.25" customHeight="1">
      <c r="A69" s="196" t="s">
        <v>107</v>
      </c>
      <c r="B69" s="349" t="s">
        <v>133</v>
      </c>
      <c r="C69" s="349"/>
      <c r="D69" s="349"/>
      <c r="E69" s="349"/>
      <c r="F69" s="349"/>
      <c r="G69" s="349"/>
      <c r="H69" s="248">
        <f>40%*8%</f>
        <v>3.2000000000000001E-2</v>
      </c>
      <c r="I69" s="211">
        <f>ROUND(I26*H69,2)</f>
        <v>53.18</v>
      </c>
      <c r="J69" s="212">
        <f>ROUND(J26*H69,2)</f>
        <v>60.52</v>
      </c>
      <c r="K69" s="235"/>
    </row>
    <row r="70" spans="1:12" s="193" customFormat="1" ht="20.100000000000001" customHeight="1">
      <c r="A70" s="333" t="s">
        <v>97</v>
      </c>
      <c r="B70" s="333"/>
      <c r="C70" s="333"/>
      <c r="D70" s="333"/>
      <c r="E70" s="333"/>
      <c r="F70" s="333"/>
      <c r="G70" s="333"/>
      <c r="H70" s="214">
        <f>SUM(H64:H69)</f>
        <v>7.1136000000000005E-2</v>
      </c>
      <c r="I70" s="211">
        <f>SUM(I64:I69)</f>
        <v>118.23000000000002</v>
      </c>
      <c r="J70" s="212">
        <f>SUM(J64:J69)</f>
        <v>134.54</v>
      </c>
    </row>
    <row r="71" spans="1:12" s="193" customFormat="1" ht="20.100000000000001" customHeight="1">
      <c r="A71" s="336" t="s">
        <v>134</v>
      </c>
      <c r="B71" s="336"/>
      <c r="C71" s="336"/>
      <c r="D71" s="336"/>
      <c r="E71" s="336"/>
      <c r="F71" s="336"/>
      <c r="G71" s="336"/>
      <c r="H71" s="336"/>
      <c r="I71" s="336"/>
      <c r="J71" s="336"/>
    </row>
    <row r="72" spans="1:12" s="193" customFormat="1" ht="20.100000000000001" customHeight="1">
      <c r="A72" s="284" t="s">
        <v>135</v>
      </c>
      <c r="B72" s="329" t="s">
        <v>136</v>
      </c>
      <c r="C72" s="329"/>
      <c r="D72" s="329"/>
      <c r="E72" s="329"/>
      <c r="F72" s="329"/>
      <c r="G72" s="329"/>
      <c r="H72" s="329"/>
      <c r="I72" s="209" t="s">
        <v>85</v>
      </c>
      <c r="J72" s="286" t="s">
        <v>85</v>
      </c>
      <c r="K72" s="213"/>
    </row>
    <row r="73" spans="1:12" s="193" customFormat="1" ht="20.100000000000001" customHeight="1">
      <c r="A73" s="196" t="s">
        <v>61</v>
      </c>
      <c r="B73" s="346" t="s">
        <v>137</v>
      </c>
      <c r="C73" s="346"/>
      <c r="D73" s="346"/>
      <c r="E73" s="346"/>
      <c r="F73" s="346"/>
      <c r="G73" s="346"/>
      <c r="H73" s="236">
        <v>9.3200000000000005E-2</v>
      </c>
      <c r="I73" s="211">
        <f t="shared" ref="I73" si="2">ROUND($I$26*H73,2)</f>
        <v>154.88999999999999</v>
      </c>
      <c r="J73" s="212">
        <f t="shared" ref="J73" si="3">ROUND($J$26*H73,2)</f>
        <v>176.27</v>
      </c>
      <c r="K73" s="213"/>
    </row>
    <row r="74" spans="1:12" s="193" customFormat="1" ht="20.100000000000001" customHeight="1">
      <c r="A74" s="196" t="s">
        <v>63</v>
      </c>
      <c r="B74" s="330" t="s">
        <v>415</v>
      </c>
      <c r="C74" s="330"/>
      <c r="D74" s="330"/>
      <c r="E74" s="330"/>
      <c r="F74" s="330"/>
      <c r="G74" s="330"/>
      <c r="H74" s="237">
        <v>0</v>
      </c>
      <c r="I74" s="211">
        <f>ROUND($I$26*H74,2)</f>
        <v>0</v>
      </c>
      <c r="J74" s="211">
        <f>ROUND($J$26*H74,2)</f>
        <v>0</v>
      </c>
      <c r="K74" s="213"/>
    </row>
    <row r="75" spans="1:12" s="193" customFormat="1" ht="20.100000000000001" customHeight="1">
      <c r="A75" s="196" t="s">
        <v>66</v>
      </c>
      <c r="B75" s="330" t="s">
        <v>139</v>
      </c>
      <c r="C75" s="330"/>
      <c r="D75" s="330"/>
      <c r="E75" s="330"/>
      <c r="F75" s="330"/>
      <c r="G75" s="330"/>
      <c r="H75" s="237">
        <v>0</v>
      </c>
      <c r="I75" s="211">
        <f t="shared" ref="I75:I78" si="4">ROUND($I$26*H75,2)</f>
        <v>0</v>
      </c>
      <c r="J75" s="211">
        <f t="shared" ref="J75:J78" si="5">ROUND($J$26*H75,2)</f>
        <v>0</v>
      </c>
      <c r="K75" s="213"/>
    </row>
    <row r="76" spans="1:12" s="193" customFormat="1" ht="20.100000000000001" customHeight="1">
      <c r="A76" s="196" t="s">
        <v>69</v>
      </c>
      <c r="B76" s="330" t="s">
        <v>140</v>
      </c>
      <c r="C76" s="330"/>
      <c r="D76" s="330"/>
      <c r="E76" s="330"/>
      <c r="F76" s="330"/>
      <c r="G76" s="330"/>
      <c r="H76" s="237">
        <v>0</v>
      </c>
      <c r="I76" s="211">
        <f t="shared" si="4"/>
        <v>0</v>
      </c>
      <c r="J76" s="211">
        <f t="shared" si="5"/>
        <v>0</v>
      </c>
      <c r="K76" s="213"/>
    </row>
    <row r="77" spans="1:12" s="193" customFormat="1" ht="20.100000000000001" customHeight="1">
      <c r="A77" s="196" t="s">
        <v>105</v>
      </c>
      <c r="B77" s="330" t="s">
        <v>141</v>
      </c>
      <c r="C77" s="330"/>
      <c r="D77" s="330"/>
      <c r="E77" s="330"/>
      <c r="F77" s="330"/>
      <c r="G77" s="330"/>
      <c r="H77" s="237">
        <v>0</v>
      </c>
      <c r="I77" s="211">
        <f t="shared" si="4"/>
        <v>0</v>
      </c>
      <c r="J77" s="211">
        <f t="shared" si="5"/>
        <v>0</v>
      </c>
      <c r="K77" s="213"/>
    </row>
    <row r="78" spans="1:12" s="193" customFormat="1" ht="20.100000000000001" customHeight="1">
      <c r="A78" s="196" t="s">
        <v>107</v>
      </c>
      <c r="B78" s="330" t="s">
        <v>417</v>
      </c>
      <c r="C78" s="330"/>
      <c r="D78" s="330"/>
      <c r="E78" s="330"/>
      <c r="F78" s="330"/>
      <c r="G78" s="330"/>
      <c r="H78" s="237"/>
      <c r="I78" s="211">
        <f t="shared" si="4"/>
        <v>0</v>
      </c>
      <c r="J78" s="212">
        <f t="shared" si="5"/>
        <v>0</v>
      </c>
    </row>
    <row r="79" spans="1:12" s="193" customFormat="1" ht="20.100000000000001" customHeight="1">
      <c r="A79" s="333" t="s">
        <v>95</v>
      </c>
      <c r="B79" s="333"/>
      <c r="C79" s="333"/>
      <c r="D79" s="333"/>
      <c r="E79" s="333"/>
      <c r="F79" s="333"/>
      <c r="G79" s="333"/>
      <c r="H79" s="214">
        <f>SUM(H73:H78)</f>
        <v>9.3200000000000005E-2</v>
      </c>
      <c r="I79" s="211">
        <f>TRUNC(SUM(I73:I78),2)</f>
        <v>154.88999999999999</v>
      </c>
      <c r="J79" s="212">
        <f>TRUNC(SUM(J73:J78),2)</f>
        <v>176.27</v>
      </c>
    </row>
    <row r="80" spans="1:12" s="193" customFormat="1" ht="20.100000000000001" customHeight="1">
      <c r="A80" s="196" t="s">
        <v>109</v>
      </c>
      <c r="B80" s="330" t="s">
        <v>142</v>
      </c>
      <c r="C80" s="330"/>
      <c r="D80" s="330"/>
      <c r="E80" s="330"/>
      <c r="F80" s="330"/>
      <c r="G80" s="330"/>
      <c r="H80" s="215">
        <f>H45*H79</f>
        <v>3.4297600000000004E-2</v>
      </c>
      <c r="I80" s="211">
        <f>ROUND(H45*I79,2)</f>
        <v>57</v>
      </c>
      <c r="J80" s="212">
        <f>ROUND(H45*J79,2)</f>
        <v>64.87</v>
      </c>
    </row>
    <row r="81" spans="1:11" s="193" customFormat="1" ht="20.100000000000001" customHeight="1">
      <c r="A81" s="333" t="s">
        <v>97</v>
      </c>
      <c r="B81" s="333"/>
      <c r="C81" s="333"/>
      <c r="D81" s="333"/>
      <c r="E81" s="333"/>
      <c r="F81" s="333"/>
      <c r="G81" s="333"/>
      <c r="H81" s="214">
        <f>H79+H80</f>
        <v>0.12749760000000002</v>
      </c>
      <c r="I81" s="211">
        <f>TRUNC(I79+I80,2)</f>
        <v>211.89</v>
      </c>
      <c r="J81" s="212">
        <f>TRUNC(J79+J80,2)</f>
        <v>241.14</v>
      </c>
    </row>
    <row r="82" spans="1:11" s="193" customFormat="1" ht="20.100000000000001" customHeight="1">
      <c r="A82" s="284" t="s">
        <v>143</v>
      </c>
      <c r="B82" s="329" t="s">
        <v>144</v>
      </c>
      <c r="C82" s="329"/>
      <c r="D82" s="329"/>
      <c r="E82" s="329"/>
      <c r="F82" s="329"/>
      <c r="G82" s="329"/>
      <c r="H82" s="329"/>
      <c r="I82" s="209" t="s">
        <v>85</v>
      </c>
      <c r="J82" s="286" t="s">
        <v>85</v>
      </c>
      <c r="K82" s="213"/>
    </row>
    <row r="83" spans="1:11" s="193" customFormat="1" ht="20.100000000000001" customHeight="1">
      <c r="A83" s="196" t="s">
        <v>61</v>
      </c>
      <c r="B83" s="337" t="s">
        <v>419</v>
      </c>
      <c r="C83" s="338"/>
      <c r="D83" s="338"/>
      <c r="E83" s="338"/>
      <c r="F83" s="338"/>
      <c r="G83" s="338"/>
      <c r="H83" s="339"/>
      <c r="I83" s="211">
        <f>ROUND(15.21*8.71,2)</f>
        <v>132.47999999999999</v>
      </c>
      <c r="J83" s="217">
        <f>ROUND(15.21*8.71,2)</f>
        <v>132.47999999999999</v>
      </c>
      <c r="K83" s="213"/>
    </row>
    <row r="84" spans="1:11" s="193" customFormat="1" ht="20.100000000000001" customHeight="1">
      <c r="A84" s="335" t="s">
        <v>145</v>
      </c>
      <c r="B84" s="335"/>
      <c r="C84" s="335"/>
      <c r="D84" s="335"/>
      <c r="E84" s="335"/>
      <c r="F84" s="335"/>
      <c r="G84" s="335"/>
      <c r="H84" s="335"/>
      <c r="I84" s="335"/>
      <c r="J84" s="335"/>
    </row>
    <row r="85" spans="1:11" s="193" customFormat="1" ht="20.100000000000001" customHeight="1">
      <c r="A85" s="284">
        <v>4</v>
      </c>
      <c r="B85" s="329" t="s">
        <v>146</v>
      </c>
      <c r="C85" s="329"/>
      <c r="D85" s="329"/>
      <c r="E85" s="329"/>
      <c r="F85" s="329"/>
      <c r="G85" s="329"/>
      <c r="H85" s="284" t="s">
        <v>84</v>
      </c>
      <c r="I85" s="209" t="s">
        <v>85</v>
      </c>
      <c r="J85" s="286" t="s">
        <v>85</v>
      </c>
    </row>
    <row r="86" spans="1:11" s="193" customFormat="1" ht="20.100000000000001" customHeight="1">
      <c r="A86" s="287" t="s">
        <v>135</v>
      </c>
      <c r="B86" s="343" t="s">
        <v>147</v>
      </c>
      <c r="C86" s="344"/>
      <c r="D86" s="344"/>
      <c r="E86" s="344"/>
      <c r="F86" s="344"/>
      <c r="G86" s="344"/>
      <c r="H86" s="345"/>
      <c r="I86" s="211">
        <f>I81</f>
        <v>211.89</v>
      </c>
      <c r="J86" s="211">
        <f>J81</f>
        <v>241.14</v>
      </c>
    </row>
    <row r="87" spans="1:11" s="193" customFormat="1" ht="20.100000000000001" customHeight="1">
      <c r="A87" s="287" t="s">
        <v>143</v>
      </c>
      <c r="B87" s="343" t="s">
        <v>148</v>
      </c>
      <c r="C87" s="344"/>
      <c r="D87" s="344"/>
      <c r="E87" s="344"/>
      <c r="F87" s="344"/>
      <c r="G87" s="344"/>
      <c r="H87" s="345"/>
      <c r="I87" s="211">
        <f>I83</f>
        <v>132.47999999999999</v>
      </c>
      <c r="J87" s="211">
        <f>J83</f>
        <v>132.47999999999999</v>
      </c>
    </row>
    <row r="88" spans="1:11" s="193" customFormat="1" ht="20.100000000000001" customHeight="1">
      <c r="A88" s="340" t="s">
        <v>97</v>
      </c>
      <c r="B88" s="341"/>
      <c r="C88" s="341"/>
      <c r="D88" s="341"/>
      <c r="E88" s="341"/>
      <c r="F88" s="341"/>
      <c r="G88" s="341"/>
      <c r="H88" s="342"/>
      <c r="I88" s="211">
        <f>I86+I87</f>
        <v>344.37</v>
      </c>
      <c r="J88" s="212">
        <f>J86+J87</f>
        <v>373.62</v>
      </c>
    </row>
    <row r="89" spans="1:11" s="193" customFormat="1" ht="20.100000000000001" customHeight="1">
      <c r="A89" s="336" t="s">
        <v>149</v>
      </c>
      <c r="B89" s="336"/>
      <c r="C89" s="336"/>
      <c r="D89" s="336"/>
      <c r="E89" s="336"/>
      <c r="F89" s="336"/>
      <c r="G89" s="336"/>
      <c r="H89" s="336"/>
      <c r="I89" s="336"/>
      <c r="J89" s="336"/>
    </row>
    <row r="90" spans="1:11" s="193" customFormat="1" ht="20.100000000000001" customHeight="1">
      <c r="A90" s="284">
        <v>5</v>
      </c>
      <c r="B90" s="329" t="s">
        <v>150</v>
      </c>
      <c r="C90" s="329"/>
      <c r="D90" s="329"/>
      <c r="E90" s="329"/>
      <c r="F90" s="329"/>
      <c r="G90" s="329"/>
      <c r="H90" s="329"/>
      <c r="I90" s="209" t="s">
        <v>85</v>
      </c>
      <c r="J90" s="286" t="s">
        <v>85</v>
      </c>
    </row>
    <row r="91" spans="1:11" s="193" customFormat="1" ht="15" customHeight="1">
      <c r="A91" s="196" t="s">
        <v>61</v>
      </c>
      <c r="B91" s="337" t="s">
        <v>151</v>
      </c>
      <c r="C91" s="338"/>
      <c r="D91" s="338"/>
      <c r="E91" s="338"/>
      <c r="F91" s="338"/>
      <c r="G91" s="338"/>
      <c r="H91" s="339"/>
      <c r="I91" s="211">
        <f>Uniforme!G12</f>
        <v>48.263666666666673</v>
      </c>
      <c r="J91" s="211">
        <f>Uniforme!G12</f>
        <v>48.263666666666673</v>
      </c>
    </row>
    <row r="92" spans="1:11" s="193" customFormat="1" ht="16.5" customHeight="1">
      <c r="A92" s="196" t="s">
        <v>63</v>
      </c>
      <c r="B92" s="337" t="s">
        <v>152</v>
      </c>
      <c r="C92" s="338"/>
      <c r="D92" s="338"/>
      <c r="E92" s="338"/>
      <c r="F92" s="338"/>
      <c r="G92" s="338"/>
      <c r="H92" s="339"/>
      <c r="I92" s="211">
        <f>'EPIs e materiais'!G15</f>
        <v>59.190958333333327</v>
      </c>
      <c r="J92" s="212">
        <f>'EPIs e materiais'!G15</f>
        <v>59.190958333333327</v>
      </c>
    </row>
    <row r="93" spans="1:11" s="193" customFormat="1" ht="20.100000000000001" customHeight="1">
      <c r="A93" s="196" t="s">
        <v>66</v>
      </c>
      <c r="B93" s="323" t="s">
        <v>86</v>
      </c>
      <c r="C93" s="323"/>
      <c r="D93" s="323"/>
      <c r="E93" s="323"/>
      <c r="F93" s="323"/>
      <c r="G93" s="323"/>
      <c r="H93" s="323"/>
      <c r="I93" s="211"/>
      <c r="J93" s="212"/>
    </row>
    <row r="94" spans="1:11" s="193" customFormat="1" ht="20.100000000000001" customHeight="1">
      <c r="A94" s="333" t="s">
        <v>153</v>
      </c>
      <c r="B94" s="333"/>
      <c r="C94" s="333"/>
      <c r="D94" s="333"/>
      <c r="E94" s="333"/>
      <c r="F94" s="333"/>
      <c r="G94" s="333"/>
      <c r="H94" s="333"/>
      <c r="I94" s="211">
        <f>TRUNC(SUM(I91:I93),2)</f>
        <v>107.45</v>
      </c>
      <c r="J94" s="212">
        <f>TRUNC(SUM(J91:J93),2)</f>
        <v>107.45</v>
      </c>
    </row>
    <row r="95" spans="1:11" s="193" customFormat="1" ht="20.100000000000001" customHeight="1">
      <c r="A95" s="334" t="s">
        <v>154</v>
      </c>
      <c r="B95" s="334"/>
      <c r="C95" s="334"/>
      <c r="D95" s="334"/>
      <c r="E95" s="334"/>
      <c r="F95" s="334"/>
      <c r="G95" s="334"/>
      <c r="H95" s="334"/>
      <c r="I95" s="334"/>
      <c r="J95" s="238"/>
    </row>
    <row r="96" spans="1:11" s="193" customFormat="1" ht="20.100000000000001" customHeight="1">
      <c r="A96" s="335" t="s">
        <v>155</v>
      </c>
      <c r="B96" s="335"/>
      <c r="C96" s="335"/>
      <c r="D96" s="335"/>
      <c r="E96" s="335"/>
      <c r="F96" s="335"/>
      <c r="G96" s="335"/>
      <c r="H96" s="335"/>
      <c r="I96" s="335"/>
      <c r="J96" s="335"/>
    </row>
    <row r="97" spans="1:10" s="193" customFormat="1" ht="20.100000000000001" customHeight="1">
      <c r="A97" s="284">
        <v>6</v>
      </c>
      <c r="B97" s="329" t="s">
        <v>156</v>
      </c>
      <c r="C97" s="329"/>
      <c r="D97" s="329"/>
      <c r="E97" s="329"/>
      <c r="F97" s="329"/>
      <c r="G97" s="329"/>
      <c r="H97" s="284" t="s">
        <v>84</v>
      </c>
      <c r="I97" s="239" t="s">
        <v>85</v>
      </c>
      <c r="J97" s="240" t="s">
        <v>85</v>
      </c>
    </row>
    <row r="98" spans="1:10" s="193" customFormat="1" ht="20.100000000000001" customHeight="1">
      <c r="A98" s="196" t="s">
        <v>61</v>
      </c>
      <c r="B98" s="330" t="s">
        <v>157</v>
      </c>
      <c r="C98" s="330"/>
      <c r="D98" s="330"/>
      <c r="E98" s="330"/>
      <c r="F98" s="330"/>
      <c r="G98" s="330"/>
      <c r="H98" s="288">
        <v>0</v>
      </c>
      <c r="I98" s="211">
        <f>ROUND(H98*I115,2)</f>
        <v>0</v>
      </c>
      <c r="J98" s="212">
        <f>ROUND(H98*J115,2)</f>
        <v>0</v>
      </c>
    </row>
    <row r="99" spans="1:10" s="193" customFormat="1" ht="20.100000000000001" customHeight="1">
      <c r="A99" s="196" t="s">
        <v>63</v>
      </c>
      <c r="B99" s="330" t="s">
        <v>158</v>
      </c>
      <c r="C99" s="330"/>
      <c r="D99" s="330"/>
      <c r="E99" s="330"/>
      <c r="F99" s="330"/>
      <c r="G99" s="330"/>
      <c r="H99" s="288">
        <v>0</v>
      </c>
      <c r="I99" s="211">
        <f>ROUND((I115+I98)*H99,2)</f>
        <v>0</v>
      </c>
      <c r="J99" s="212">
        <f>ROUND((J115+J98)*H99,2)</f>
        <v>0</v>
      </c>
    </row>
    <row r="100" spans="1:10" s="193" customFormat="1" ht="20.100000000000001" customHeight="1">
      <c r="A100" s="331" t="s">
        <v>66</v>
      </c>
      <c r="B100" s="330" t="s">
        <v>159</v>
      </c>
      <c r="C100" s="330"/>
      <c r="D100" s="330"/>
      <c r="E100" s="330"/>
      <c r="F100" s="330"/>
      <c r="G100" s="330"/>
      <c r="H100" s="241">
        <f>SUM(H102:H105)</f>
        <v>8.6499999999999994E-2</v>
      </c>
      <c r="I100" s="211">
        <f>TRUNC(SUM(I102:I105),2)</f>
        <v>335.08</v>
      </c>
      <c r="J100" s="212">
        <f>TRUNC(SUM(J102:J105),2)</f>
        <v>372.4</v>
      </c>
    </row>
    <row r="101" spans="1:10" s="193" customFormat="1" ht="20.100000000000001" customHeight="1">
      <c r="A101" s="331"/>
      <c r="B101" s="330" t="s">
        <v>160</v>
      </c>
      <c r="C101" s="330"/>
      <c r="D101" s="330"/>
      <c r="E101" s="330"/>
      <c r="F101" s="330"/>
      <c r="G101" s="330"/>
      <c r="H101" s="242"/>
      <c r="I101" s="211"/>
      <c r="J101" s="212"/>
    </row>
    <row r="102" spans="1:10" s="193" customFormat="1" ht="20.100000000000001" customHeight="1">
      <c r="A102" s="331"/>
      <c r="B102" s="332" t="s">
        <v>161</v>
      </c>
      <c r="C102" s="332"/>
      <c r="D102" s="332"/>
      <c r="E102" s="332"/>
      <c r="F102" s="332"/>
      <c r="G102" s="332"/>
      <c r="H102" s="289">
        <v>0.03</v>
      </c>
      <c r="I102" s="211">
        <f>ROUND(I117*H102,2)</f>
        <v>116.21</v>
      </c>
      <c r="J102" s="212">
        <f>ROUND(J117*H102,2)</f>
        <v>129.16</v>
      </c>
    </row>
    <row r="103" spans="1:10" s="193" customFormat="1" ht="20.100000000000001" customHeight="1">
      <c r="A103" s="331"/>
      <c r="B103" s="332" t="s">
        <v>162</v>
      </c>
      <c r="C103" s="332"/>
      <c r="D103" s="332"/>
      <c r="E103" s="332"/>
      <c r="F103" s="332"/>
      <c r="G103" s="332"/>
      <c r="H103" s="289">
        <v>6.4999999999999997E-3</v>
      </c>
      <c r="I103" s="211">
        <f>ROUND(I117*H103,2)</f>
        <v>25.18</v>
      </c>
      <c r="J103" s="212">
        <f>ROUND(J117*H103,2)</f>
        <v>27.98</v>
      </c>
    </row>
    <row r="104" spans="1:10" s="193" customFormat="1" ht="20.100000000000001" customHeight="1">
      <c r="A104" s="331"/>
      <c r="B104" s="330" t="s">
        <v>163</v>
      </c>
      <c r="C104" s="330"/>
      <c r="D104" s="330"/>
      <c r="E104" s="330"/>
      <c r="F104" s="330"/>
      <c r="G104" s="330"/>
      <c r="H104" s="289">
        <v>0.05</v>
      </c>
      <c r="I104" s="211">
        <f>ROUND(I117*H104,2)</f>
        <v>193.69</v>
      </c>
      <c r="J104" s="212">
        <f>ROUND(J117*H104,2)</f>
        <v>215.26</v>
      </c>
    </row>
    <row r="105" spans="1:10" s="193" customFormat="1" ht="20.100000000000001" customHeight="1">
      <c r="A105" s="331"/>
      <c r="B105" s="330" t="s">
        <v>164</v>
      </c>
      <c r="C105" s="330"/>
      <c r="D105" s="330"/>
      <c r="E105" s="330"/>
      <c r="F105" s="330"/>
      <c r="G105" s="330"/>
      <c r="H105" s="289">
        <v>0</v>
      </c>
      <c r="I105" s="211">
        <f>ROUND(I117*H105,2)</f>
        <v>0</v>
      </c>
      <c r="J105" s="212">
        <f>ROUND(J117*H105,2)</f>
        <v>0</v>
      </c>
    </row>
    <row r="106" spans="1:10" s="193" customFormat="1" ht="20.100000000000001" customHeight="1">
      <c r="A106" s="326" t="s">
        <v>165</v>
      </c>
      <c r="B106" s="326"/>
      <c r="C106" s="326"/>
      <c r="D106" s="326"/>
      <c r="E106" s="326"/>
      <c r="F106" s="326"/>
      <c r="G106" s="326"/>
      <c r="H106" s="326"/>
      <c r="I106" s="211">
        <f>TRUNC(SUM(I98:I100),2)</f>
        <v>335.08</v>
      </c>
      <c r="J106" s="212">
        <f>TRUNC(SUM(J98:J100),2)</f>
        <v>372.4</v>
      </c>
    </row>
    <row r="107" spans="1:10" s="193" customFormat="1" ht="20.100000000000001" customHeight="1">
      <c r="A107" s="327"/>
      <c r="B107" s="327"/>
      <c r="C107" s="327"/>
      <c r="D107" s="327"/>
      <c r="E107" s="327"/>
      <c r="F107" s="327"/>
      <c r="G107" s="327"/>
      <c r="H107" s="327"/>
      <c r="I107" s="327"/>
      <c r="J107" s="243"/>
    </row>
    <row r="108" spans="1:10" s="193" customFormat="1" ht="20.100000000000001" customHeight="1">
      <c r="A108" s="328" t="s">
        <v>166</v>
      </c>
      <c r="B108" s="328"/>
      <c r="C108" s="328"/>
      <c r="D108" s="328"/>
      <c r="E108" s="328"/>
      <c r="F108" s="328"/>
      <c r="G108" s="328"/>
      <c r="H108" s="328"/>
      <c r="I108" s="328"/>
      <c r="J108" s="328"/>
    </row>
    <row r="109" spans="1:10" s="193" customFormat="1" ht="20.100000000000001" customHeight="1">
      <c r="A109" s="329" t="s">
        <v>167</v>
      </c>
      <c r="B109" s="329"/>
      <c r="C109" s="329"/>
      <c r="D109" s="329"/>
      <c r="E109" s="329"/>
      <c r="F109" s="329"/>
      <c r="G109" s="329"/>
      <c r="H109" s="329"/>
      <c r="I109" s="209" t="s">
        <v>85</v>
      </c>
      <c r="J109" s="286" t="s">
        <v>85</v>
      </c>
    </row>
    <row r="110" spans="1:10" s="193" customFormat="1" ht="20.100000000000001" customHeight="1">
      <c r="A110" s="244" t="s">
        <v>61</v>
      </c>
      <c r="B110" s="323" t="s">
        <v>168</v>
      </c>
      <c r="C110" s="323"/>
      <c r="D110" s="323"/>
      <c r="E110" s="323"/>
      <c r="F110" s="323"/>
      <c r="G110" s="323"/>
      <c r="H110" s="323"/>
      <c r="I110" s="211">
        <f>I26</f>
        <v>1661.93</v>
      </c>
      <c r="J110" s="212">
        <f>J26</f>
        <v>1891.29</v>
      </c>
    </row>
    <row r="111" spans="1:10" s="193" customFormat="1" ht="20.100000000000001" customHeight="1">
      <c r="A111" s="244" t="s">
        <v>63</v>
      </c>
      <c r="B111" s="323" t="s">
        <v>169</v>
      </c>
      <c r="C111" s="323"/>
      <c r="D111" s="323"/>
      <c r="E111" s="323"/>
      <c r="F111" s="323"/>
      <c r="G111" s="323"/>
      <c r="H111" s="323"/>
      <c r="I111" s="211">
        <f>I61</f>
        <v>1306.6500000000001</v>
      </c>
      <c r="J111" s="212">
        <f>J61</f>
        <v>1425.94</v>
      </c>
    </row>
    <row r="112" spans="1:10" s="193" customFormat="1" ht="20.100000000000001" customHeight="1">
      <c r="A112" s="244" t="s">
        <v>66</v>
      </c>
      <c r="B112" s="323" t="s">
        <v>126</v>
      </c>
      <c r="C112" s="323"/>
      <c r="D112" s="323"/>
      <c r="E112" s="323"/>
      <c r="F112" s="323"/>
      <c r="G112" s="323"/>
      <c r="H112" s="323"/>
      <c r="I112" s="211">
        <f>I70</f>
        <v>118.23000000000002</v>
      </c>
      <c r="J112" s="212">
        <f>J70</f>
        <v>134.54</v>
      </c>
    </row>
    <row r="113" spans="1:10" s="193" customFormat="1" ht="20.100000000000001" customHeight="1">
      <c r="A113" s="244" t="s">
        <v>69</v>
      </c>
      <c r="B113" s="323" t="s">
        <v>170</v>
      </c>
      <c r="C113" s="323"/>
      <c r="D113" s="323"/>
      <c r="E113" s="323"/>
      <c r="F113" s="323"/>
      <c r="G113" s="323"/>
      <c r="H113" s="323"/>
      <c r="I113" s="211">
        <f>I88</f>
        <v>344.37</v>
      </c>
      <c r="J113" s="212">
        <f>J88</f>
        <v>373.62</v>
      </c>
    </row>
    <row r="114" spans="1:10" s="193" customFormat="1" ht="20.100000000000001" customHeight="1">
      <c r="A114" s="244" t="s">
        <v>105</v>
      </c>
      <c r="B114" s="323" t="s">
        <v>171</v>
      </c>
      <c r="C114" s="323"/>
      <c r="D114" s="323"/>
      <c r="E114" s="323"/>
      <c r="F114" s="323"/>
      <c r="G114" s="323"/>
      <c r="H114" s="323"/>
      <c r="I114" s="211">
        <f>I94</f>
        <v>107.45</v>
      </c>
      <c r="J114" s="212">
        <f>J94</f>
        <v>107.45</v>
      </c>
    </row>
    <row r="115" spans="1:10" s="193" customFormat="1" ht="20.100000000000001" customHeight="1">
      <c r="A115" s="324" t="s">
        <v>172</v>
      </c>
      <c r="B115" s="324"/>
      <c r="C115" s="324"/>
      <c r="D115" s="324"/>
      <c r="E115" s="324"/>
      <c r="F115" s="324"/>
      <c r="G115" s="324"/>
      <c r="H115" s="324"/>
      <c r="I115" s="211">
        <f>TRUNC(SUM(I110:I114),2)</f>
        <v>3538.63</v>
      </c>
      <c r="J115" s="212">
        <f>TRUNC(SUM(J110:J114),2)</f>
        <v>3932.84</v>
      </c>
    </row>
    <row r="116" spans="1:10" s="193" customFormat="1" ht="20.100000000000001" customHeight="1">
      <c r="A116" s="245" t="s">
        <v>109</v>
      </c>
      <c r="B116" s="325" t="s">
        <v>173</v>
      </c>
      <c r="C116" s="325"/>
      <c r="D116" s="325"/>
      <c r="E116" s="325"/>
      <c r="F116" s="325"/>
      <c r="G116" s="325"/>
      <c r="H116" s="325"/>
      <c r="I116" s="211">
        <f>I106</f>
        <v>335.08</v>
      </c>
      <c r="J116" s="212">
        <f>J106</f>
        <v>372.4</v>
      </c>
    </row>
    <row r="117" spans="1:10" s="193" customFormat="1" ht="20.100000000000001" customHeight="1">
      <c r="A117" s="319" t="s">
        <v>174</v>
      </c>
      <c r="B117" s="319"/>
      <c r="C117" s="319"/>
      <c r="D117" s="319"/>
      <c r="E117" s="319"/>
      <c r="F117" s="319"/>
      <c r="G117" s="319"/>
      <c r="H117" s="319"/>
      <c r="I117" s="227">
        <f>TRUNC((I115+I98+I99)/(1-H100),2)</f>
        <v>3873.7</v>
      </c>
      <c r="J117" s="212">
        <f>TRUNC((J115+J98+J99)/(1-H100),2)</f>
        <v>4305.24</v>
      </c>
    </row>
    <row r="118" spans="1:10" s="193" customFormat="1" ht="20.100000000000001" customHeight="1">
      <c r="A118" s="319" t="s">
        <v>175</v>
      </c>
      <c r="B118" s="319"/>
      <c r="C118" s="319"/>
      <c r="D118" s="319"/>
      <c r="E118" s="319"/>
      <c r="F118" s="319"/>
      <c r="G118" s="319"/>
      <c r="H118" s="319"/>
      <c r="I118" s="290">
        <f>2*I117</f>
        <v>7747.4</v>
      </c>
      <c r="J118" s="291">
        <f>2*J117</f>
        <v>8610.48</v>
      </c>
    </row>
    <row r="119" spans="1:10" s="193" customFormat="1" ht="20.100000000000001" customHeight="1">
      <c r="H119" s="246"/>
      <c r="I119" s="220"/>
      <c r="J119" s="247"/>
    </row>
  </sheetData>
  <mergeCells count="157">
    <mergeCell ref="B5:H5"/>
    <mergeCell ref="I5:J5"/>
    <mergeCell ref="B6:H6"/>
    <mergeCell ref="I6:J6"/>
    <mergeCell ref="B7:H7"/>
    <mergeCell ref="I7:J7"/>
    <mergeCell ref="A1:H1"/>
    <mergeCell ref="I1:J1"/>
    <mergeCell ref="A2:H2"/>
    <mergeCell ref="A3:J3"/>
    <mergeCell ref="B4:H4"/>
    <mergeCell ref="I4:J4"/>
    <mergeCell ref="A11:J11"/>
    <mergeCell ref="B12:H12"/>
    <mergeCell ref="I12:J12"/>
    <mergeCell ref="B14:H14"/>
    <mergeCell ref="I14:J14"/>
    <mergeCell ref="B15:H15"/>
    <mergeCell ref="I15:J15"/>
    <mergeCell ref="A8:J8"/>
    <mergeCell ref="A9:F9"/>
    <mergeCell ref="G9:H9"/>
    <mergeCell ref="I9:J9"/>
    <mergeCell ref="A10:F10"/>
    <mergeCell ref="G10:H10"/>
    <mergeCell ref="B13:H13"/>
    <mergeCell ref="I13:J13"/>
    <mergeCell ref="B21:H21"/>
    <mergeCell ref="B22:H22"/>
    <mergeCell ref="B23:H23"/>
    <mergeCell ref="A24:H24"/>
    <mergeCell ref="B25:G25"/>
    <mergeCell ref="A26:H26"/>
    <mergeCell ref="B16:H16"/>
    <mergeCell ref="I16:J16"/>
    <mergeCell ref="B17:H17"/>
    <mergeCell ref="I17:J17"/>
    <mergeCell ref="A19:J19"/>
    <mergeCell ref="B20:G20"/>
    <mergeCell ref="B33:G33"/>
    <mergeCell ref="A34:G34"/>
    <mergeCell ref="A35:J35"/>
    <mergeCell ref="B36:G36"/>
    <mergeCell ref="B37:G37"/>
    <mergeCell ref="B38:G38"/>
    <mergeCell ref="A27:J27"/>
    <mergeCell ref="A28:J28"/>
    <mergeCell ref="B29:G29"/>
    <mergeCell ref="B30:G30"/>
    <mergeCell ref="B31:G31"/>
    <mergeCell ref="A32:G32"/>
    <mergeCell ref="A45:G45"/>
    <mergeCell ref="A46:J46"/>
    <mergeCell ref="B47:H47"/>
    <mergeCell ref="K47:O47"/>
    <mergeCell ref="V47:AC47"/>
    <mergeCell ref="AD47:AK47"/>
    <mergeCell ref="B39:G39"/>
    <mergeCell ref="B40:G40"/>
    <mergeCell ref="B41:G41"/>
    <mergeCell ref="B42:G42"/>
    <mergeCell ref="B43:G43"/>
    <mergeCell ref="B44:G44"/>
    <mergeCell ref="FZ47:GG47"/>
    <mergeCell ref="GH47:GO47"/>
    <mergeCell ref="GP47:GW47"/>
    <mergeCell ref="GX47:HE47"/>
    <mergeCell ref="B48:F48"/>
    <mergeCell ref="ED47:EK47"/>
    <mergeCell ref="EL47:ES47"/>
    <mergeCell ref="ET47:FA47"/>
    <mergeCell ref="FB47:FI47"/>
    <mergeCell ref="FJ47:FQ47"/>
    <mergeCell ref="FR47:FY47"/>
    <mergeCell ref="CH47:CO47"/>
    <mergeCell ref="CP47:CW47"/>
    <mergeCell ref="CX47:DE47"/>
    <mergeCell ref="DF47:DM47"/>
    <mergeCell ref="DN47:DU47"/>
    <mergeCell ref="DV47:EC47"/>
    <mergeCell ref="AL47:AS47"/>
    <mergeCell ref="AT47:BA47"/>
    <mergeCell ref="BB47:BI47"/>
    <mergeCell ref="BJ47:BQ47"/>
    <mergeCell ref="BR47:BY47"/>
    <mergeCell ref="BZ47:CG47"/>
    <mergeCell ref="A55:I55"/>
    <mergeCell ref="A56:J56"/>
    <mergeCell ref="B57:G57"/>
    <mergeCell ref="B58:G58"/>
    <mergeCell ref="B59:G59"/>
    <mergeCell ref="B60:G60"/>
    <mergeCell ref="B49:F49"/>
    <mergeCell ref="B50:H50"/>
    <mergeCell ref="B51:H51"/>
    <mergeCell ref="B52:H52"/>
    <mergeCell ref="B53:H53"/>
    <mergeCell ref="B54:H54"/>
    <mergeCell ref="B67:G67"/>
    <mergeCell ref="B68:G68"/>
    <mergeCell ref="B69:G69"/>
    <mergeCell ref="A70:G70"/>
    <mergeCell ref="A71:J71"/>
    <mergeCell ref="B72:H72"/>
    <mergeCell ref="A61:G61"/>
    <mergeCell ref="A62:J62"/>
    <mergeCell ref="B63:H63"/>
    <mergeCell ref="B64:G64"/>
    <mergeCell ref="B65:G65"/>
    <mergeCell ref="B66:G66"/>
    <mergeCell ref="A79:G79"/>
    <mergeCell ref="B80:G80"/>
    <mergeCell ref="A81:G81"/>
    <mergeCell ref="B82:H82"/>
    <mergeCell ref="B83:H83"/>
    <mergeCell ref="A84:J84"/>
    <mergeCell ref="B73:G73"/>
    <mergeCell ref="B74:G74"/>
    <mergeCell ref="B75:G75"/>
    <mergeCell ref="B76:G76"/>
    <mergeCell ref="B77:G77"/>
    <mergeCell ref="B78:G78"/>
    <mergeCell ref="B91:H91"/>
    <mergeCell ref="B92:H92"/>
    <mergeCell ref="B93:H93"/>
    <mergeCell ref="A94:H94"/>
    <mergeCell ref="A95:I95"/>
    <mergeCell ref="A96:J96"/>
    <mergeCell ref="B85:G85"/>
    <mergeCell ref="B86:H86"/>
    <mergeCell ref="B87:H87"/>
    <mergeCell ref="A88:H88"/>
    <mergeCell ref="A89:J89"/>
    <mergeCell ref="B90:H90"/>
    <mergeCell ref="B97:G97"/>
    <mergeCell ref="B98:G98"/>
    <mergeCell ref="B99:G99"/>
    <mergeCell ref="A100:A105"/>
    <mergeCell ref="B100:G100"/>
    <mergeCell ref="B101:G101"/>
    <mergeCell ref="B102:G102"/>
    <mergeCell ref="B103:G103"/>
    <mergeCell ref="B104:G104"/>
    <mergeCell ref="B105:G105"/>
    <mergeCell ref="A118:H118"/>
    <mergeCell ref="B112:H112"/>
    <mergeCell ref="B113:H113"/>
    <mergeCell ref="B114:H114"/>
    <mergeCell ref="A115:H115"/>
    <mergeCell ref="B116:H116"/>
    <mergeCell ref="A117:H117"/>
    <mergeCell ref="A106:H106"/>
    <mergeCell ref="A107:I107"/>
    <mergeCell ref="A108:J108"/>
    <mergeCell ref="A109:H109"/>
    <mergeCell ref="B110:H110"/>
    <mergeCell ref="B111:H111"/>
  </mergeCells>
  <pageMargins left="0.23622047244094491" right="0.23622047244094491" top="0.74881889763779519" bottom="0.74881889763779519" header="0.31535433070866142" footer="0.31535433070866142"/>
  <pageSetup paperSize="9" scale="10" fitToWidth="0" fitToHeight="0" orientation="landscape" r:id="rId1"/>
  <ignoredErrors>
    <ignoredError sqref="I21:J26 I30:J34 I37:J45 I48:J54 I58:J61 I64:J70 I73:J82 I86:J88 I91:J94 I98:J106 I110:J118 H45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7"/>
  <sheetViews>
    <sheetView showGridLines="0" workbookViewId="0">
      <selection activeCell="K9" sqref="K9"/>
    </sheetView>
  </sheetViews>
  <sheetFormatPr defaultRowHeight="15"/>
  <cols>
    <col min="1" max="1" width="6.7109375" customWidth="1"/>
    <col min="2" max="2" width="49" customWidth="1"/>
    <col min="3" max="3" width="8.7109375" customWidth="1"/>
    <col min="4" max="4" width="11.42578125" bestFit="1" customWidth="1"/>
    <col min="5" max="5" width="13.28515625" style="178" customWidth="1"/>
    <col min="6" max="6" width="11.7109375" customWidth="1"/>
    <col min="7" max="7" width="15.7109375" customWidth="1"/>
  </cols>
  <sheetData>
    <row r="1" spans="1:11" ht="27" customHeight="1">
      <c r="A1" s="399" t="s">
        <v>389</v>
      </c>
      <c r="B1" s="399"/>
      <c r="C1" s="399"/>
      <c r="D1" s="399"/>
      <c r="E1" s="399"/>
      <c r="F1" s="399"/>
      <c r="G1" s="399"/>
      <c r="H1" s="181"/>
      <c r="I1" s="181"/>
    </row>
    <row r="2" spans="1:11" ht="48.75" customHeight="1">
      <c r="A2" s="278" t="s">
        <v>46</v>
      </c>
      <c r="B2" s="278" t="s">
        <v>176</v>
      </c>
      <c r="C2" s="278" t="s">
        <v>177</v>
      </c>
      <c r="D2" s="278" t="s">
        <v>178</v>
      </c>
      <c r="E2" s="278" t="s">
        <v>179</v>
      </c>
      <c r="F2" s="278" t="s">
        <v>405</v>
      </c>
      <c r="G2" s="278" t="s">
        <v>180</v>
      </c>
      <c r="H2" s="181"/>
      <c r="I2" s="181"/>
    </row>
    <row r="3" spans="1:11" ht="35.25" customHeight="1">
      <c r="A3" s="279">
        <v>1</v>
      </c>
      <c r="B3" s="190" t="s">
        <v>181</v>
      </c>
      <c r="C3" s="281" t="s">
        <v>182</v>
      </c>
      <c r="D3" s="184">
        <v>3</v>
      </c>
      <c r="E3" s="184">
        <v>11</v>
      </c>
      <c r="F3" s="463">
        <v>95.22</v>
      </c>
      <c r="G3" s="188">
        <f>E3*F3</f>
        <v>1047.42</v>
      </c>
      <c r="H3" s="181"/>
      <c r="I3" s="181"/>
      <c r="K3" s="283"/>
    </row>
    <row r="4" spans="1:11" ht="35.25" customHeight="1">
      <c r="A4" s="280">
        <v>2</v>
      </c>
      <c r="B4" s="191" t="s">
        <v>183</v>
      </c>
      <c r="C4" s="281" t="s">
        <v>182</v>
      </c>
      <c r="D4" s="187">
        <v>3</v>
      </c>
      <c r="E4" s="187">
        <v>12</v>
      </c>
      <c r="F4" s="464">
        <v>67.83</v>
      </c>
      <c r="G4" s="188">
        <f t="shared" ref="G4:G10" si="0">E4*F4</f>
        <v>813.96</v>
      </c>
      <c r="H4" s="181"/>
      <c r="I4" s="181"/>
    </row>
    <row r="5" spans="1:11" ht="35.25" customHeight="1">
      <c r="A5" s="280">
        <v>3</v>
      </c>
      <c r="B5" s="191" t="s">
        <v>407</v>
      </c>
      <c r="C5" s="281" t="s">
        <v>182</v>
      </c>
      <c r="D5" s="187">
        <v>2</v>
      </c>
      <c r="E5" s="187">
        <v>6</v>
      </c>
      <c r="F5" s="464">
        <v>89.93</v>
      </c>
      <c r="G5" s="188">
        <f t="shared" si="0"/>
        <v>539.58000000000004</v>
      </c>
      <c r="H5" s="181"/>
      <c r="I5" s="181"/>
    </row>
    <row r="6" spans="1:11" ht="35.25" customHeight="1">
      <c r="A6" s="280">
        <v>4</v>
      </c>
      <c r="B6" s="191" t="s">
        <v>184</v>
      </c>
      <c r="C6" s="281" t="s">
        <v>182</v>
      </c>
      <c r="D6" s="187">
        <v>1</v>
      </c>
      <c r="E6" s="187">
        <v>4</v>
      </c>
      <c r="F6" s="464">
        <v>28.65</v>
      </c>
      <c r="G6" s="188">
        <f t="shared" si="0"/>
        <v>114.6</v>
      </c>
      <c r="H6" s="181"/>
      <c r="I6" s="181"/>
    </row>
    <row r="7" spans="1:11" ht="35.25" customHeight="1">
      <c r="A7" s="280">
        <v>5</v>
      </c>
      <c r="B7" s="191" t="s">
        <v>185</v>
      </c>
      <c r="C7" s="281" t="s">
        <v>182</v>
      </c>
      <c r="D7" s="187">
        <v>1</v>
      </c>
      <c r="E7" s="187">
        <v>4</v>
      </c>
      <c r="F7" s="464">
        <v>26.72</v>
      </c>
      <c r="G7" s="188">
        <f t="shared" si="0"/>
        <v>106.88</v>
      </c>
      <c r="H7" s="181"/>
      <c r="I7" s="181"/>
    </row>
    <row r="8" spans="1:11" ht="35.25" customHeight="1">
      <c r="A8" s="280">
        <v>6</v>
      </c>
      <c r="B8" s="191" t="s">
        <v>186</v>
      </c>
      <c r="C8" s="281" t="s">
        <v>182</v>
      </c>
      <c r="D8" s="187">
        <v>1</v>
      </c>
      <c r="E8" s="187">
        <v>2</v>
      </c>
      <c r="F8" s="464">
        <v>58.34</v>
      </c>
      <c r="G8" s="188">
        <f t="shared" si="0"/>
        <v>116.68</v>
      </c>
      <c r="H8" s="181"/>
      <c r="I8" s="181"/>
    </row>
    <row r="9" spans="1:11" ht="35.25" customHeight="1">
      <c r="A9" s="280">
        <v>7</v>
      </c>
      <c r="B9" s="191" t="s">
        <v>187</v>
      </c>
      <c r="C9" s="281" t="s">
        <v>182</v>
      </c>
      <c r="D9" s="187">
        <v>1</v>
      </c>
      <c r="E9" s="187">
        <v>2</v>
      </c>
      <c r="F9" s="464">
        <v>15.65</v>
      </c>
      <c r="G9" s="188">
        <f t="shared" si="0"/>
        <v>31.3</v>
      </c>
      <c r="H9" s="181"/>
      <c r="I9" s="181"/>
    </row>
    <row r="10" spans="1:11" ht="35.25" customHeight="1">
      <c r="A10" s="280">
        <v>8</v>
      </c>
      <c r="B10" s="191" t="s">
        <v>188</v>
      </c>
      <c r="C10" s="281" t="s">
        <v>182</v>
      </c>
      <c r="D10" s="187">
        <v>4</v>
      </c>
      <c r="E10" s="187">
        <v>12</v>
      </c>
      <c r="F10" s="464">
        <v>10.45</v>
      </c>
      <c r="G10" s="188">
        <f t="shared" si="0"/>
        <v>125.39999999999999</v>
      </c>
      <c r="H10" s="181"/>
      <c r="I10" s="181"/>
    </row>
    <row r="11" spans="1:11" ht="35.25" customHeight="1">
      <c r="A11" s="400" t="s">
        <v>189</v>
      </c>
      <c r="B11" s="401"/>
      <c r="C11" s="401"/>
      <c r="D11" s="401"/>
      <c r="E11" s="401"/>
      <c r="F11" s="402"/>
      <c r="G11" s="189">
        <f>SUM(G3:G10)</f>
        <v>2895.82</v>
      </c>
      <c r="H11" s="181"/>
      <c r="I11" s="181"/>
    </row>
    <row r="12" spans="1:11" ht="35.25" customHeight="1">
      <c r="A12" s="403" t="s">
        <v>190</v>
      </c>
      <c r="B12" s="404"/>
      <c r="C12" s="404"/>
      <c r="D12" s="404"/>
      <c r="E12" s="404"/>
      <c r="F12" s="405"/>
      <c r="G12" s="465">
        <f>G11/60</f>
        <v>48.263666666666673</v>
      </c>
      <c r="H12" s="181"/>
      <c r="I12" s="181"/>
    </row>
    <row r="13" spans="1:11" ht="20.25" customHeight="1">
      <c r="A13" s="181"/>
      <c r="B13" s="181"/>
      <c r="C13" s="181"/>
      <c r="D13" s="181"/>
      <c r="E13" s="181"/>
      <c r="F13" s="181"/>
      <c r="G13" s="181"/>
      <c r="H13" s="181"/>
      <c r="I13" s="181"/>
    </row>
    <row r="14" spans="1:11" ht="20.25" customHeight="1">
      <c r="A14" s="181"/>
      <c r="B14" s="181"/>
      <c r="C14" s="181"/>
      <c r="D14" s="181"/>
      <c r="E14" s="181"/>
      <c r="F14" s="181"/>
      <c r="G14" s="181"/>
      <c r="H14" s="181"/>
      <c r="I14" s="181"/>
    </row>
    <row r="15" spans="1:11" ht="20.25" customHeight="1">
      <c r="A15" s="181"/>
      <c r="B15" s="181"/>
      <c r="C15" s="181"/>
      <c r="D15" s="181"/>
      <c r="E15" s="181"/>
      <c r="F15" s="181"/>
      <c r="G15" s="181"/>
      <c r="H15" s="181"/>
      <c r="I15" s="181"/>
    </row>
    <row r="16" spans="1:11" ht="20.25" customHeight="1">
      <c r="A16" s="181"/>
      <c r="B16" s="181"/>
      <c r="C16" s="181"/>
      <c r="D16" s="181"/>
      <c r="E16" s="181"/>
      <c r="F16" s="181"/>
      <c r="G16" s="181"/>
      <c r="H16" s="181"/>
      <c r="I16" s="181"/>
    </row>
    <row r="17" spans="1:9" ht="20.25" customHeight="1">
      <c r="A17" s="181"/>
      <c r="B17" s="181"/>
      <c r="C17" s="181"/>
      <c r="D17" s="181"/>
      <c r="E17" s="181"/>
      <c r="F17" s="181"/>
      <c r="G17" s="181"/>
      <c r="H17" s="181"/>
      <c r="I17" s="181"/>
    </row>
    <row r="18" spans="1:9" ht="20.25" customHeight="1">
      <c r="A18" s="181"/>
      <c r="B18" s="181"/>
      <c r="C18" s="181"/>
      <c r="D18" s="181"/>
      <c r="E18" s="181"/>
      <c r="F18" s="181"/>
      <c r="G18" s="181"/>
      <c r="H18" s="181"/>
      <c r="I18" s="181"/>
    </row>
    <row r="19" spans="1:9" ht="20.25" customHeight="1">
      <c r="A19" s="181"/>
      <c r="B19" s="181"/>
      <c r="C19" s="181"/>
      <c r="D19" s="181"/>
      <c r="E19" s="181"/>
      <c r="F19" s="181"/>
      <c r="G19" s="181"/>
      <c r="H19" s="181"/>
      <c r="I19" s="181"/>
    </row>
    <row r="20" spans="1:9" ht="20.25" customHeight="1">
      <c r="A20" s="181"/>
      <c r="B20" s="181"/>
      <c r="C20" s="181"/>
      <c r="D20" s="181"/>
      <c r="E20" s="181"/>
      <c r="F20" s="181"/>
      <c r="G20" s="181"/>
      <c r="H20" s="181"/>
      <c r="I20" s="181"/>
    </row>
    <row r="21" spans="1:9" ht="20.25" customHeight="1">
      <c r="A21" s="181"/>
      <c r="B21" s="181"/>
      <c r="C21" s="181"/>
      <c r="D21" s="181"/>
      <c r="E21" s="181"/>
      <c r="F21" s="181"/>
      <c r="G21" s="181"/>
      <c r="H21" s="181"/>
      <c r="I21" s="181"/>
    </row>
    <row r="22" spans="1:9" ht="20.25" customHeight="1">
      <c r="A22" s="181"/>
      <c r="B22" s="181"/>
      <c r="C22" s="181"/>
      <c r="D22" s="181"/>
      <c r="E22" s="181"/>
      <c r="F22" s="181"/>
      <c r="G22" s="181"/>
      <c r="H22" s="181"/>
      <c r="I22" s="181"/>
    </row>
    <row r="23" spans="1:9" ht="20.25" customHeight="1">
      <c r="A23" s="181"/>
      <c r="B23" s="181"/>
      <c r="C23" s="181"/>
      <c r="D23" s="181"/>
      <c r="E23" s="181"/>
      <c r="F23" s="181"/>
      <c r="G23" s="181"/>
      <c r="H23" s="181"/>
      <c r="I23" s="181"/>
    </row>
    <row r="24" spans="1:9" ht="20.25" customHeight="1">
      <c r="A24" s="181"/>
      <c r="B24" s="181"/>
      <c r="C24" s="181"/>
      <c r="D24" s="181"/>
      <c r="E24" s="181"/>
      <c r="F24" s="181"/>
      <c r="G24" s="181"/>
      <c r="H24" s="181"/>
      <c r="I24" s="181"/>
    </row>
    <row r="25" spans="1:9" ht="20.25" customHeight="1">
      <c r="A25" s="181"/>
      <c r="B25" s="181"/>
      <c r="C25" s="181"/>
      <c r="D25" s="181"/>
      <c r="E25" s="181"/>
      <c r="F25" s="181"/>
      <c r="G25" s="181"/>
      <c r="H25" s="181"/>
      <c r="I25" s="181"/>
    </row>
    <row r="26" spans="1:9" ht="20.25" customHeight="1">
      <c r="A26" s="181"/>
      <c r="B26" s="181"/>
      <c r="C26" s="181"/>
      <c r="D26" s="181"/>
      <c r="E26" s="181"/>
      <c r="F26" s="181"/>
      <c r="G26" s="181"/>
      <c r="H26" s="181"/>
      <c r="I26" s="181"/>
    </row>
    <row r="27" spans="1:9" ht="20.25" customHeight="1">
      <c r="A27" s="181"/>
      <c r="B27" s="181"/>
      <c r="C27" s="181"/>
      <c r="D27" s="181"/>
      <c r="E27" s="181"/>
      <c r="F27" s="181"/>
      <c r="G27" s="181"/>
      <c r="H27" s="181"/>
      <c r="I27" s="181"/>
    </row>
  </sheetData>
  <mergeCells count="3">
    <mergeCell ref="A1:G1"/>
    <mergeCell ref="A11:F11"/>
    <mergeCell ref="A12:F12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W31"/>
  <sheetViews>
    <sheetView topLeftCell="A27" workbookViewId="0"/>
  </sheetViews>
  <sheetFormatPr defaultRowHeight="15"/>
  <cols>
    <col min="1" max="1" width="12.85546875" style="26" customWidth="1"/>
    <col min="2" max="2" width="19.140625" style="26" customWidth="1"/>
    <col min="3" max="3" width="7.28515625" style="26" customWidth="1"/>
    <col min="4" max="4" width="58.28515625" style="26" customWidth="1"/>
    <col min="5" max="5" width="22" style="26" customWidth="1"/>
    <col min="6" max="6" width="11.7109375" style="26" customWidth="1"/>
    <col min="7" max="7" width="20" style="40" customWidth="1"/>
    <col min="8" max="8" width="25.85546875" style="40" customWidth="1"/>
    <col min="9" max="257" width="11.7109375" style="26" customWidth="1"/>
    <col min="258" max="1024" width="11.42578125" customWidth="1"/>
  </cols>
  <sheetData>
    <row r="1" spans="1:10" ht="25.5" hidden="1" customHeight="1">
      <c r="A1" s="411" t="s">
        <v>191</v>
      </c>
      <c r="B1" s="411"/>
      <c r="C1" s="411"/>
      <c r="D1" s="411"/>
      <c r="E1" s="411"/>
      <c r="F1" s="411"/>
      <c r="G1" s="411"/>
      <c r="H1" s="411"/>
    </row>
    <row r="2" spans="1:10" ht="47.25" hidden="1" customHeight="1">
      <c r="A2" s="27" t="s">
        <v>46</v>
      </c>
      <c r="B2" s="27" t="s">
        <v>192</v>
      </c>
      <c r="C2" s="412" t="s">
        <v>193</v>
      </c>
      <c r="D2" s="412"/>
      <c r="E2" s="263" t="s">
        <v>177</v>
      </c>
      <c r="F2" s="263" t="s">
        <v>194</v>
      </c>
      <c r="G2" s="28" t="s">
        <v>195</v>
      </c>
      <c r="H2" s="28" t="s">
        <v>196</v>
      </c>
    </row>
    <row r="3" spans="1:10" ht="27.75" hidden="1" customHeight="1">
      <c r="A3" s="407">
        <v>1</v>
      </c>
      <c r="B3" s="408" t="s">
        <v>197</v>
      </c>
      <c r="C3" s="29">
        <v>1</v>
      </c>
      <c r="D3" s="30" t="s">
        <v>198</v>
      </c>
      <c r="E3" s="31" t="s">
        <v>199</v>
      </c>
      <c r="F3" s="31">
        <v>4</v>
      </c>
      <c r="G3" s="32">
        <v>0</v>
      </c>
      <c r="H3" s="33">
        <f>G3*F3</f>
        <v>0</v>
      </c>
    </row>
    <row r="4" spans="1:10" ht="16.5" hidden="1" customHeight="1">
      <c r="A4" s="407"/>
      <c r="B4" s="408"/>
      <c r="C4" s="29">
        <v>2</v>
      </c>
      <c r="D4" s="30" t="s">
        <v>200</v>
      </c>
      <c r="E4" s="31" t="s">
        <v>199</v>
      </c>
      <c r="F4" s="31">
        <v>3</v>
      </c>
      <c r="G4" s="32">
        <v>0</v>
      </c>
      <c r="H4" s="33">
        <f>G4*F4</f>
        <v>0</v>
      </c>
    </row>
    <row r="5" spans="1:10" ht="27.75" hidden="1" customHeight="1">
      <c r="A5" s="407"/>
      <c r="B5" s="408"/>
      <c r="C5" s="29">
        <v>3</v>
      </c>
      <c r="D5" s="30" t="s">
        <v>201</v>
      </c>
      <c r="E5" s="31" t="s">
        <v>202</v>
      </c>
      <c r="F5" s="31">
        <v>2</v>
      </c>
      <c r="G5" s="32">
        <v>0</v>
      </c>
      <c r="H5" s="33">
        <f>G5*F5</f>
        <v>0</v>
      </c>
    </row>
    <row r="6" spans="1:10" ht="16.5" hidden="1" customHeight="1">
      <c r="A6" s="407"/>
      <c r="B6" s="408"/>
      <c r="C6" s="34">
        <v>4</v>
      </c>
      <c r="D6" s="35" t="s">
        <v>203</v>
      </c>
      <c r="E6" s="262" t="s">
        <v>202</v>
      </c>
      <c r="F6" s="262">
        <v>1</v>
      </c>
      <c r="G6" s="36">
        <v>0</v>
      </c>
      <c r="H6" s="37">
        <f>G6*F6</f>
        <v>0</v>
      </c>
    </row>
    <row r="7" spans="1:10" ht="16.5" hidden="1" customHeight="1">
      <c r="A7" s="407"/>
      <c r="B7" s="408"/>
      <c r="C7" s="34">
        <v>5</v>
      </c>
      <c r="D7" s="38" t="s">
        <v>204</v>
      </c>
      <c r="E7" s="262" t="s">
        <v>202</v>
      </c>
      <c r="F7" s="262">
        <v>4</v>
      </c>
      <c r="G7" s="36">
        <v>0</v>
      </c>
      <c r="H7" s="37">
        <f>G7*F7</f>
        <v>0</v>
      </c>
    </row>
    <row r="8" spans="1:10" ht="15.75" hidden="1" customHeight="1">
      <c r="A8" s="407"/>
      <c r="B8" s="408"/>
      <c r="C8" s="413" t="s">
        <v>205</v>
      </c>
      <c r="D8" s="413"/>
      <c r="E8" s="413"/>
      <c r="F8" s="413"/>
      <c r="G8" s="413"/>
      <c r="H8" s="39">
        <f>SUM(H3:H7)</f>
        <v>0</v>
      </c>
      <c r="J8" s="40"/>
    </row>
    <row r="9" spans="1:10" ht="15.75" hidden="1" customHeight="1">
      <c r="A9" s="407"/>
      <c r="B9" s="408"/>
      <c r="C9" s="413" t="s">
        <v>206</v>
      </c>
      <c r="D9" s="413"/>
      <c r="E9" s="413"/>
      <c r="F9" s="413"/>
      <c r="G9" s="413"/>
      <c r="H9" s="39">
        <f>H8/12</f>
        <v>0</v>
      </c>
    </row>
    <row r="10" spans="1:10" ht="28.5" hidden="1" customHeight="1">
      <c r="A10" s="407"/>
      <c r="B10" s="408" t="s">
        <v>207</v>
      </c>
      <c r="C10" s="34">
        <v>1</v>
      </c>
      <c r="D10" s="30" t="s">
        <v>208</v>
      </c>
      <c r="E10" s="262" t="s">
        <v>199</v>
      </c>
      <c r="F10" s="262">
        <v>3</v>
      </c>
      <c r="G10" s="36">
        <v>0</v>
      </c>
      <c r="H10" s="37">
        <f t="shared" ref="H10:H17" si="0">F10*G10</f>
        <v>0</v>
      </c>
    </row>
    <row r="11" spans="1:10" ht="27.75" hidden="1" customHeight="1">
      <c r="A11" s="407"/>
      <c r="B11" s="408"/>
      <c r="C11" s="34">
        <v>2</v>
      </c>
      <c r="D11" s="30" t="s">
        <v>209</v>
      </c>
      <c r="E11" s="262" t="s">
        <v>199</v>
      </c>
      <c r="F11" s="262">
        <v>2</v>
      </c>
      <c r="G11" s="36">
        <v>0</v>
      </c>
      <c r="H11" s="37">
        <f t="shared" si="0"/>
        <v>0</v>
      </c>
    </row>
    <row r="12" spans="1:10" ht="16.5" hidden="1" customHeight="1">
      <c r="A12" s="407"/>
      <c r="B12" s="408"/>
      <c r="C12" s="34">
        <v>3</v>
      </c>
      <c r="D12" s="30" t="s">
        <v>210</v>
      </c>
      <c r="E12" s="262" t="s">
        <v>199</v>
      </c>
      <c r="F12" s="262">
        <v>3</v>
      </c>
      <c r="G12" s="36">
        <v>0</v>
      </c>
      <c r="H12" s="37">
        <f t="shared" si="0"/>
        <v>0</v>
      </c>
      <c r="J12" s="40"/>
    </row>
    <row r="13" spans="1:10" ht="30" hidden="1" customHeight="1">
      <c r="A13" s="407"/>
      <c r="B13" s="408"/>
      <c r="C13" s="34">
        <v>4</v>
      </c>
      <c r="D13" s="30" t="s">
        <v>211</v>
      </c>
      <c r="E13" s="262" t="s">
        <v>202</v>
      </c>
      <c r="F13" s="262">
        <v>2</v>
      </c>
      <c r="G13" s="36">
        <v>0</v>
      </c>
      <c r="H13" s="37">
        <f t="shared" si="0"/>
        <v>0</v>
      </c>
      <c r="J13" s="40"/>
    </row>
    <row r="14" spans="1:10" ht="15" hidden="1" customHeight="1">
      <c r="A14" s="407"/>
      <c r="B14" s="408"/>
      <c r="C14" s="34">
        <v>5</v>
      </c>
      <c r="D14" s="30" t="s">
        <v>204</v>
      </c>
      <c r="E14" s="262" t="s">
        <v>202</v>
      </c>
      <c r="F14" s="262">
        <v>4</v>
      </c>
      <c r="G14" s="36">
        <v>0</v>
      </c>
      <c r="H14" s="37">
        <f t="shared" si="0"/>
        <v>0</v>
      </c>
    </row>
    <row r="15" spans="1:10" ht="15" hidden="1" customHeight="1">
      <c r="A15" s="407"/>
      <c r="B15" s="408"/>
      <c r="C15" s="34">
        <v>6</v>
      </c>
      <c r="D15" s="30" t="s">
        <v>212</v>
      </c>
      <c r="E15" s="262" t="s">
        <v>199</v>
      </c>
      <c r="F15" s="262">
        <v>1</v>
      </c>
      <c r="G15" s="36">
        <v>0</v>
      </c>
      <c r="H15" s="37">
        <f t="shared" si="0"/>
        <v>0</v>
      </c>
      <c r="J15" s="40"/>
    </row>
    <row r="16" spans="1:10" ht="15.75" hidden="1" customHeight="1">
      <c r="A16" s="407"/>
      <c r="B16" s="408"/>
      <c r="C16" s="34">
        <v>7</v>
      </c>
      <c r="D16" s="30" t="s">
        <v>213</v>
      </c>
      <c r="E16" s="262" t="s">
        <v>199</v>
      </c>
      <c r="F16" s="262">
        <v>1</v>
      </c>
      <c r="G16" s="36">
        <v>0</v>
      </c>
      <c r="H16" s="37">
        <f t="shared" si="0"/>
        <v>0</v>
      </c>
    </row>
    <row r="17" spans="1:8" ht="15.75" hidden="1" customHeight="1">
      <c r="A17" s="407"/>
      <c r="B17" s="408"/>
      <c r="C17" s="34">
        <v>8</v>
      </c>
      <c r="D17" s="30" t="s">
        <v>203</v>
      </c>
      <c r="E17" s="262" t="s">
        <v>202</v>
      </c>
      <c r="F17" s="262">
        <v>1</v>
      </c>
      <c r="G17" s="36">
        <v>0</v>
      </c>
      <c r="H17" s="37">
        <f t="shared" si="0"/>
        <v>0</v>
      </c>
    </row>
    <row r="18" spans="1:8" ht="18" hidden="1" customHeight="1">
      <c r="A18" s="407"/>
      <c r="B18" s="408"/>
      <c r="C18" s="409" t="s">
        <v>205</v>
      </c>
      <c r="D18" s="409"/>
      <c r="E18" s="409"/>
      <c r="F18" s="409"/>
      <c r="G18" s="409"/>
      <c r="H18" s="39">
        <f>SUM(H10:H17)</f>
        <v>0</v>
      </c>
    </row>
    <row r="19" spans="1:8" ht="18" hidden="1" customHeight="1">
      <c r="A19" s="407"/>
      <c r="B19" s="408"/>
      <c r="C19" s="409" t="s">
        <v>214</v>
      </c>
      <c r="D19" s="409"/>
      <c r="E19" s="409"/>
      <c r="F19" s="409"/>
      <c r="G19" s="409"/>
      <c r="H19" s="39">
        <f>H18/12</f>
        <v>0</v>
      </c>
    </row>
    <row r="20" spans="1:8" ht="33" hidden="1" customHeight="1">
      <c r="A20" s="406" t="s">
        <v>215</v>
      </c>
      <c r="B20" s="406"/>
      <c r="C20" s="406"/>
      <c r="D20" s="406"/>
      <c r="E20" s="406"/>
      <c r="F20" s="406"/>
      <c r="G20" s="406"/>
      <c r="H20" s="41">
        <f>(H19+H9)/2</f>
        <v>0</v>
      </c>
    </row>
    <row r="21" spans="1:8" ht="60.75" hidden="1" customHeight="1">
      <c r="A21" s="407">
        <v>2</v>
      </c>
      <c r="B21" s="408" t="s">
        <v>216</v>
      </c>
      <c r="C21" s="42">
        <v>1</v>
      </c>
      <c r="D21" s="30" t="s">
        <v>217</v>
      </c>
      <c r="E21" s="43" t="s">
        <v>199</v>
      </c>
      <c r="F21" s="43">
        <v>4</v>
      </c>
      <c r="G21" s="36">
        <v>0</v>
      </c>
      <c r="H21" s="44">
        <f>G21*F21</f>
        <v>0</v>
      </c>
    </row>
    <row r="22" spans="1:8" ht="44.25" hidden="1" customHeight="1">
      <c r="A22" s="407"/>
      <c r="B22" s="408"/>
      <c r="C22" s="42">
        <v>2</v>
      </c>
      <c r="D22" s="30" t="s">
        <v>218</v>
      </c>
      <c r="E22" s="43" t="s">
        <v>199</v>
      </c>
      <c r="F22" s="43">
        <v>3</v>
      </c>
      <c r="G22" s="36">
        <v>0</v>
      </c>
      <c r="H22" s="44">
        <f>G22*F22</f>
        <v>0</v>
      </c>
    </row>
    <row r="23" spans="1:8" ht="40.5" hidden="1" customHeight="1">
      <c r="A23" s="407"/>
      <c r="B23" s="408"/>
      <c r="C23" s="42">
        <v>3</v>
      </c>
      <c r="D23" s="30" t="s">
        <v>219</v>
      </c>
      <c r="E23" s="43" t="s">
        <v>202</v>
      </c>
      <c r="F23" s="43">
        <v>2</v>
      </c>
      <c r="G23" s="36">
        <v>0</v>
      </c>
      <c r="H23" s="44">
        <f>G23*F23</f>
        <v>0</v>
      </c>
    </row>
    <row r="24" spans="1:8" ht="15" hidden="1" customHeight="1">
      <c r="A24" s="407"/>
      <c r="B24" s="408"/>
      <c r="C24" s="42">
        <v>4</v>
      </c>
      <c r="D24" s="30" t="s">
        <v>204</v>
      </c>
      <c r="E24" s="43" t="s">
        <v>202</v>
      </c>
      <c r="F24" s="43">
        <v>4</v>
      </c>
      <c r="G24" s="36">
        <v>0</v>
      </c>
      <c r="H24" s="44">
        <f>G24*F24</f>
        <v>0</v>
      </c>
    </row>
    <row r="25" spans="1:8" ht="15" hidden="1" customHeight="1">
      <c r="A25" s="407"/>
      <c r="B25" s="408"/>
      <c r="C25" s="409" t="s">
        <v>220</v>
      </c>
      <c r="D25" s="409"/>
      <c r="E25" s="409"/>
      <c r="F25" s="409"/>
      <c r="G25" s="409"/>
      <c r="H25" s="45">
        <f>SUM(H21:H24)</f>
        <v>0</v>
      </c>
    </row>
    <row r="26" spans="1:8" ht="15" hidden="1" customHeight="1">
      <c r="A26" s="410" t="s">
        <v>221</v>
      </c>
      <c r="B26" s="410"/>
      <c r="C26" s="410"/>
      <c r="D26" s="410"/>
      <c r="E26" s="410"/>
      <c r="F26" s="410"/>
      <c r="G26" s="410"/>
      <c r="H26" s="46">
        <f>H25/12</f>
        <v>0</v>
      </c>
    </row>
    <row r="30" spans="1:8" ht="30.75" hidden="1" customHeight="1"/>
    <row r="31" spans="1:8" ht="49.5" hidden="1" customHeight="1"/>
  </sheetData>
  <mergeCells count="14">
    <mergeCell ref="A1:H1"/>
    <mergeCell ref="C2:D2"/>
    <mergeCell ref="A3:A19"/>
    <mergeCell ref="B3:B9"/>
    <mergeCell ref="C8:G8"/>
    <mergeCell ref="C9:G9"/>
    <mergeCell ref="B10:B19"/>
    <mergeCell ref="C18:G18"/>
    <mergeCell ref="C19:G19"/>
    <mergeCell ref="A20:G20"/>
    <mergeCell ref="A21:A25"/>
    <mergeCell ref="B21:B25"/>
    <mergeCell ref="C25:G25"/>
    <mergeCell ref="A26:G26"/>
  </mergeCells>
  <pageMargins left="0.51181102362204722" right="0.51181102362204722" top="0.78740157480314954" bottom="0.78740157480314954" header="0.51181102362204722" footer="0.5118110236220472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W78"/>
  <sheetViews>
    <sheetView workbookViewId="0"/>
  </sheetViews>
  <sheetFormatPr defaultRowHeight="15"/>
  <cols>
    <col min="1" max="1" width="15.28515625" style="50" customWidth="1"/>
    <col min="2" max="2" width="13.7109375" style="100" customWidth="1"/>
    <col min="3" max="3" width="65.42578125" style="50" customWidth="1"/>
    <col min="4" max="4" width="20.7109375" style="100" customWidth="1"/>
    <col min="5" max="9" width="21.7109375" style="101" customWidth="1"/>
    <col min="10" max="10" width="19.140625" style="100" customWidth="1"/>
    <col min="11" max="11" width="12.85546875" style="50" customWidth="1"/>
    <col min="12" max="12" width="11.7109375" style="50" customWidth="1"/>
    <col min="13" max="13" width="14.85546875" style="50" customWidth="1"/>
    <col min="14" max="14" width="16" style="50" customWidth="1"/>
    <col min="15" max="15" width="19.85546875" style="50" customWidth="1"/>
    <col min="16" max="16" width="16.28515625" style="50" customWidth="1"/>
    <col min="17" max="21" width="11.7109375" style="50" customWidth="1"/>
    <col min="22" max="22" width="25.5703125" style="50" customWidth="1"/>
    <col min="23" max="257" width="11.7109375" style="50" customWidth="1"/>
    <col min="258" max="1024" width="11.42578125" customWidth="1"/>
  </cols>
  <sheetData>
    <row r="1" spans="1:16" ht="48" customHeight="1">
      <c r="A1" s="47" t="s">
        <v>199</v>
      </c>
      <c r="B1" s="48" t="s">
        <v>222</v>
      </c>
      <c r="C1" s="48" t="s">
        <v>223</v>
      </c>
      <c r="D1" s="47" t="s">
        <v>224</v>
      </c>
      <c r="E1" s="49" t="s">
        <v>225</v>
      </c>
      <c r="F1" s="47" t="s">
        <v>226</v>
      </c>
      <c r="G1" s="47" t="s">
        <v>227</v>
      </c>
      <c r="H1" s="47" t="s">
        <v>228</v>
      </c>
      <c r="I1" s="47" t="s">
        <v>229</v>
      </c>
      <c r="J1" s="47" t="s">
        <v>230</v>
      </c>
      <c r="M1" s="264" t="s">
        <v>222</v>
      </c>
      <c r="N1" s="264" t="s">
        <v>225</v>
      </c>
      <c r="O1" s="264" t="s">
        <v>231</v>
      </c>
      <c r="P1" s="264" t="s">
        <v>230</v>
      </c>
    </row>
    <row r="2" spans="1:16" ht="15" customHeight="1">
      <c r="A2" s="51" t="s">
        <v>232</v>
      </c>
      <c r="B2" s="51" t="s">
        <v>233</v>
      </c>
      <c r="C2" s="52" t="s">
        <v>234</v>
      </c>
      <c r="D2" s="53">
        <f>202.3+135.88+221.1+81.81+16.5+221.88+74+1124.86+488.98+280.42-127.7</f>
        <v>2720.03</v>
      </c>
      <c r="E2" s="54">
        <v>800</v>
      </c>
      <c r="F2" s="55">
        <f t="shared" ref="F2:F13" si="0">D2/E2</f>
        <v>3.4000375000000003</v>
      </c>
      <c r="G2" s="415">
        <f>SUM(F2:F6)</f>
        <v>4.8111630555555562</v>
      </c>
      <c r="H2" s="415">
        <f>SUM(G2:G15)</f>
        <v>10.008724925925929</v>
      </c>
      <c r="I2" s="415">
        <v>10</v>
      </c>
      <c r="J2" s="56" t="s">
        <v>235</v>
      </c>
      <c r="M2" s="51" t="s">
        <v>233</v>
      </c>
      <c r="N2" s="57">
        <v>360</v>
      </c>
      <c r="O2" s="51">
        <v>212.21</v>
      </c>
      <c r="P2" s="51" t="s">
        <v>235</v>
      </c>
    </row>
    <row r="3" spans="1:16" ht="15" customHeight="1">
      <c r="A3" s="51" t="s">
        <v>232</v>
      </c>
      <c r="B3" s="51" t="s">
        <v>233</v>
      </c>
      <c r="C3" s="52" t="s">
        <v>236</v>
      </c>
      <c r="D3" s="53">
        <v>127.7</v>
      </c>
      <c r="E3" s="54">
        <v>200</v>
      </c>
      <c r="F3" s="55">
        <f t="shared" si="0"/>
        <v>0.63850000000000007</v>
      </c>
      <c r="G3" s="415"/>
      <c r="H3" s="415"/>
      <c r="I3" s="415"/>
      <c r="J3" s="56" t="s">
        <v>235</v>
      </c>
      <c r="M3" s="51" t="s">
        <v>233</v>
      </c>
      <c r="N3" s="57">
        <v>800</v>
      </c>
      <c r="O3" s="51">
        <v>3984.87</v>
      </c>
      <c r="P3" s="51" t="s">
        <v>235</v>
      </c>
    </row>
    <row r="4" spans="1:16" ht="12" customHeight="1">
      <c r="A4" s="51" t="s">
        <v>232</v>
      </c>
      <c r="B4" s="51" t="s">
        <v>233</v>
      </c>
      <c r="C4" s="52" t="s">
        <v>237</v>
      </c>
      <c r="D4" s="53">
        <v>212.21</v>
      </c>
      <c r="E4" s="54">
        <v>360</v>
      </c>
      <c r="F4" s="55">
        <f t="shared" si="0"/>
        <v>0.58947222222222229</v>
      </c>
      <c r="G4" s="415"/>
      <c r="H4" s="415"/>
      <c r="I4" s="415"/>
      <c r="J4" s="56" t="s">
        <v>235</v>
      </c>
      <c r="K4" s="58"/>
      <c r="M4" s="51" t="s">
        <v>233</v>
      </c>
      <c r="N4" s="57">
        <v>1000</v>
      </c>
      <c r="O4" s="51">
        <v>199.92</v>
      </c>
      <c r="P4" s="51" t="s">
        <v>235</v>
      </c>
    </row>
    <row r="5" spans="1:16" ht="12" customHeight="1">
      <c r="A5" s="51" t="s">
        <v>232</v>
      </c>
      <c r="B5" s="51" t="s">
        <v>233</v>
      </c>
      <c r="C5" s="52" t="s">
        <v>238</v>
      </c>
      <c r="D5" s="53">
        <v>50.75</v>
      </c>
      <c r="E5" s="54">
        <v>1500</v>
      </c>
      <c r="F5" s="55">
        <f t="shared" si="0"/>
        <v>3.3833333333333333E-2</v>
      </c>
      <c r="G5" s="415"/>
      <c r="H5" s="415"/>
      <c r="I5" s="415"/>
      <c r="J5" s="56" t="s">
        <v>235</v>
      </c>
      <c r="K5" s="58"/>
      <c r="M5" s="51" t="s">
        <v>233</v>
      </c>
      <c r="N5" s="57">
        <v>1500</v>
      </c>
      <c r="O5" s="51">
        <v>112.75</v>
      </c>
      <c r="P5" s="51" t="s">
        <v>235</v>
      </c>
    </row>
    <row r="6" spans="1:16" ht="13.5" customHeight="1">
      <c r="A6" s="51" t="s">
        <v>232</v>
      </c>
      <c r="B6" s="51" t="s">
        <v>233</v>
      </c>
      <c r="C6" s="52" t="s">
        <v>239</v>
      </c>
      <c r="D6" s="53">
        <v>149.32</v>
      </c>
      <c r="E6" s="54">
        <v>1000</v>
      </c>
      <c r="F6" s="55">
        <f t="shared" si="0"/>
        <v>0.14931999999999998</v>
      </c>
      <c r="G6" s="415"/>
      <c r="H6" s="415"/>
      <c r="I6" s="415"/>
      <c r="J6" s="56" t="s">
        <v>235</v>
      </c>
      <c r="K6" s="58"/>
      <c r="M6" s="51" t="s">
        <v>240</v>
      </c>
      <c r="N6" s="57">
        <v>1800</v>
      </c>
      <c r="O6" s="51">
        <v>3199.82</v>
      </c>
      <c r="P6" s="51" t="s">
        <v>235</v>
      </c>
    </row>
    <row r="7" spans="1:16" ht="12" customHeight="1">
      <c r="A7" s="51" t="s">
        <v>232</v>
      </c>
      <c r="B7" s="51" t="s">
        <v>240</v>
      </c>
      <c r="C7" s="52" t="s">
        <v>241</v>
      </c>
      <c r="D7" s="59">
        <v>574.62</v>
      </c>
      <c r="E7" s="54">
        <v>1800</v>
      </c>
      <c r="F7" s="54">
        <f t="shared" si="0"/>
        <v>0.31923333333333331</v>
      </c>
      <c r="G7" s="415">
        <f>SUM(F7:F13)</f>
        <v>4.9204311703703709</v>
      </c>
      <c r="H7" s="415"/>
      <c r="I7" s="415"/>
      <c r="J7" s="56" t="s">
        <v>235</v>
      </c>
      <c r="K7" s="58"/>
      <c r="M7" s="51" t="s">
        <v>240</v>
      </c>
      <c r="N7" s="60">
        <v>2700</v>
      </c>
      <c r="O7" s="51">
        <v>6205.93</v>
      </c>
      <c r="P7" s="51" t="s">
        <v>235</v>
      </c>
    </row>
    <row r="8" spans="1:16" ht="36" customHeight="1">
      <c r="A8" s="51" t="s">
        <v>232</v>
      </c>
      <c r="B8" s="51" t="s">
        <v>240</v>
      </c>
      <c r="C8" s="52" t="s">
        <v>242</v>
      </c>
      <c r="D8" s="59">
        <v>14581.2</v>
      </c>
      <c r="E8" s="61">
        <v>6000</v>
      </c>
      <c r="F8" s="54">
        <f t="shared" si="0"/>
        <v>2.4302000000000001</v>
      </c>
      <c r="G8" s="415"/>
      <c r="H8" s="415"/>
      <c r="I8" s="415"/>
      <c r="J8" s="56" t="s">
        <v>235</v>
      </c>
      <c r="K8" s="58"/>
      <c r="M8" s="51" t="s">
        <v>240</v>
      </c>
      <c r="N8" s="60">
        <v>6000</v>
      </c>
      <c r="O8" s="51">
        <v>15225.85</v>
      </c>
      <c r="P8" s="51" t="s">
        <v>235</v>
      </c>
    </row>
    <row r="9" spans="1:16" ht="12" customHeight="1">
      <c r="A9" s="51" t="s">
        <v>232</v>
      </c>
      <c r="B9" s="51" t="s">
        <v>240</v>
      </c>
      <c r="C9" s="52" t="s">
        <v>243</v>
      </c>
      <c r="D9" s="59">
        <v>736</v>
      </c>
      <c r="E9" s="54">
        <v>1800</v>
      </c>
      <c r="F9" s="54">
        <f t="shared" si="0"/>
        <v>0.40888888888888891</v>
      </c>
      <c r="G9" s="415"/>
      <c r="H9" s="415"/>
      <c r="I9" s="415"/>
      <c r="J9" s="56" t="s">
        <v>235</v>
      </c>
      <c r="K9" s="58"/>
      <c r="M9" s="51" t="s">
        <v>240</v>
      </c>
      <c r="N9" s="60">
        <v>100000</v>
      </c>
      <c r="O9" s="51">
        <v>456.08</v>
      </c>
      <c r="P9" s="51" t="s">
        <v>235</v>
      </c>
    </row>
    <row r="10" spans="1:16" ht="24" customHeight="1">
      <c r="A10" s="51" t="s">
        <v>232</v>
      </c>
      <c r="B10" s="51" t="s">
        <v>240</v>
      </c>
      <c r="C10" s="52" t="s">
        <v>244</v>
      </c>
      <c r="D10" s="59">
        <v>336</v>
      </c>
      <c r="E10" s="54">
        <v>1800</v>
      </c>
      <c r="F10" s="54">
        <f t="shared" si="0"/>
        <v>0.18666666666666668</v>
      </c>
      <c r="G10" s="415"/>
      <c r="H10" s="415"/>
      <c r="I10" s="415"/>
      <c r="J10" s="56" t="s">
        <v>235</v>
      </c>
      <c r="K10" s="58"/>
      <c r="M10" s="51" t="s">
        <v>245</v>
      </c>
      <c r="N10" s="57">
        <v>300</v>
      </c>
      <c r="O10" s="51">
        <v>1300.18</v>
      </c>
      <c r="P10" s="51" t="s">
        <v>235</v>
      </c>
    </row>
    <row r="11" spans="1:16" ht="12" customHeight="1">
      <c r="A11" s="51" t="s">
        <v>232</v>
      </c>
      <c r="B11" s="51" t="s">
        <v>240</v>
      </c>
      <c r="C11" s="52" t="s">
        <v>246</v>
      </c>
      <c r="D11" s="59">
        <v>2981.38</v>
      </c>
      <c r="E11" s="54">
        <v>2700</v>
      </c>
      <c r="F11" s="54">
        <f t="shared" si="0"/>
        <v>1.1042148148148148</v>
      </c>
      <c r="G11" s="415"/>
      <c r="H11" s="415"/>
      <c r="I11" s="415"/>
      <c r="J11" s="56" t="s">
        <v>235</v>
      </c>
      <c r="K11" s="58"/>
      <c r="L11" s="62"/>
      <c r="M11" s="51" t="s">
        <v>233</v>
      </c>
      <c r="N11" s="57">
        <v>200</v>
      </c>
      <c r="O11" s="51">
        <v>189.71</v>
      </c>
      <c r="P11" s="51" t="s">
        <v>235</v>
      </c>
    </row>
    <row r="12" spans="1:16" ht="18.75" customHeight="1">
      <c r="A12" s="51" t="s">
        <v>232</v>
      </c>
      <c r="B12" s="51" t="s">
        <v>240</v>
      </c>
      <c r="C12" s="63" t="s">
        <v>247</v>
      </c>
      <c r="D12" s="59">
        <v>1260</v>
      </c>
      <c r="E12" s="61">
        <v>2700</v>
      </c>
      <c r="F12" s="54">
        <f t="shared" si="0"/>
        <v>0.46666666666666667</v>
      </c>
      <c r="G12" s="415"/>
      <c r="H12" s="415"/>
      <c r="I12" s="415"/>
      <c r="J12" s="56" t="s">
        <v>235</v>
      </c>
      <c r="K12" s="58"/>
      <c r="M12" s="420" t="s">
        <v>87</v>
      </c>
      <c r="N12" s="420"/>
      <c r="O12" s="64">
        <f>SUM(O2:O11)</f>
        <v>31087.32</v>
      </c>
      <c r="P12" s="54"/>
    </row>
    <row r="13" spans="1:16" ht="25.5" customHeight="1">
      <c r="A13" s="51" t="s">
        <v>232</v>
      </c>
      <c r="B13" s="51" t="s">
        <v>240</v>
      </c>
      <c r="C13" s="65" t="s">
        <v>248</v>
      </c>
      <c r="D13" s="59">
        <v>456.08</v>
      </c>
      <c r="E13" s="61">
        <v>100000</v>
      </c>
      <c r="F13" s="54">
        <f t="shared" si="0"/>
        <v>4.5608000000000003E-3</v>
      </c>
      <c r="G13" s="415"/>
      <c r="H13" s="415"/>
      <c r="I13" s="415"/>
      <c r="J13" s="56" t="s">
        <v>235</v>
      </c>
      <c r="K13" s="66"/>
      <c r="M13" s="67" t="s">
        <v>233</v>
      </c>
      <c r="N13" s="68">
        <v>800</v>
      </c>
      <c r="O13" s="69">
        <f>2355.43-46</f>
        <v>2309.4299999999998</v>
      </c>
      <c r="P13" s="67" t="s">
        <v>249</v>
      </c>
    </row>
    <row r="14" spans="1:16" ht="24.75" customHeight="1">
      <c r="A14" s="51" t="s">
        <v>232</v>
      </c>
      <c r="B14" s="51" t="s">
        <v>250</v>
      </c>
      <c r="C14" s="63" t="s">
        <v>251</v>
      </c>
      <c r="D14" s="70">
        <v>496.65</v>
      </c>
      <c r="E14" s="54">
        <v>300</v>
      </c>
      <c r="F14" s="71">
        <f>D14*0.000279</f>
        <v>0.13856535</v>
      </c>
      <c r="G14" s="415">
        <f>SUM(F14:F15)</f>
        <v>0.27713070000000001</v>
      </c>
      <c r="H14" s="415"/>
      <c r="I14" s="415"/>
      <c r="J14" s="56" t="s">
        <v>235</v>
      </c>
      <c r="K14" s="58"/>
      <c r="M14" s="67" t="s">
        <v>233</v>
      </c>
      <c r="N14" s="68">
        <v>1000</v>
      </c>
      <c r="O14" s="69">
        <v>65.69</v>
      </c>
      <c r="P14" s="67" t="s">
        <v>249</v>
      </c>
    </row>
    <row r="15" spans="1:16" ht="12" customHeight="1">
      <c r="A15" s="51" t="s">
        <v>232</v>
      </c>
      <c r="B15" s="51" t="s">
        <v>252</v>
      </c>
      <c r="C15" s="63" t="s">
        <v>251</v>
      </c>
      <c r="D15" s="70">
        <v>496.65</v>
      </c>
      <c r="E15" s="54">
        <v>300</v>
      </c>
      <c r="F15" s="71">
        <f>D15*0.000279</f>
        <v>0.13856535</v>
      </c>
      <c r="G15" s="415"/>
      <c r="H15" s="415"/>
      <c r="I15" s="415"/>
      <c r="J15" s="56" t="s">
        <v>235</v>
      </c>
      <c r="K15" s="58"/>
      <c r="M15" s="67" t="s">
        <v>233</v>
      </c>
      <c r="N15" s="68">
        <v>1500</v>
      </c>
      <c r="O15" s="69">
        <v>409.98</v>
      </c>
      <c r="P15" s="67" t="s">
        <v>249</v>
      </c>
    </row>
    <row r="16" spans="1:16" ht="12" customHeight="1">
      <c r="A16" s="265" t="s">
        <v>253</v>
      </c>
      <c r="B16" s="265" t="s">
        <v>233</v>
      </c>
      <c r="C16" s="72" t="s">
        <v>234</v>
      </c>
      <c r="D16" s="73">
        <f>390.7-D18</f>
        <v>372.4</v>
      </c>
      <c r="E16" s="264">
        <v>800</v>
      </c>
      <c r="F16" s="264">
        <f t="shared" ref="F16:F21" si="1">D16/E16</f>
        <v>0.46549999999999997</v>
      </c>
      <c r="G16" s="416">
        <f>SUM(F16:F17)</f>
        <v>0.46683333333333332</v>
      </c>
      <c r="H16" s="416">
        <f>SUM(G16:G23)</f>
        <v>0.68952881481481487</v>
      </c>
      <c r="I16" s="416">
        <v>1</v>
      </c>
      <c r="J16" s="265" t="s">
        <v>235</v>
      </c>
      <c r="K16" s="58"/>
      <c r="M16" s="67" t="s">
        <v>240</v>
      </c>
      <c r="N16" s="68">
        <v>1800</v>
      </c>
      <c r="O16" s="69">
        <v>2538</v>
      </c>
      <c r="P16" s="67" t="s">
        <v>249</v>
      </c>
    </row>
    <row r="17" spans="1:16" ht="13.5" customHeight="1">
      <c r="A17" s="265" t="s">
        <v>253</v>
      </c>
      <c r="B17" s="265" t="s">
        <v>233</v>
      </c>
      <c r="C17" s="72" t="s">
        <v>254</v>
      </c>
      <c r="D17" s="70">
        <v>2</v>
      </c>
      <c r="E17" s="264">
        <v>1500</v>
      </c>
      <c r="F17" s="264">
        <f t="shared" si="1"/>
        <v>1.3333333333333333E-3</v>
      </c>
      <c r="G17" s="416"/>
      <c r="H17" s="416"/>
      <c r="I17" s="416"/>
      <c r="J17" s="265" t="s">
        <v>235</v>
      </c>
      <c r="K17" s="58"/>
      <c r="M17" s="67" t="s">
        <v>240</v>
      </c>
      <c r="N17" s="74">
        <v>2700</v>
      </c>
      <c r="O17" s="69">
        <v>3418.44</v>
      </c>
      <c r="P17" s="67" t="s">
        <v>249</v>
      </c>
    </row>
    <row r="18" spans="1:16" ht="13.5" customHeight="1">
      <c r="A18" s="265" t="s">
        <v>253</v>
      </c>
      <c r="B18" s="265" t="s">
        <v>233</v>
      </c>
      <c r="C18" s="72" t="s">
        <v>255</v>
      </c>
      <c r="D18" s="70">
        <f>18.3</f>
        <v>18.3</v>
      </c>
      <c r="E18" s="264">
        <v>200</v>
      </c>
      <c r="F18" s="264">
        <f t="shared" si="1"/>
        <v>9.1499999999999998E-2</v>
      </c>
      <c r="G18" s="75">
        <f>F18</f>
        <v>9.1499999999999998E-2</v>
      </c>
      <c r="H18" s="416"/>
      <c r="I18" s="416"/>
      <c r="J18" s="265" t="s">
        <v>235</v>
      </c>
      <c r="K18" s="58"/>
      <c r="M18" s="67"/>
      <c r="N18" s="74"/>
      <c r="O18" s="69"/>
      <c r="P18" s="67"/>
    </row>
    <row r="19" spans="1:16" ht="12" customHeight="1">
      <c r="A19" s="265" t="s">
        <v>253</v>
      </c>
      <c r="B19" s="265" t="s">
        <v>240</v>
      </c>
      <c r="C19" s="76" t="s">
        <v>241</v>
      </c>
      <c r="D19" s="77">
        <v>180.45</v>
      </c>
      <c r="E19" s="264">
        <v>1800</v>
      </c>
      <c r="F19" s="264">
        <f t="shared" si="1"/>
        <v>0.10024999999999999</v>
      </c>
      <c r="G19" s="416">
        <f>SUM(F19:F21)</f>
        <v>0.12673148148148147</v>
      </c>
      <c r="H19" s="416"/>
      <c r="I19" s="416"/>
      <c r="J19" s="265" t="s">
        <v>235</v>
      </c>
      <c r="K19" s="58"/>
      <c r="M19" s="67" t="s">
        <v>240</v>
      </c>
      <c r="N19" s="74">
        <v>6000</v>
      </c>
      <c r="O19" s="69">
        <v>3822.17</v>
      </c>
      <c r="P19" s="67" t="s">
        <v>249</v>
      </c>
    </row>
    <row r="20" spans="1:16" ht="36" customHeight="1">
      <c r="A20" s="265" t="s">
        <v>253</v>
      </c>
      <c r="B20" s="265" t="s">
        <v>240</v>
      </c>
      <c r="C20" s="72" t="s">
        <v>242</v>
      </c>
      <c r="D20" s="70">
        <v>50</v>
      </c>
      <c r="E20" s="78">
        <v>6000</v>
      </c>
      <c r="F20" s="264">
        <f t="shared" si="1"/>
        <v>8.3333333333333332E-3</v>
      </c>
      <c r="G20" s="416"/>
      <c r="H20" s="416"/>
      <c r="I20" s="416"/>
      <c r="J20" s="265" t="s">
        <v>235</v>
      </c>
      <c r="K20" s="58"/>
      <c r="M20" s="67" t="s">
        <v>240</v>
      </c>
      <c r="N20" s="74">
        <v>100000</v>
      </c>
      <c r="O20" s="69">
        <v>1751</v>
      </c>
      <c r="P20" s="67" t="s">
        <v>249</v>
      </c>
    </row>
    <row r="21" spans="1:16" ht="12" customHeight="1">
      <c r="A21" s="265" t="s">
        <v>253</v>
      </c>
      <c r="B21" s="265" t="s">
        <v>240</v>
      </c>
      <c r="C21" s="72" t="s">
        <v>256</v>
      </c>
      <c r="D21" s="70">
        <v>49</v>
      </c>
      <c r="E21" s="264">
        <v>2700</v>
      </c>
      <c r="F21" s="264">
        <f t="shared" si="1"/>
        <v>1.8148148148148149E-2</v>
      </c>
      <c r="G21" s="416"/>
      <c r="H21" s="416"/>
      <c r="I21" s="416"/>
      <c r="J21" s="265" t="s">
        <v>235</v>
      </c>
      <c r="K21" s="58"/>
      <c r="M21" s="79" t="s">
        <v>245</v>
      </c>
      <c r="N21" s="80">
        <v>300</v>
      </c>
      <c r="O21" s="81">
        <v>553.38</v>
      </c>
      <c r="P21" s="79" t="s">
        <v>249</v>
      </c>
    </row>
    <row r="22" spans="1:16" ht="18" customHeight="1">
      <c r="A22" s="265" t="s">
        <v>253</v>
      </c>
      <c r="B22" s="265" t="s">
        <v>250</v>
      </c>
      <c r="C22" s="76" t="s">
        <v>257</v>
      </c>
      <c r="D22" s="70">
        <v>8</v>
      </c>
      <c r="E22" s="264">
        <v>300</v>
      </c>
      <c r="F22" s="264">
        <f>D22*0.000279</f>
        <v>2.232E-3</v>
      </c>
      <c r="G22" s="416">
        <f>SUM(F22:F23)</f>
        <v>4.4640000000000001E-3</v>
      </c>
      <c r="H22" s="416"/>
      <c r="I22" s="416"/>
      <c r="J22" s="265" t="s">
        <v>235</v>
      </c>
      <c r="K22" s="58"/>
      <c r="M22" s="79" t="s">
        <v>233</v>
      </c>
      <c r="N22" s="80">
        <v>200</v>
      </c>
      <c r="O22" s="81">
        <v>87.02</v>
      </c>
      <c r="P22" s="79" t="s">
        <v>249</v>
      </c>
    </row>
    <row r="23" spans="1:16" ht="17.25" customHeight="1">
      <c r="A23" s="265" t="s">
        <v>253</v>
      </c>
      <c r="B23" s="265" t="s">
        <v>252</v>
      </c>
      <c r="C23" s="76" t="s">
        <v>258</v>
      </c>
      <c r="D23" s="70">
        <v>8</v>
      </c>
      <c r="E23" s="264">
        <v>300</v>
      </c>
      <c r="F23" s="264">
        <f>D23*0.000279</f>
        <v>2.232E-3</v>
      </c>
      <c r="G23" s="416"/>
      <c r="H23" s="416"/>
      <c r="I23" s="416"/>
      <c r="J23" s="265" t="s">
        <v>235</v>
      </c>
      <c r="K23" s="58"/>
      <c r="M23" s="419" t="s">
        <v>87</v>
      </c>
      <c r="N23" s="419"/>
      <c r="O23" s="82">
        <f>SUM(O13:O22)</f>
        <v>14955.11</v>
      </c>
      <c r="P23" s="265"/>
    </row>
    <row r="24" spans="1:16" ht="12" customHeight="1">
      <c r="A24" s="51" t="s">
        <v>259</v>
      </c>
      <c r="B24" s="51" t="s">
        <v>233</v>
      </c>
      <c r="C24" s="52" t="s">
        <v>234</v>
      </c>
      <c r="D24" s="55">
        <f>482.58-46</f>
        <v>436.58</v>
      </c>
      <c r="E24" s="54">
        <v>800</v>
      </c>
      <c r="F24" s="54">
        <f t="shared" ref="F24:F30" si="2">D24/E24</f>
        <v>0.54572500000000002</v>
      </c>
      <c r="G24" s="415">
        <f>SUM(F24:F27)</f>
        <v>1.0594016666666666</v>
      </c>
      <c r="H24" s="415">
        <f>SUM(G24:G32)</f>
        <v>1.4095405733333333</v>
      </c>
      <c r="I24" s="415">
        <v>2</v>
      </c>
      <c r="J24" s="56" t="s">
        <v>249</v>
      </c>
      <c r="K24" s="58"/>
      <c r="M24" s="83" t="s">
        <v>260</v>
      </c>
      <c r="N24" s="265"/>
      <c r="O24" s="82">
        <f>O12+O23</f>
        <v>46042.43</v>
      </c>
      <c r="P24" s="265"/>
    </row>
    <row r="25" spans="1:16" ht="12" customHeight="1">
      <c r="A25" s="51" t="s">
        <v>259</v>
      </c>
      <c r="B25" s="51" t="s">
        <v>233</v>
      </c>
      <c r="C25" s="52" t="s">
        <v>261</v>
      </c>
      <c r="D25" s="55">
        <v>46</v>
      </c>
      <c r="E25" s="54">
        <v>200</v>
      </c>
      <c r="F25" s="54">
        <f t="shared" si="2"/>
        <v>0.23</v>
      </c>
      <c r="G25" s="415"/>
      <c r="H25" s="415"/>
      <c r="I25" s="415"/>
      <c r="J25" s="56" t="s">
        <v>249</v>
      </c>
      <c r="K25" s="58"/>
      <c r="M25" s="84"/>
      <c r="N25" s="85"/>
      <c r="O25" s="86"/>
      <c r="P25" s="85"/>
    </row>
    <row r="26" spans="1:16" ht="12" customHeight="1">
      <c r="A26" s="51" t="s">
        <v>259</v>
      </c>
      <c r="B26" s="51" t="s">
        <v>233</v>
      </c>
      <c r="C26" s="52" t="s">
        <v>262</v>
      </c>
      <c r="D26" s="55">
        <v>326.98</v>
      </c>
      <c r="E26" s="54">
        <v>1500</v>
      </c>
      <c r="F26" s="54">
        <f t="shared" si="2"/>
        <v>0.21798666666666669</v>
      </c>
      <c r="G26" s="415"/>
      <c r="H26" s="415"/>
      <c r="I26" s="415"/>
      <c r="J26" s="56" t="s">
        <v>249</v>
      </c>
      <c r="K26" s="58"/>
      <c r="M26" s="417"/>
      <c r="N26" s="417"/>
      <c r="O26" s="417"/>
      <c r="P26" s="417"/>
    </row>
    <row r="27" spans="1:16" ht="12" customHeight="1">
      <c r="A27" s="51" t="s">
        <v>259</v>
      </c>
      <c r="B27" s="51" t="s">
        <v>233</v>
      </c>
      <c r="C27" s="52" t="s">
        <v>263</v>
      </c>
      <c r="D27" s="55">
        <v>65.69</v>
      </c>
      <c r="E27" s="54">
        <v>1000</v>
      </c>
      <c r="F27" s="54">
        <f t="shared" si="2"/>
        <v>6.5689999999999998E-2</v>
      </c>
      <c r="G27" s="415"/>
      <c r="H27" s="415"/>
      <c r="I27" s="415"/>
      <c r="J27" s="56" t="s">
        <v>249</v>
      </c>
      <c r="K27" s="58"/>
    </row>
    <row r="28" spans="1:16" ht="12" customHeight="1">
      <c r="A28" s="51" t="s">
        <v>259</v>
      </c>
      <c r="B28" s="51" t="s">
        <v>240</v>
      </c>
      <c r="C28" s="52" t="s">
        <v>241</v>
      </c>
      <c r="D28" s="87">
        <v>67.900000000000006</v>
      </c>
      <c r="E28" s="54">
        <v>1800</v>
      </c>
      <c r="F28" s="54">
        <f t="shared" si="2"/>
        <v>3.7722222222222226E-2</v>
      </c>
      <c r="G28" s="415">
        <f>SUM(F28:F30)</f>
        <v>0.2888816666666667</v>
      </c>
      <c r="H28" s="415"/>
      <c r="I28" s="415"/>
      <c r="J28" s="56" t="s">
        <v>249</v>
      </c>
      <c r="K28" s="58"/>
      <c r="M28" s="418"/>
      <c r="N28" s="418"/>
      <c r="O28" s="418"/>
      <c r="P28" s="418"/>
    </row>
    <row r="29" spans="1:16" ht="36" customHeight="1">
      <c r="A29" s="51" t="s">
        <v>259</v>
      </c>
      <c r="B29" s="51" t="s">
        <v>240</v>
      </c>
      <c r="C29" s="52" t="s">
        <v>242</v>
      </c>
      <c r="D29" s="54">
        <v>164.49</v>
      </c>
      <c r="E29" s="61">
        <v>6000</v>
      </c>
      <c r="F29" s="54">
        <f t="shared" si="2"/>
        <v>2.7415000000000002E-2</v>
      </c>
      <c r="G29" s="415"/>
      <c r="H29" s="415"/>
      <c r="I29" s="415"/>
      <c r="J29" s="56" t="s">
        <v>249</v>
      </c>
      <c r="K29" s="58"/>
      <c r="M29" s="418"/>
      <c r="N29" s="418"/>
      <c r="O29" s="418"/>
      <c r="P29" s="418"/>
    </row>
    <row r="30" spans="1:16" ht="24" customHeight="1">
      <c r="A30" s="51" t="s">
        <v>259</v>
      </c>
      <c r="B30" s="51" t="s">
        <v>240</v>
      </c>
      <c r="C30" s="52" t="s">
        <v>264</v>
      </c>
      <c r="D30" s="54">
        <v>402.74</v>
      </c>
      <c r="E30" s="54">
        <v>1800</v>
      </c>
      <c r="F30" s="54">
        <f t="shared" si="2"/>
        <v>0.22374444444444444</v>
      </c>
      <c r="G30" s="415"/>
      <c r="H30" s="415"/>
      <c r="I30" s="415"/>
      <c r="J30" s="56" t="s">
        <v>249</v>
      </c>
      <c r="K30" s="58"/>
      <c r="M30" s="418"/>
      <c r="N30" s="418"/>
      <c r="O30" s="418"/>
      <c r="P30" s="418"/>
    </row>
    <row r="31" spans="1:16" ht="12" customHeight="1">
      <c r="A31" s="51" t="s">
        <v>259</v>
      </c>
      <c r="B31" s="51" t="s">
        <v>250</v>
      </c>
      <c r="C31" s="63" t="s">
        <v>257</v>
      </c>
      <c r="D31" s="71">
        <v>109.78</v>
      </c>
      <c r="E31" s="54">
        <v>300</v>
      </c>
      <c r="F31" s="54">
        <f>D31*0.000279</f>
        <v>3.0628620000000002E-2</v>
      </c>
      <c r="G31" s="415">
        <f>SUM(F31:F32)</f>
        <v>6.1257240000000004E-2</v>
      </c>
      <c r="H31" s="415"/>
      <c r="I31" s="415"/>
      <c r="J31" s="56" t="s">
        <v>249</v>
      </c>
      <c r="K31" s="58"/>
    </row>
    <row r="32" spans="1:16" ht="12" customHeight="1">
      <c r="A32" s="51" t="s">
        <v>259</v>
      </c>
      <c r="B32" s="51" t="s">
        <v>252</v>
      </c>
      <c r="C32" s="63" t="s">
        <v>258</v>
      </c>
      <c r="D32" s="71">
        <v>109.78</v>
      </c>
      <c r="E32" s="54">
        <v>300</v>
      </c>
      <c r="F32" s="54">
        <f>D32*0.000279</f>
        <v>3.0628620000000002E-2</v>
      </c>
      <c r="G32" s="415"/>
      <c r="H32" s="415"/>
      <c r="I32" s="415"/>
      <c r="J32" s="56" t="s">
        <v>249</v>
      </c>
      <c r="K32" s="58"/>
    </row>
    <row r="33" spans="1:15" ht="12" customHeight="1">
      <c r="A33" s="265" t="s">
        <v>265</v>
      </c>
      <c r="B33" s="265" t="s">
        <v>233</v>
      </c>
      <c r="C33" s="72" t="s">
        <v>234</v>
      </c>
      <c r="D33" s="55">
        <v>200.09</v>
      </c>
      <c r="E33" s="264">
        <v>800</v>
      </c>
      <c r="F33" s="264">
        <f>D33/E33</f>
        <v>0.25011250000000002</v>
      </c>
      <c r="G33" s="264">
        <f>SUM(F33)</f>
        <v>0.25011250000000002</v>
      </c>
      <c r="H33" s="416">
        <f>SUM(G33:G36)</f>
        <v>0.69204382222222227</v>
      </c>
      <c r="I33" s="416">
        <v>1</v>
      </c>
      <c r="J33" s="265" t="s">
        <v>249</v>
      </c>
      <c r="K33" s="58"/>
      <c r="O33" s="62"/>
    </row>
    <row r="34" spans="1:15" ht="12" customHeight="1">
      <c r="A34" s="265" t="s">
        <v>265</v>
      </c>
      <c r="B34" s="265" t="s">
        <v>240</v>
      </c>
      <c r="C34" s="76" t="s">
        <v>266</v>
      </c>
      <c r="D34" s="77">
        <v>743.8</v>
      </c>
      <c r="E34" s="264">
        <v>1800</v>
      </c>
      <c r="F34" s="264">
        <f>D34/E34</f>
        <v>0.41322222222222221</v>
      </c>
      <c r="G34" s="264">
        <f>SUM(F34)</f>
        <v>0.41322222222222221</v>
      </c>
      <c r="H34" s="416"/>
      <c r="I34" s="416"/>
      <c r="J34" s="265" t="s">
        <v>249</v>
      </c>
      <c r="K34" s="58"/>
      <c r="O34" s="62"/>
    </row>
    <row r="35" spans="1:15" ht="12" customHeight="1">
      <c r="A35" s="265" t="s">
        <v>265</v>
      </c>
      <c r="B35" s="265" t="s">
        <v>250</v>
      </c>
      <c r="C35" s="76" t="s">
        <v>257</v>
      </c>
      <c r="D35" s="71">
        <v>51.45</v>
      </c>
      <c r="E35" s="264">
        <v>300</v>
      </c>
      <c r="F35" s="264">
        <f>D35*0.000279</f>
        <v>1.4354550000000001E-2</v>
      </c>
      <c r="G35" s="416">
        <f>SUM(F35:F36)</f>
        <v>2.8709100000000001E-2</v>
      </c>
      <c r="H35" s="416"/>
      <c r="I35" s="416"/>
      <c r="J35" s="265" t="s">
        <v>249</v>
      </c>
      <c r="K35" s="58"/>
    </row>
    <row r="36" spans="1:15" ht="14.25" customHeight="1">
      <c r="A36" s="265" t="s">
        <v>265</v>
      </c>
      <c r="B36" s="265" t="s">
        <v>252</v>
      </c>
      <c r="C36" s="76" t="s">
        <v>258</v>
      </c>
      <c r="D36" s="71">
        <v>51.45</v>
      </c>
      <c r="E36" s="264">
        <v>300</v>
      </c>
      <c r="F36" s="264">
        <f>D36*0.000279</f>
        <v>1.4354550000000001E-2</v>
      </c>
      <c r="G36" s="416"/>
      <c r="H36" s="416"/>
      <c r="I36" s="416"/>
      <c r="J36" s="265" t="s">
        <v>249</v>
      </c>
      <c r="K36" s="58"/>
      <c r="N36" s="62"/>
    </row>
    <row r="37" spans="1:15" ht="12" customHeight="1">
      <c r="A37" s="51" t="s">
        <v>267</v>
      </c>
      <c r="B37" s="51" t="s">
        <v>233</v>
      </c>
      <c r="C37" s="52" t="s">
        <v>234</v>
      </c>
      <c r="D37" s="55">
        <f>936.15-43.71</f>
        <v>892.43999999999994</v>
      </c>
      <c r="E37" s="54">
        <v>800</v>
      </c>
      <c r="F37" s="54">
        <f t="shared" ref="F37:F46" si="3">D37/E37</f>
        <v>1.1155499999999998</v>
      </c>
      <c r="G37" s="415">
        <f>SUM(F37:F40)</f>
        <v>1.4246999999999999</v>
      </c>
      <c r="H37" s="415">
        <f>SUM(G37:G48)</f>
        <v>3.0770657051851846</v>
      </c>
      <c r="I37" s="415">
        <v>3</v>
      </c>
      <c r="J37" s="56" t="s">
        <v>235</v>
      </c>
      <c r="K37" s="58"/>
    </row>
    <row r="38" spans="1:15" ht="12" customHeight="1">
      <c r="A38" s="51" t="s">
        <v>267</v>
      </c>
      <c r="B38" s="51" t="s">
        <v>233</v>
      </c>
      <c r="C38" s="52" t="s">
        <v>236</v>
      </c>
      <c r="D38" s="55">
        <v>43.71</v>
      </c>
      <c r="E38" s="54">
        <v>200</v>
      </c>
      <c r="F38" s="54">
        <f t="shared" si="3"/>
        <v>0.21854999999999999</v>
      </c>
      <c r="G38" s="415"/>
      <c r="H38" s="415"/>
      <c r="I38" s="415"/>
      <c r="J38" s="56" t="s">
        <v>235</v>
      </c>
      <c r="K38" s="58"/>
    </row>
    <row r="39" spans="1:15" ht="12" customHeight="1">
      <c r="A39" s="51" t="s">
        <v>267</v>
      </c>
      <c r="B39" s="51" t="s">
        <v>233</v>
      </c>
      <c r="C39" s="52" t="s">
        <v>262</v>
      </c>
      <c r="D39" s="55">
        <v>60</v>
      </c>
      <c r="E39" s="54">
        <v>1500</v>
      </c>
      <c r="F39" s="54">
        <f t="shared" si="3"/>
        <v>0.04</v>
      </c>
      <c r="G39" s="415"/>
      <c r="H39" s="415"/>
      <c r="I39" s="415"/>
      <c r="J39" s="56" t="s">
        <v>235</v>
      </c>
      <c r="K39" s="58"/>
      <c r="O39" s="88"/>
    </row>
    <row r="40" spans="1:15" ht="12" customHeight="1">
      <c r="A40" s="51" t="s">
        <v>267</v>
      </c>
      <c r="B40" s="51" t="s">
        <v>233</v>
      </c>
      <c r="C40" s="52" t="s">
        <v>263</v>
      </c>
      <c r="D40" s="55">
        <v>50.6</v>
      </c>
      <c r="E40" s="54">
        <v>1000</v>
      </c>
      <c r="F40" s="54">
        <f t="shared" si="3"/>
        <v>5.0599999999999999E-2</v>
      </c>
      <c r="G40" s="415"/>
      <c r="H40" s="415"/>
      <c r="I40" s="415"/>
      <c r="J40" s="56" t="s">
        <v>235</v>
      </c>
      <c r="K40" s="58"/>
      <c r="O40" s="89"/>
    </row>
    <row r="41" spans="1:15" ht="12" customHeight="1">
      <c r="A41" s="51" t="s">
        <v>267</v>
      </c>
      <c r="B41" s="51" t="s">
        <v>240</v>
      </c>
      <c r="C41" s="52" t="s">
        <v>241</v>
      </c>
      <c r="D41" s="54">
        <v>782.15</v>
      </c>
      <c r="E41" s="54">
        <v>1800</v>
      </c>
      <c r="F41" s="54">
        <f t="shared" si="3"/>
        <v>0.43452777777777779</v>
      </c>
      <c r="G41" s="415">
        <f>SUM(F41:F46)</f>
        <v>1.5712101851851852</v>
      </c>
      <c r="H41" s="415"/>
      <c r="I41" s="415"/>
      <c r="J41" s="56" t="s">
        <v>235</v>
      </c>
      <c r="K41" s="58"/>
    </row>
    <row r="42" spans="1:15" ht="36" customHeight="1">
      <c r="A42" s="51" t="s">
        <v>267</v>
      </c>
      <c r="B42" s="51" t="s">
        <v>240</v>
      </c>
      <c r="C42" s="52" t="s">
        <v>242</v>
      </c>
      <c r="D42" s="54">
        <v>594.65</v>
      </c>
      <c r="E42" s="61">
        <v>6000</v>
      </c>
      <c r="F42" s="54">
        <f t="shared" si="3"/>
        <v>9.9108333333333326E-2</v>
      </c>
      <c r="G42" s="415"/>
      <c r="H42" s="415"/>
      <c r="I42" s="415"/>
      <c r="J42" s="56" t="s">
        <v>235</v>
      </c>
      <c r="K42" s="58"/>
      <c r="N42" s="90"/>
      <c r="O42" s="91"/>
    </row>
    <row r="43" spans="1:15" ht="24" customHeight="1">
      <c r="A43" s="51" t="s">
        <v>267</v>
      </c>
      <c r="B43" s="51" t="s">
        <v>240</v>
      </c>
      <c r="C43" s="52" t="s">
        <v>264</v>
      </c>
      <c r="D43" s="54">
        <v>285</v>
      </c>
      <c r="E43" s="54">
        <v>1800</v>
      </c>
      <c r="F43" s="54">
        <f t="shared" si="3"/>
        <v>0.15833333333333333</v>
      </c>
      <c r="G43" s="415"/>
      <c r="H43" s="415"/>
      <c r="I43" s="415"/>
      <c r="J43" s="56" t="s">
        <v>235</v>
      </c>
      <c r="K43" s="58"/>
    </row>
    <row r="44" spans="1:15" ht="12" customHeight="1">
      <c r="A44" s="51" t="s">
        <v>267</v>
      </c>
      <c r="B44" s="51" t="s">
        <v>240</v>
      </c>
      <c r="C44" s="52" t="s">
        <v>244</v>
      </c>
      <c r="D44" s="54">
        <v>305.60000000000002</v>
      </c>
      <c r="E44" s="54">
        <v>1800</v>
      </c>
      <c r="F44" s="54">
        <f t="shared" si="3"/>
        <v>0.16977777777777778</v>
      </c>
      <c r="G44" s="415"/>
      <c r="H44" s="415"/>
      <c r="I44" s="415"/>
      <c r="J44" s="56" t="s">
        <v>235</v>
      </c>
      <c r="K44" s="58"/>
    </row>
    <row r="45" spans="1:15" ht="12" customHeight="1">
      <c r="A45" s="51" t="s">
        <v>267</v>
      </c>
      <c r="B45" s="51" t="s">
        <v>240</v>
      </c>
      <c r="C45" s="52" t="s">
        <v>246</v>
      </c>
      <c r="D45" s="54">
        <v>515.54999999999995</v>
      </c>
      <c r="E45" s="54">
        <v>2700</v>
      </c>
      <c r="F45" s="54">
        <f t="shared" si="3"/>
        <v>0.19094444444444442</v>
      </c>
      <c r="G45" s="415"/>
      <c r="H45" s="415"/>
      <c r="I45" s="415"/>
      <c r="J45" s="56" t="s">
        <v>235</v>
      </c>
      <c r="K45" s="58"/>
    </row>
    <row r="46" spans="1:15" ht="12" customHeight="1">
      <c r="A46" s="51" t="s">
        <v>267</v>
      </c>
      <c r="B46" s="51" t="s">
        <v>240</v>
      </c>
      <c r="C46" s="52" t="s">
        <v>247</v>
      </c>
      <c r="D46" s="61">
        <v>1400</v>
      </c>
      <c r="E46" s="61">
        <v>2700</v>
      </c>
      <c r="F46" s="54">
        <f t="shared" si="3"/>
        <v>0.51851851851851849</v>
      </c>
      <c r="G46" s="415"/>
      <c r="H46" s="415"/>
      <c r="I46" s="415"/>
      <c r="J46" s="56" t="s">
        <v>235</v>
      </c>
      <c r="K46" s="58"/>
    </row>
    <row r="47" spans="1:15" ht="12" customHeight="1">
      <c r="A47" s="51" t="s">
        <v>267</v>
      </c>
      <c r="B47" s="51" t="s">
        <v>250</v>
      </c>
      <c r="C47" s="63" t="s">
        <v>257</v>
      </c>
      <c r="D47" s="71">
        <v>145.44</v>
      </c>
      <c r="E47" s="54">
        <v>300</v>
      </c>
      <c r="F47" s="54">
        <f>D47*0.000279</f>
        <v>4.0577759999999997E-2</v>
      </c>
      <c r="G47" s="415">
        <f>SUM(F47:F48)</f>
        <v>8.1155519999999995E-2</v>
      </c>
      <c r="H47" s="415"/>
      <c r="I47" s="415"/>
      <c r="J47" s="56" t="s">
        <v>235</v>
      </c>
      <c r="K47" s="58"/>
    </row>
    <row r="48" spans="1:15" ht="12" customHeight="1">
      <c r="A48" s="51" t="s">
        <v>267</v>
      </c>
      <c r="B48" s="51" t="s">
        <v>252</v>
      </c>
      <c r="C48" s="63" t="s">
        <v>258</v>
      </c>
      <c r="D48" s="71">
        <v>145.44</v>
      </c>
      <c r="E48" s="54">
        <v>300</v>
      </c>
      <c r="F48" s="54">
        <f>D48*0.000279</f>
        <v>4.0577759999999997E-2</v>
      </c>
      <c r="G48" s="415"/>
      <c r="H48" s="415"/>
      <c r="I48" s="415"/>
      <c r="J48" s="56" t="s">
        <v>235</v>
      </c>
      <c r="K48" s="58"/>
    </row>
    <row r="49" spans="1:11" ht="15" customHeight="1">
      <c r="A49" s="265" t="s">
        <v>268</v>
      </c>
      <c r="B49" s="265" t="s">
        <v>233</v>
      </c>
      <c r="C49" s="72" t="s">
        <v>234</v>
      </c>
      <c r="D49" s="55">
        <f>707.78-D50</f>
        <v>672.82999999999993</v>
      </c>
      <c r="E49" s="264">
        <v>800</v>
      </c>
      <c r="F49" s="264">
        <f t="shared" ref="F49:F57" si="4">D49/E49</f>
        <v>0.84103749999999988</v>
      </c>
      <c r="G49" s="416">
        <f>F49+F50</f>
        <v>1.0157874999999998</v>
      </c>
      <c r="H49" s="416">
        <f>SUM(G49:G59)</f>
        <v>3.1418719133333335</v>
      </c>
      <c r="I49" s="416">
        <v>3</v>
      </c>
      <c r="J49" s="265" t="s">
        <v>249</v>
      </c>
      <c r="K49" s="58"/>
    </row>
    <row r="50" spans="1:11" ht="15" customHeight="1">
      <c r="A50" s="265" t="s">
        <v>268</v>
      </c>
      <c r="B50" s="265" t="s">
        <v>233</v>
      </c>
      <c r="C50" s="72" t="s">
        <v>236</v>
      </c>
      <c r="D50" s="55">
        <v>34.950000000000003</v>
      </c>
      <c r="E50" s="264">
        <v>200</v>
      </c>
      <c r="F50" s="264">
        <f t="shared" si="4"/>
        <v>0.17475000000000002</v>
      </c>
      <c r="G50" s="416"/>
      <c r="H50" s="416"/>
      <c r="I50" s="416"/>
      <c r="J50" s="265" t="s">
        <v>249</v>
      </c>
      <c r="K50" s="58"/>
    </row>
    <row r="51" spans="1:11" ht="12" customHeight="1">
      <c r="A51" s="265" t="s">
        <v>268</v>
      </c>
      <c r="B51" s="265" t="s">
        <v>240</v>
      </c>
      <c r="C51" s="72" t="s">
        <v>241</v>
      </c>
      <c r="D51" s="54">
        <v>290</v>
      </c>
      <c r="E51" s="264">
        <v>1800</v>
      </c>
      <c r="F51" s="264">
        <f t="shared" si="4"/>
        <v>0.16111111111111112</v>
      </c>
      <c r="G51" s="416">
        <f>SUM(F51:F57)</f>
        <v>2.0913433333333336</v>
      </c>
      <c r="H51" s="416"/>
      <c r="I51" s="416"/>
      <c r="J51" s="265" t="s">
        <v>249</v>
      </c>
      <c r="K51" s="58"/>
    </row>
    <row r="52" spans="1:11" ht="36" customHeight="1">
      <c r="A52" s="265" t="s">
        <v>268</v>
      </c>
      <c r="B52" s="265" t="s">
        <v>240</v>
      </c>
      <c r="C52" s="72" t="s">
        <v>242</v>
      </c>
      <c r="D52" s="61">
        <v>1933</v>
      </c>
      <c r="E52" s="78">
        <v>6000</v>
      </c>
      <c r="F52" s="264">
        <f t="shared" si="4"/>
        <v>0.32216666666666666</v>
      </c>
      <c r="G52" s="416"/>
      <c r="H52" s="416"/>
      <c r="I52" s="416"/>
      <c r="J52" s="265" t="s">
        <v>249</v>
      </c>
      <c r="K52" s="58"/>
    </row>
    <row r="53" spans="1:11" ht="24" customHeight="1">
      <c r="A53" s="265" t="s">
        <v>268</v>
      </c>
      <c r="B53" s="265" t="s">
        <v>240</v>
      </c>
      <c r="C53" s="72" t="s">
        <v>264</v>
      </c>
      <c r="D53" s="54">
        <v>357</v>
      </c>
      <c r="E53" s="264">
        <v>1800</v>
      </c>
      <c r="F53" s="264">
        <f t="shared" si="4"/>
        <v>0.19833333333333333</v>
      </c>
      <c r="G53" s="416"/>
      <c r="H53" s="416"/>
      <c r="I53" s="416"/>
      <c r="J53" s="265" t="s">
        <v>249</v>
      </c>
      <c r="K53" s="58"/>
    </row>
    <row r="54" spans="1:11" ht="24" customHeight="1">
      <c r="A54" s="265" t="s">
        <v>268</v>
      </c>
      <c r="B54" s="265" t="s">
        <v>240</v>
      </c>
      <c r="C54" s="72" t="s">
        <v>244</v>
      </c>
      <c r="D54" s="54">
        <v>930</v>
      </c>
      <c r="E54" s="264">
        <v>1800</v>
      </c>
      <c r="F54" s="264">
        <f t="shared" si="4"/>
        <v>0.51666666666666672</v>
      </c>
      <c r="G54" s="416"/>
      <c r="H54" s="416"/>
      <c r="I54" s="416"/>
      <c r="J54" s="265" t="s">
        <v>249</v>
      </c>
      <c r="K54" s="58"/>
    </row>
    <row r="55" spans="1:11" ht="12" customHeight="1">
      <c r="A55" s="265" t="s">
        <v>268</v>
      </c>
      <c r="B55" s="265" t="s">
        <v>240</v>
      </c>
      <c r="C55" s="72" t="s">
        <v>246</v>
      </c>
      <c r="D55" s="54">
        <v>464</v>
      </c>
      <c r="E55" s="264">
        <v>2700</v>
      </c>
      <c r="F55" s="264">
        <f t="shared" si="4"/>
        <v>0.17185185185185184</v>
      </c>
      <c r="G55" s="416"/>
      <c r="H55" s="416"/>
      <c r="I55" s="416"/>
      <c r="J55" s="265" t="s">
        <v>249</v>
      </c>
      <c r="K55" s="58"/>
    </row>
    <row r="56" spans="1:11" ht="12" customHeight="1">
      <c r="A56" s="265" t="s">
        <v>268</v>
      </c>
      <c r="B56" s="265" t="s">
        <v>240</v>
      </c>
      <c r="C56" s="72" t="s">
        <v>247</v>
      </c>
      <c r="D56" s="61">
        <v>1900</v>
      </c>
      <c r="E56" s="78">
        <v>2700</v>
      </c>
      <c r="F56" s="264">
        <f t="shared" si="4"/>
        <v>0.70370370370370372</v>
      </c>
      <c r="G56" s="416"/>
      <c r="H56" s="416"/>
      <c r="I56" s="416"/>
      <c r="J56" s="265" t="s">
        <v>249</v>
      </c>
      <c r="K56" s="58"/>
    </row>
    <row r="57" spans="1:11" ht="24" customHeight="1">
      <c r="A57" s="265" t="s">
        <v>268</v>
      </c>
      <c r="B57" s="265" t="s">
        <v>240</v>
      </c>
      <c r="C57" s="72" t="s">
        <v>269</v>
      </c>
      <c r="D57" s="61">
        <v>1751</v>
      </c>
      <c r="E57" s="78">
        <v>100000</v>
      </c>
      <c r="F57" s="264">
        <f t="shared" si="4"/>
        <v>1.7510000000000001E-2</v>
      </c>
      <c r="G57" s="416"/>
      <c r="H57" s="416"/>
      <c r="I57" s="416"/>
      <c r="J57" s="265" t="s">
        <v>249</v>
      </c>
      <c r="K57" s="58"/>
    </row>
    <row r="58" spans="1:11" ht="12" customHeight="1">
      <c r="A58" s="265" t="s">
        <v>268</v>
      </c>
      <c r="B58" s="265" t="s">
        <v>250</v>
      </c>
      <c r="C58" s="76" t="s">
        <v>257</v>
      </c>
      <c r="D58" s="92">
        <v>62.26</v>
      </c>
      <c r="E58" s="264">
        <v>300</v>
      </c>
      <c r="F58" s="264">
        <f>D58*0.000279</f>
        <v>1.737054E-2</v>
      </c>
      <c r="G58" s="416">
        <f>SUM(F58:F59)</f>
        <v>3.4741080000000001E-2</v>
      </c>
      <c r="H58" s="416"/>
      <c r="I58" s="416"/>
      <c r="J58" s="265" t="s">
        <v>249</v>
      </c>
      <c r="K58" s="58"/>
    </row>
    <row r="59" spans="1:11" ht="12" customHeight="1">
      <c r="A59" s="265" t="s">
        <v>268</v>
      </c>
      <c r="B59" s="265" t="s">
        <v>252</v>
      </c>
      <c r="C59" s="76" t="s">
        <v>258</v>
      </c>
      <c r="D59" s="92">
        <v>62.26</v>
      </c>
      <c r="E59" s="264">
        <v>300</v>
      </c>
      <c r="F59" s="264">
        <f>D59*0.000279</f>
        <v>1.737054E-2</v>
      </c>
      <c r="G59" s="416"/>
      <c r="H59" s="416"/>
      <c r="I59" s="416"/>
      <c r="J59" s="265" t="s">
        <v>249</v>
      </c>
      <c r="K59" s="58"/>
    </row>
    <row r="60" spans="1:11" ht="12" customHeight="1">
      <c r="A60" s="265" t="s">
        <v>270</v>
      </c>
      <c r="B60" s="265" t="s">
        <v>233</v>
      </c>
      <c r="C60" s="93" t="s">
        <v>234</v>
      </c>
      <c r="D60" s="55">
        <v>177</v>
      </c>
      <c r="E60" s="264">
        <v>800</v>
      </c>
      <c r="F60" s="54">
        <f t="shared" ref="F60:F66" si="5">D60/E60</f>
        <v>0.22125</v>
      </c>
      <c r="G60" s="416">
        <f>SUM(F60:F61)</f>
        <v>0.27658333333333335</v>
      </c>
      <c r="H60" s="416">
        <f>SUM(G60:G68)</f>
        <v>0.76116644444444437</v>
      </c>
      <c r="I60" s="416">
        <v>1</v>
      </c>
      <c r="J60" s="265" t="s">
        <v>249</v>
      </c>
      <c r="K60" s="58"/>
    </row>
    <row r="61" spans="1:11" ht="12" customHeight="1">
      <c r="A61" s="265" t="s">
        <v>270</v>
      </c>
      <c r="B61" s="265" t="s">
        <v>233</v>
      </c>
      <c r="C61" s="94" t="s">
        <v>254</v>
      </c>
      <c r="D61" s="95">
        <v>83</v>
      </c>
      <c r="E61" s="264">
        <v>1500</v>
      </c>
      <c r="F61" s="54">
        <f t="shared" si="5"/>
        <v>5.5333333333333332E-2</v>
      </c>
      <c r="G61" s="416"/>
      <c r="H61" s="416"/>
      <c r="I61" s="416"/>
      <c r="J61" s="265" t="s">
        <v>249</v>
      </c>
      <c r="K61" s="58"/>
    </row>
    <row r="62" spans="1:11" ht="12" customHeight="1">
      <c r="A62" s="265" t="s">
        <v>270</v>
      </c>
      <c r="B62" s="265" t="s">
        <v>240</v>
      </c>
      <c r="C62" s="72" t="s">
        <v>241</v>
      </c>
      <c r="D62" s="54">
        <v>42</v>
      </c>
      <c r="E62" s="264">
        <v>1800</v>
      </c>
      <c r="F62" s="54">
        <f t="shared" si="5"/>
        <v>2.3333333333333334E-2</v>
      </c>
      <c r="G62" s="416">
        <f>SUM(F62:F66)</f>
        <v>0.46561111111111109</v>
      </c>
      <c r="H62" s="416"/>
      <c r="I62" s="416"/>
      <c r="J62" s="265" t="s">
        <v>249</v>
      </c>
      <c r="K62" s="58"/>
    </row>
    <row r="63" spans="1:11" ht="36" customHeight="1">
      <c r="A63" s="265" t="s">
        <v>270</v>
      </c>
      <c r="B63" s="265" t="s">
        <v>240</v>
      </c>
      <c r="C63" s="72" t="s">
        <v>242</v>
      </c>
      <c r="D63" s="61">
        <v>317</v>
      </c>
      <c r="E63" s="78">
        <v>6000</v>
      </c>
      <c r="F63" s="54">
        <f t="shared" si="5"/>
        <v>5.2833333333333336E-2</v>
      </c>
      <c r="G63" s="416"/>
      <c r="H63" s="416"/>
      <c r="I63" s="416"/>
      <c r="J63" s="265" t="s">
        <v>249</v>
      </c>
      <c r="K63" s="58"/>
    </row>
    <row r="64" spans="1:11" ht="24" customHeight="1">
      <c r="A64" s="265" t="s">
        <v>270</v>
      </c>
      <c r="B64" s="265" t="s">
        <v>240</v>
      </c>
      <c r="C64" s="72" t="s">
        <v>264</v>
      </c>
      <c r="D64" s="54">
        <v>360</v>
      </c>
      <c r="E64" s="264">
        <v>1800</v>
      </c>
      <c r="F64" s="54">
        <f t="shared" si="5"/>
        <v>0.2</v>
      </c>
      <c r="G64" s="416"/>
      <c r="H64" s="416"/>
      <c r="I64" s="416"/>
      <c r="J64" s="265" t="s">
        <v>249</v>
      </c>
      <c r="K64" s="58"/>
    </row>
    <row r="65" spans="1:15" ht="24" customHeight="1">
      <c r="A65" s="265" t="s">
        <v>270</v>
      </c>
      <c r="B65" s="265" t="s">
        <v>240</v>
      </c>
      <c r="C65" s="72" t="s">
        <v>244</v>
      </c>
      <c r="D65" s="54">
        <v>225</v>
      </c>
      <c r="E65" s="264">
        <v>1800</v>
      </c>
      <c r="F65" s="54">
        <f t="shared" si="5"/>
        <v>0.125</v>
      </c>
      <c r="G65" s="416"/>
      <c r="H65" s="416"/>
      <c r="I65" s="416"/>
      <c r="J65" s="265" t="s">
        <v>249</v>
      </c>
      <c r="K65" s="58"/>
    </row>
    <row r="66" spans="1:15" ht="12" customHeight="1">
      <c r="A66" s="265" t="s">
        <v>270</v>
      </c>
      <c r="B66" s="265" t="s">
        <v>240</v>
      </c>
      <c r="C66" s="72" t="s">
        <v>246</v>
      </c>
      <c r="D66" s="54">
        <v>174</v>
      </c>
      <c r="E66" s="264">
        <v>2700</v>
      </c>
      <c r="F66" s="54">
        <f t="shared" si="5"/>
        <v>6.4444444444444443E-2</v>
      </c>
      <c r="G66" s="416"/>
      <c r="H66" s="416"/>
      <c r="I66" s="416"/>
      <c r="J66" s="265" t="s">
        <v>249</v>
      </c>
      <c r="K66" s="58"/>
    </row>
    <row r="67" spans="1:15" ht="12" customHeight="1">
      <c r="A67" s="265" t="s">
        <v>270</v>
      </c>
      <c r="B67" s="265" t="s">
        <v>250</v>
      </c>
      <c r="C67" s="76" t="s">
        <v>257</v>
      </c>
      <c r="D67" s="92">
        <v>34</v>
      </c>
      <c r="E67" s="264">
        <v>300</v>
      </c>
      <c r="F67" s="54">
        <f>D67*0.000279</f>
        <v>9.4859999999999996E-3</v>
      </c>
      <c r="G67" s="416">
        <f>SUM(F67:F68)</f>
        <v>1.8971999999999999E-2</v>
      </c>
      <c r="H67" s="416"/>
      <c r="I67" s="416"/>
      <c r="J67" s="265" t="s">
        <v>249</v>
      </c>
      <c r="K67" s="58"/>
    </row>
    <row r="68" spans="1:15" ht="12" customHeight="1">
      <c r="A68" s="265" t="s">
        <v>270</v>
      </c>
      <c r="B68" s="265" t="s">
        <v>252</v>
      </c>
      <c r="C68" s="76" t="s">
        <v>258</v>
      </c>
      <c r="D68" s="92">
        <v>34</v>
      </c>
      <c r="E68" s="264">
        <v>300</v>
      </c>
      <c r="F68" s="54">
        <f>D68*0.000279</f>
        <v>9.4859999999999996E-3</v>
      </c>
      <c r="G68" s="416"/>
      <c r="H68" s="416"/>
      <c r="I68" s="416"/>
      <c r="J68" s="265" t="s">
        <v>249</v>
      </c>
      <c r="K68" s="58"/>
    </row>
    <row r="69" spans="1:15" ht="12" customHeight="1">
      <c r="A69" s="51" t="s">
        <v>271</v>
      </c>
      <c r="B69" s="51" t="s">
        <v>233</v>
      </c>
      <c r="C69" s="52" t="s">
        <v>234</v>
      </c>
      <c r="D69" s="55">
        <f>281-D70</f>
        <v>274.93</v>
      </c>
      <c r="E69" s="54">
        <v>800</v>
      </c>
      <c r="F69" s="54">
        <f>D69/E69</f>
        <v>0.34366249999999998</v>
      </c>
      <c r="G69" s="54">
        <f>F69</f>
        <v>0.34366249999999998</v>
      </c>
      <c r="H69" s="415">
        <f>SUM(G69:G73)</f>
        <v>0.51072609999999996</v>
      </c>
      <c r="I69" s="415">
        <v>1</v>
      </c>
      <c r="J69" s="56" t="s">
        <v>249</v>
      </c>
      <c r="K69" s="58"/>
      <c r="O69" s="50" t="s">
        <v>272</v>
      </c>
    </row>
    <row r="70" spans="1:15" ht="12" customHeight="1">
      <c r="A70" s="51" t="s">
        <v>271</v>
      </c>
      <c r="B70" s="51" t="s">
        <v>233</v>
      </c>
      <c r="C70" s="52" t="s">
        <v>236</v>
      </c>
      <c r="D70" s="55">
        <v>6.07</v>
      </c>
      <c r="E70" s="54">
        <v>200</v>
      </c>
      <c r="F70" s="54">
        <f>D70/E70</f>
        <v>3.0350000000000002E-2</v>
      </c>
      <c r="G70" s="54">
        <f>F70</f>
        <v>3.0350000000000002E-2</v>
      </c>
      <c r="H70" s="415"/>
      <c r="I70" s="415"/>
      <c r="J70" s="56" t="s">
        <v>249</v>
      </c>
      <c r="K70" s="58"/>
    </row>
    <row r="71" spans="1:15" ht="12" customHeight="1">
      <c r="A71" s="51" t="s">
        <v>271</v>
      </c>
      <c r="B71" s="51" t="s">
        <v>240</v>
      </c>
      <c r="C71" s="52" t="s">
        <v>273</v>
      </c>
      <c r="D71" s="54">
        <v>756</v>
      </c>
      <c r="E71" s="61">
        <v>6000</v>
      </c>
      <c r="F71" s="54">
        <f>D71/E71</f>
        <v>0.126</v>
      </c>
      <c r="G71" s="96">
        <f>F71</f>
        <v>0.126</v>
      </c>
      <c r="H71" s="415"/>
      <c r="I71" s="415"/>
      <c r="J71" s="56" t="s">
        <v>249</v>
      </c>
      <c r="K71" s="58"/>
    </row>
    <row r="72" spans="1:15" ht="12" customHeight="1">
      <c r="A72" s="51" t="s">
        <v>271</v>
      </c>
      <c r="B72" s="51" t="s">
        <v>250</v>
      </c>
      <c r="C72" s="63" t="s">
        <v>257</v>
      </c>
      <c r="D72" s="71">
        <v>19.2</v>
      </c>
      <c r="E72" s="54">
        <v>300</v>
      </c>
      <c r="F72" s="54">
        <f>D72*0.000279</f>
        <v>5.3568000000000001E-3</v>
      </c>
      <c r="G72" s="415">
        <f>SUM(F72:F73)</f>
        <v>1.07136E-2</v>
      </c>
      <c r="H72" s="415"/>
      <c r="I72" s="415"/>
      <c r="J72" s="56" t="s">
        <v>249</v>
      </c>
      <c r="K72" s="58"/>
    </row>
    <row r="73" spans="1:15" ht="12" customHeight="1">
      <c r="A73" s="51" t="s">
        <v>271</v>
      </c>
      <c r="B73" s="51" t="s">
        <v>252</v>
      </c>
      <c r="C73" s="63" t="s">
        <v>258</v>
      </c>
      <c r="D73" s="71">
        <v>19.2</v>
      </c>
      <c r="E73" s="54">
        <v>300</v>
      </c>
      <c r="F73" s="54">
        <f>D73*0.000279</f>
        <v>5.3568000000000001E-3</v>
      </c>
      <c r="G73" s="415"/>
      <c r="H73" s="415"/>
      <c r="I73" s="415"/>
      <c r="J73" s="56" t="s">
        <v>249</v>
      </c>
      <c r="K73" s="58"/>
    </row>
    <row r="74" spans="1:15" ht="12" customHeight="1">
      <c r="A74" s="265" t="s">
        <v>274</v>
      </c>
      <c r="B74" s="265" t="s">
        <v>233</v>
      </c>
      <c r="C74" s="72" t="s">
        <v>234</v>
      </c>
      <c r="D74" s="55">
        <v>414</v>
      </c>
      <c r="E74" s="264">
        <v>800</v>
      </c>
      <c r="F74" s="54">
        <f>D74/E74</f>
        <v>0.51749999999999996</v>
      </c>
      <c r="G74" s="264">
        <f>F74</f>
        <v>0.51749999999999996</v>
      </c>
      <c r="H74" s="416">
        <f>SUM(G74:G75)</f>
        <v>0.54444666666666663</v>
      </c>
      <c r="I74" s="416">
        <v>1</v>
      </c>
      <c r="J74" s="265" t="s">
        <v>249</v>
      </c>
      <c r="K74" s="58"/>
    </row>
    <row r="75" spans="1:15" ht="36" customHeight="1">
      <c r="A75" s="265" t="s">
        <v>274</v>
      </c>
      <c r="B75" s="265" t="s">
        <v>240</v>
      </c>
      <c r="C75" s="72" t="s">
        <v>273</v>
      </c>
      <c r="D75" s="54">
        <v>161.68</v>
      </c>
      <c r="E75" s="78">
        <v>6000</v>
      </c>
      <c r="F75" s="54">
        <f>D75/E75</f>
        <v>2.6946666666666667E-2</v>
      </c>
      <c r="G75" s="97">
        <f>F75</f>
        <v>2.6946666666666667E-2</v>
      </c>
      <c r="H75" s="416"/>
      <c r="I75" s="416"/>
      <c r="J75" s="265" t="s">
        <v>249</v>
      </c>
      <c r="K75" s="58"/>
    </row>
    <row r="76" spans="1:15" ht="12" customHeight="1">
      <c r="A76" s="265" t="s">
        <v>275</v>
      </c>
      <c r="B76" s="265" t="s">
        <v>233</v>
      </c>
      <c r="C76" s="72" t="s">
        <v>234</v>
      </c>
      <c r="D76" s="55">
        <v>134</v>
      </c>
      <c r="E76" s="264">
        <v>800</v>
      </c>
      <c r="F76" s="54">
        <f>D76/E76</f>
        <v>0.16750000000000001</v>
      </c>
      <c r="G76" s="264">
        <f>F76</f>
        <v>0.16750000000000001</v>
      </c>
      <c r="H76" s="416">
        <f>SUM(G76:G77)</f>
        <v>0.24916666666666668</v>
      </c>
      <c r="I76" s="416">
        <v>1</v>
      </c>
      <c r="J76" s="265" t="s">
        <v>249</v>
      </c>
      <c r="K76" s="58"/>
    </row>
    <row r="77" spans="1:15" ht="36" customHeight="1">
      <c r="A77" s="265" t="s">
        <v>275</v>
      </c>
      <c r="B77" s="265" t="s">
        <v>240</v>
      </c>
      <c r="C77" s="72" t="s">
        <v>273</v>
      </c>
      <c r="D77" s="54">
        <v>490</v>
      </c>
      <c r="E77" s="78">
        <v>6000</v>
      </c>
      <c r="F77" s="54">
        <f>D77/E77</f>
        <v>8.1666666666666665E-2</v>
      </c>
      <c r="G77" s="97">
        <f>F77</f>
        <v>8.1666666666666665E-2</v>
      </c>
      <c r="H77" s="416"/>
      <c r="I77" s="416"/>
      <c r="J77" s="265" t="s">
        <v>249</v>
      </c>
      <c r="K77" s="58"/>
    </row>
    <row r="78" spans="1:15" ht="12.75" customHeight="1">
      <c r="A78" s="414" t="s">
        <v>276</v>
      </c>
      <c r="B78" s="414"/>
      <c r="C78" s="414"/>
      <c r="D78" s="98">
        <f>SUBTOTAL(9,D2:D77)</f>
        <v>46042.430000000015</v>
      </c>
      <c r="E78" s="71"/>
      <c r="F78" s="71"/>
      <c r="G78" s="71"/>
      <c r="H78" s="71">
        <f>SUM(H2:H77)</f>
        <v>21.084281632592592</v>
      </c>
      <c r="I78" s="71">
        <f>SUM(I2:I77)</f>
        <v>24</v>
      </c>
      <c r="J78" s="99"/>
      <c r="K78" s="58"/>
      <c r="L78" s="50">
        <f>3</f>
        <v>3</v>
      </c>
    </row>
  </sheetData>
  <mergeCells count="45">
    <mergeCell ref="M23:N23"/>
    <mergeCell ref="G2:G6"/>
    <mergeCell ref="H2:H15"/>
    <mergeCell ref="I2:I15"/>
    <mergeCell ref="G7:G13"/>
    <mergeCell ref="M12:N12"/>
    <mergeCell ref="G14:G15"/>
    <mergeCell ref="G16:G17"/>
    <mergeCell ref="H16:H23"/>
    <mergeCell ref="I16:I23"/>
    <mergeCell ref="G19:G21"/>
    <mergeCell ref="G22:G23"/>
    <mergeCell ref="G24:G27"/>
    <mergeCell ref="H24:H32"/>
    <mergeCell ref="I24:I32"/>
    <mergeCell ref="M26:P26"/>
    <mergeCell ref="G28:G30"/>
    <mergeCell ref="M28:P30"/>
    <mergeCell ref="G31:G32"/>
    <mergeCell ref="H33:H36"/>
    <mergeCell ref="I33:I36"/>
    <mergeCell ref="G35:G36"/>
    <mergeCell ref="G37:G40"/>
    <mergeCell ref="H37:H48"/>
    <mergeCell ref="I37:I48"/>
    <mergeCell ref="G41:G46"/>
    <mergeCell ref="G47:G48"/>
    <mergeCell ref="G60:G61"/>
    <mergeCell ref="H60:H68"/>
    <mergeCell ref="I60:I68"/>
    <mergeCell ref="G62:G66"/>
    <mergeCell ref="G67:G68"/>
    <mergeCell ref="G49:G50"/>
    <mergeCell ref="H49:H59"/>
    <mergeCell ref="I49:I59"/>
    <mergeCell ref="G51:G57"/>
    <mergeCell ref="G58:G59"/>
    <mergeCell ref="A78:C78"/>
    <mergeCell ref="H69:H73"/>
    <mergeCell ref="I69:I73"/>
    <mergeCell ref="G72:G73"/>
    <mergeCell ref="H74:H75"/>
    <mergeCell ref="I74:I75"/>
    <mergeCell ref="H76:H77"/>
    <mergeCell ref="I76:I77"/>
  </mergeCells>
  <pageMargins left="0.51181102362204722" right="0.51181102362204722" top="0.78740157480314954" bottom="0.78740157480314954" header="0.51181102362204722" footer="0.5118110236220472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4202E6F971334BBF47AD1503525C23" ma:contentTypeVersion="4" ma:contentTypeDescription="Create a new document." ma:contentTypeScope="" ma:versionID="36b304b162d930f56860550fa09bd0d0">
  <xsd:schema xmlns:xsd="http://www.w3.org/2001/XMLSchema" xmlns:xs="http://www.w3.org/2001/XMLSchema" xmlns:p="http://schemas.microsoft.com/office/2006/metadata/properties" xmlns:ns2="a1938f9f-00fd-4c15-9027-32f627fd24fa" targetNamespace="http://schemas.microsoft.com/office/2006/metadata/properties" ma:root="true" ma:fieldsID="853573dba3e3aa5128fc4bc5888bb9f5" ns2:_="">
    <xsd:import namespace="a1938f9f-00fd-4c15-9027-32f627fd24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38f9f-00fd-4c15-9027-32f627fd24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A7DF5C-874C-4B39-AE4C-9AFFD7410FF8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  <ds:schemaRef ds:uri="a1938f9f-00fd-4c15-9027-32f627fd24fa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F757902-69D4-4FB3-B971-3C2355666C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C8AA3E-394F-49CE-ABEB-5D9DE742DC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938f9f-00fd-4c15-9027-32f627fd24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</vt:i4>
      </vt:variant>
    </vt:vector>
  </HeadingPairs>
  <TitlesOfParts>
    <vt:vector size="13" baseType="lpstr">
      <vt:lpstr>Dados_da_empresa</vt:lpstr>
      <vt:lpstr>Instruções_de_preenchimento</vt:lpstr>
      <vt:lpstr>Proposta GLOBAL</vt:lpstr>
      <vt:lpstr>Postos de PVH</vt:lpstr>
      <vt:lpstr>Postos de JPN</vt:lpstr>
      <vt:lpstr>Postos de GMI-VLA-PBO</vt:lpstr>
      <vt:lpstr>Uniforme</vt:lpstr>
      <vt:lpstr>Uniformes</vt:lpstr>
      <vt:lpstr>área</vt:lpstr>
      <vt:lpstr>Equip_limpeza</vt:lpstr>
      <vt:lpstr>Equip_lavador</vt:lpstr>
      <vt:lpstr>EPIs e materiais</vt:lpstr>
      <vt:lpstr>Equip_limpeza!Area_de_impressao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ALEXANDRE GARCIA DE SOUZA</dc:creator>
  <cp:keywords/>
  <dc:description/>
  <cp:lastModifiedBy>LAIRA GIACOMETT DE CARVALHO</cp:lastModifiedBy>
  <cp:revision>25</cp:revision>
  <dcterms:created xsi:type="dcterms:W3CDTF">2013-04-17T10:31:46Z</dcterms:created>
  <dcterms:modified xsi:type="dcterms:W3CDTF">2020-06-26T21:40:29Z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0x010100A04202E6F971334BBF47AD1503525C23</vt:lpwstr>
  </property>
</Properties>
</file>