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omments9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195" windowHeight="8445" tabRatio="745" activeTab="1"/>
  </bookViews>
  <sheets>
    <sheet name="Plan. Geral - PARTE A" sheetId="12" r:id="rId1"/>
    <sheet name="Plan. Geral - PARTE B" sheetId="29" r:id="rId2"/>
    <sheet name="Plan. Geral - PARTE C" sheetId="30" r:id="rId3"/>
    <sheet name="Plan. Geral - PARTE D" sheetId="34" r:id="rId4"/>
    <sheet name="Plan. Geral - PARTE E" sheetId="35" r:id="rId5"/>
    <sheet name="HON__CEF" sheetId="6" r:id="rId6"/>
    <sheet name="Plan1" sheetId="17" r:id="rId7"/>
    <sheet name="HON__CEF (MS-CORUMBA)" sheetId="15" r:id="rId8"/>
    <sheet name="HON__CEF (MS-PONTA PORÃ)" sheetId="16" r:id="rId9"/>
    <sheet name="HON__CEF (MT-RONDONÓPOLIS)" sheetId="25" r:id="rId10"/>
    <sheet name="HON__CEF (MT-SINOP)" sheetId="26" r:id="rId11"/>
    <sheet name="HON__CEF (PA-SANTARÉM)" sheetId="27" r:id="rId12"/>
    <sheet name="HON__CEF (AM-TABATINGA)" sheetId="13" r:id="rId13"/>
    <sheet name="HON__CEF (RR-PACARAIMA)" sheetId="14" r:id="rId14"/>
    <sheet name="HON__CEF (AC-CRUZ DO SUL)" sheetId="18" r:id="rId15"/>
    <sheet name="HON__CEF (AP-OIAPOQUE)" sheetId="19" r:id="rId16"/>
    <sheet name="HON__CEF (PA-ALTAMIRA)" sheetId="20" r:id="rId17"/>
    <sheet name="HON__CEF (PA-MARABÁ)" sheetId="21" r:id="rId18"/>
    <sheet name="HON__CEF (RO-GUAJARÁ-MIRIM)" sheetId="22" r:id="rId19"/>
    <sheet name="HON__CEF (RO-VILHENA)" sheetId="23" r:id="rId20"/>
    <sheet name="HON__CEF (RS-URUGUAIANA)" sheetId="24" r:id="rId21"/>
    <sheet name="HON__CEF (RS-CHUÍ)" sheetId="28" r:id="rId22"/>
    <sheet name="HON__CEF (RO-GUAJARÁMIRIM) (R)" sheetId="31" r:id="rId23"/>
    <sheet name="HON__CEF (RO-VILHENA) (R)" sheetId="32" r:id="rId24"/>
    <sheet name="HON__CEF (AC-CRUZ DO SUL) (R)" sheetId="33" r:id="rId25"/>
  </sheets>
  <externalReferences>
    <externalReference r:id="rId26"/>
  </externalReferences>
  <definedNames>
    <definedName name="_xlnm.Print_Area" localSheetId="5">HON__CEF!$A$1:$I$51</definedName>
    <definedName name="_xlnm.Print_Area" localSheetId="14">'HON__CEF (AC-CRUZ DO SUL)'!$A$7:$I$33</definedName>
    <definedName name="_xlnm.Print_Area" localSheetId="24">'HON__CEF (AC-CRUZ DO SUL) (R)'!$A$7:$I$33</definedName>
    <definedName name="_xlnm.Print_Area" localSheetId="12">'HON__CEF (AM-TABATINGA)'!$A$5:$I$32</definedName>
    <definedName name="_xlnm.Print_Area" localSheetId="15">'HON__CEF (AP-OIAPOQUE)'!$A$7:$I$33</definedName>
    <definedName name="_xlnm.Print_Area" localSheetId="7">'HON__CEF (MS-CORUMBA)'!$A$6:$I$32</definedName>
    <definedName name="_xlnm.Print_Area" localSheetId="8">'HON__CEF (MS-PONTA PORÃ)'!$A$5:$I$32</definedName>
    <definedName name="_xlnm.Print_Area" localSheetId="9">'HON__CEF (MT-RONDONÓPOLIS)'!$A$5:$I$32</definedName>
    <definedName name="_xlnm.Print_Area" localSheetId="10">'HON__CEF (MT-SINOP)'!$A$5:$I$32</definedName>
    <definedName name="_xlnm.Print_Area" localSheetId="16">'HON__CEF (PA-ALTAMIRA)'!$A$7:$I$33</definedName>
    <definedName name="_xlnm.Print_Area" localSheetId="17">'HON__CEF (PA-MARABÁ)'!$A$7:$I$33</definedName>
    <definedName name="_xlnm.Print_Area" localSheetId="11">'HON__CEF (PA-SANTARÉM)'!$A$5:$I$32</definedName>
    <definedName name="_xlnm.Print_Area" localSheetId="18">'HON__CEF (RO-GUAJARÁ-MIRIM)'!$A$7:$I$33</definedName>
    <definedName name="_xlnm.Print_Area" localSheetId="22">'HON__CEF (RO-GUAJARÁMIRIM) (R)'!$A$7:$I$33</definedName>
    <definedName name="_xlnm.Print_Area" localSheetId="19">'HON__CEF (RO-VILHENA)'!$A$7:$I$33</definedName>
    <definedName name="_xlnm.Print_Area" localSheetId="23">'HON__CEF (RO-VILHENA) (R)'!$A$7:$I$33</definedName>
    <definedName name="_xlnm.Print_Area" localSheetId="13">'HON__CEF (RR-PACARAIMA)'!$A$7:$I$33</definedName>
    <definedName name="_xlnm.Print_Area" localSheetId="21">'HON__CEF (RS-CHUÍ)'!$A$7:$I$33</definedName>
    <definedName name="_xlnm.Print_Area" localSheetId="20">'HON__CEF (RS-URUGUAIANA)'!$A$7:$I$33</definedName>
  </definedNames>
  <calcPr calcId="125725"/>
</workbook>
</file>

<file path=xl/calcChain.xml><?xml version="1.0" encoding="utf-8"?>
<calcChain xmlns="http://schemas.openxmlformats.org/spreadsheetml/2006/main">
  <c r="J91" i="6"/>
  <c r="J27"/>
  <c r="J15"/>
  <c r="J103"/>
  <c r="J39"/>
  <c r="F53" i="12"/>
  <c r="F54"/>
  <c r="M5" i="35" l="1"/>
  <c r="L5"/>
  <c r="K5"/>
  <c r="J5"/>
  <c r="I5"/>
  <c r="H5"/>
  <c r="M5" i="34"/>
  <c r="L5"/>
  <c r="K5"/>
  <c r="J5"/>
  <c r="I5"/>
  <c r="H5"/>
  <c r="D95" i="33"/>
  <c r="D99" s="1"/>
  <c r="I41"/>
  <c r="C22"/>
  <c r="D14"/>
  <c r="C14"/>
  <c r="R13"/>
  <c r="C13"/>
  <c r="D13" s="1"/>
  <c r="C12"/>
  <c r="B12"/>
  <c r="R11"/>
  <c r="C11"/>
  <c r="D11" s="1"/>
  <c r="R10"/>
  <c r="B10" s="1"/>
  <c r="C10"/>
  <c r="C9"/>
  <c r="D9" s="1"/>
  <c r="I8"/>
  <c r="C5"/>
  <c r="B5"/>
  <c r="C18" s="1"/>
  <c r="D95" i="32"/>
  <c r="D99" s="1"/>
  <c r="J41" s="1"/>
  <c r="K41" s="1"/>
  <c r="B124" i="6" s="1"/>
  <c r="I41" i="32"/>
  <c r="C22"/>
  <c r="D14"/>
  <c r="C14"/>
  <c r="R13"/>
  <c r="D13"/>
  <c r="C13"/>
  <c r="E13" s="1"/>
  <c r="C12"/>
  <c r="B12"/>
  <c r="R11"/>
  <c r="C11"/>
  <c r="D11" s="1"/>
  <c r="R10"/>
  <c r="C10"/>
  <c r="B10"/>
  <c r="D10" s="1"/>
  <c r="D9"/>
  <c r="C9"/>
  <c r="I8"/>
  <c r="C5"/>
  <c r="B5"/>
  <c r="C18" s="1"/>
  <c r="D95" i="31"/>
  <c r="D99" s="1"/>
  <c r="I41"/>
  <c r="C22"/>
  <c r="C14"/>
  <c r="D14" s="1"/>
  <c r="R13"/>
  <c r="C13"/>
  <c r="D13" s="1"/>
  <c r="C12"/>
  <c r="B12"/>
  <c r="D12" s="1"/>
  <c r="R11"/>
  <c r="C11"/>
  <c r="D11" s="1"/>
  <c r="R10"/>
  <c r="B10" s="1"/>
  <c r="C10"/>
  <c r="C9"/>
  <c r="D9" s="1"/>
  <c r="I8"/>
  <c r="C5"/>
  <c r="B5"/>
  <c r="C18" s="1"/>
  <c r="B125" i="6"/>
  <c r="J110"/>
  <c r="J112" s="1"/>
  <c r="J98"/>
  <c r="J100" s="1"/>
  <c r="M5" i="30"/>
  <c r="L5"/>
  <c r="K5"/>
  <c r="J5"/>
  <c r="I5"/>
  <c r="H5"/>
  <c r="M5" i="29"/>
  <c r="L5"/>
  <c r="K5"/>
  <c r="J5"/>
  <c r="I5"/>
  <c r="H5"/>
  <c r="J41" i="33" l="1"/>
  <c r="K41" s="1"/>
  <c r="B130" i="6" s="1"/>
  <c r="B132" s="1"/>
  <c r="B133" s="1"/>
  <c r="J41" i="31"/>
  <c r="K41" s="1"/>
  <c r="B123" i="6" s="1"/>
  <c r="E9" i="32"/>
  <c r="E14" i="33"/>
  <c r="H19"/>
  <c r="I19" s="1"/>
  <c r="H18"/>
  <c r="H12" s="1"/>
  <c r="I24" s="1"/>
  <c r="J106" i="6" s="1"/>
  <c r="I106" s="1"/>
  <c r="E12" i="33"/>
  <c r="E11"/>
  <c r="E10"/>
  <c r="H10"/>
  <c r="I22" s="1"/>
  <c r="D10"/>
  <c r="H14"/>
  <c r="I26" s="1"/>
  <c r="J108" i="6" s="1"/>
  <c r="I108" s="1"/>
  <c r="H9" i="33"/>
  <c r="D12"/>
  <c r="E9"/>
  <c r="E13"/>
  <c r="H19" i="32"/>
  <c r="I19" s="1"/>
  <c r="E14"/>
  <c r="E10"/>
  <c r="H18"/>
  <c r="E11"/>
  <c r="E12"/>
  <c r="D12"/>
  <c r="D15" s="1"/>
  <c r="E17" s="1"/>
  <c r="H13"/>
  <c r="I25" s="1"/>
  <c r="H18" i="31"/>
  <c r="I18" s="1"/>
  <c r="H19"/>
  <c r="I19" s="1"/>
  <c r="E11"/>
  <c r="E12"/>
  <c r="E14"/>
  <c r="E10"/>
  <c r="H10"/>
  <c r="I22" s="1"/>
  <c r="D10"/>
  <c r="D15" s="1"/>
  <c r="E17" s="1"/>
  <c r="H13"/>
  <c r="I25" s="1"/>
  <c r="J95" i="6" s="1"/>
  <c r="E9" i="31"/>
  <c r="E13"/>
  <c r="C127" i="6"/>
  <c r="C128" s="1"/>
  <c r="E47" i="35" l="1"/>
  <c r="F47" s="1"/>
  <c r="E16"/>
  <c r="F16" s="1"/>
  <c r="J92" i="6"/>
  <c r="E51" i="35"/>
  <c r="F51" s="1"/>
  <c r="E52"/>
  <c r="F52" s="1"/>
  <c r="E53"/>
  <c r="F53" s="1"/>
  <c r="E54"/>
  <c r="F54" s="1"/>
  <c r="J104" i="6"/>
  <c r="I104" s="1"/>
  <c r="I109"/>
  <c r="E37" i="35" s="1"/>
  <c r="F37" s="1"/>
  <c r="E15" i="32"/>
  <c r="E16" s="1"/>
  <c r="D15" i="33"/>
  <c r="E17" s="1"/>
  <c r="H13"/>
  <c r="I25" s="1"/>
  <c r="J107" i="6" s="1"/>
  <c r="I107" s="1"/>
  <c r="I21" i="33"/>
  <c r="I103" i="6" s="1"/>
  <c r="X48" i="33"/>
  <c r="Y48" s="1"/>
  <c r="X17"/>
  <c r="Y17" s="1"/>
  <c r="X13"/>
  <c r="Y13" s="1"/>
  <c r="X41"/>
  <c r="Y41" s="1"/>
  <c r="X39"/>
  <c r="Y39" s="1"/>
  <c r="X42"/>
  <c r="Y42" s="1"/>
  <c r="X16"/>
  <c r="Y16" s="1"/>
  <c r="X47"/>
  <c r="Y47" s="1"/>
  <c r="X54"/>
  <c r="Y54" s="1"/>
  <c r="X52"/>
  <c r="Y52" s="1"/>
  <c r="X53"/>
  <c r="Y53" s="1"/>
  <c r="X51"/>
  <c r="Y51" s="1"/>
  <c r="X38"/>
  <c r="Y38" s="1"/>
  <c r="X12"/>
  <c r="Y12" s="1"/>
  <c r="X37"/>
  <c r="Y37" s="1"/>
  <c r="I18"/>
  <c r="H11"/>
  <c r="I23" s="1"/>
  <c r="J105" i="6" s="1"/>
  <c r="I105" s="1"/>
  <c r="E15" i="33"/>
  <c r="E16" s="1"/>
  <c r="I18" i="32"/>
  <c r="H11"/>
  <c r="I23" s="1"/>
  <c r="X41"/>
  <c r="Y41" s="1"/>
  <c r="X26"/>
  <c r="Y26" s="1"/>
  <c r="X42"/>
  <c r="Y42" s="1"/>
  <c r="X48"/>
  <c r="Y48" s="1"/>
  <c r="X39"/>
  <c r="Y39" s="1"/>
  <c r="X40"/>
  <c r="Y40" s="1"/>
  <c r="X17"/>
  <c r="Y17" s="1"/>
  <c r="X13"/>
  <c r="Y13" s="1"/>
  <c r="H14"/>
  <c r="I26" s="1"/>
  <c r="H12"/>
  <c r="I24" s="1"/>
  <c r="H9"/>
  <c r="H10"/>
  <c r="I22" s="1"/>
  <c r="I97" i="6" s="1"/>
  <c r="E37" i="34" s="1"/>
  <c r="H11" i="31"/>
  <c r="I23" s="1"/>
  <c r="J93" i="6" s="1"/>
  <c r="H12" i="31"/>
  <c r="I24" s="1"/>
  <c r="J94" i="6" s="1"/>
  <c r="H14" i="31"/>
  <c r="I26" s="1"/>
  <c r="H9"/>
  <c r="I21"/>
  <c r="X48"/>
  <c r="Y48" s="1"/>
  <c r="X40"/>
  <c r="Y40" s="1"/>
  <c r="X17"/>
  <c r="Y17" s="1"/>
  <c r="X13"/>
  <c r="Y13" s="1"/>
  <c r="X41"/>
  <c r="Y41" s="1"/>
  <c r="X26"/>
  <c r="Y26" s="1"/>
  <c r="X39"/>
  <c r="Y39" s="1"/>
  <c r="X42"/>
  <c r="Y42" s="1"/>
  <c r="X38"/>
  <c r="Y38" s="1"/>
  <c r="X12"/>
  <c r="Y12" s="1"/>
  <c r="X37"/>
  <c r="Y37" s="1"/>
  <c r="E15"/>
  <c r="E16" s="1"/>
  <c r="D95" i="28"/>
  <c r="D99" s="1"/>
  <c r="I41"/>
  <c r="C22"/>
  <c r="D14"/>
  <c r="C14"/>
  <c r="R13"/>
  <c r="C13"/>
  <c r="D13" s="1"/>
  <c r="C12"/>
  <c r="B12"/>
  <c r="R11"/>
  <c r="C11"/>
  <c r="R10"/>
  <c r="C10"/>
  <c r="B10"/>
  <c r="C9"/>
  <c r="D9" s="1"/>
  <c r="I8"/>
  <c r="C5"/>
  <c r="B5"/>
  <c r="C18" s="1"/>
  <c r="J46" i="6"/>
  <c r="J48" s="1"/>
  <c r="J34"/>
  <c r="J36" s="1"/>
  <c r="D84" i="27"/>
  <c r="D80"/>
  <c r="I40"/>
  <c r="C21"/>
  <c r="C12"/>
  <c r="D12" s="1"/>
  <c r="R11"/>
  <c r="C11"/>
  <c r="D11" s="1"/>
  <c r="C10"/>
  <c r="B10"/>
  <c r="D10" s="1"/>
  <c r="R9"/>
  <c r="C9"/>
  <c r="D9" s="1"/>
  <c r="R8"/>
  <c r="B8" s="1"/>
  <c r="C8"/>
  <c r="C7"/>
  <c r="D7" s="1"/>
  <c r="I6"/>
  <c r="C5"/>
  <c r="B5"/>
  <c r="C16" s="1"/>
  <c r="D84" i="26"/>
  <c r="D80"/>
  <c r="D86" s="1"/>
  <c r="J40" s="1"/>
  <c r="I40"/>
  <c r="C21"/>
  <c r="C12"/>
  <c r="D12" s="1"/>
  <c r="R11"/>
  <c r="C11"/>
  <c r="D11" s="1"/>
  <c r="C10"/>
  <c r="B10"/>
  <c r="R9"/>
  <c r="C9"/>
  <c r="D9" s="1"/>
  <c r="R8"/>
  <c r="B8" s="1"/>
  <c r="D8" s="1"/>
  <c r="C8"/>
  <c r="C7"/>
  <c r="D7" s="1"/>
  <c r="I6"/>
  <c r="C5"/>
  <c r="B5"/>
  <c r="C16" s="1"/>
  <c r="D84" i="25"/>
  <c r="D80"/>
  <c r="D86" s="1"/>
  <c r="J40" s="1"/>
  <c r="I40"/>
  <c r="C21"/>
  <c r="C12"/>
  <c r="D12" s="1"/>
  <c r="R11"/>
  <c r="C11"/>
  <c r="D11" s="1"/>
  <c r="C10"/>
  <c r="B10"/>
  <c r="E10" s="1"/>
  <c r="R9"/>
  <c r="C9"/>
  <c r="D9" s="1"/>
  <c r="R8"/>
  <c r="B8" s="1"/>
  <c r="D8" s="1"/>
  <c r="C8"/>
  <c r="C7"/>
  <c r="D7" s="1"/>
  <c r="I6"/>
  <c r="C5"/>
  <c r="B5"/>
  <c r="C16" s="1"/>
  <c r="D95" i="24"/>
  <c r="D99" s="1"/>
  <c r="I41"/>
  <c r="C22"/>
  <c r="C14"/>
  <c r="R13"/>
  <c r="C13"/>
  <c r="D13" s="1"/>
  <c r="C12"/>
  <c r="B12"/>
  <c r="R11"/>
  <c r="D11"/>
  <c r="C11"/>
  <c r="R10"/>
  <c r="B10" s="1"/>
  <c r="C10"/>
  <c r="C9"/>
  <c r="D9" s="1"/>
  <c r="I8"/>
  <c r="C5"/>
  <c r="B5"/>
  <c r="C18" s="1"/>
  <c r="D95" i="23"/>
  <c r="D99" s="1"/>
  <c r="I41"/>
  <c r="C22"/>
  <c r="C14"/>
  <c r="D14" s="1"/>
  <c r="R13"/>
  <c r="C13"/>
  <c r="D13" s="1"/>
  <c r="C12"/>
  <c r="B12"/>
  <c r="R11"/>
  <c r="C11"/>
  <c r="R10"/>
  <c r="B10" s="1"/>
  <c r="D10" s="1"/>
  <c r="C10"/>
  <c r="C9"/>
  <c r="D9" s="1"/>
  <c r="I8"/>
  <c r="C5"/>
  <c r="B5"/>
  <c r="C18" s="1"/>
  <c r="D95" i="22"/>
  <c r="D99" s="1"/>
  <c r="I41"/>
  <c r="C22"/>
  <c r="C14"/>
  <c r="D14" s="1"/>
  <c r="R13"/>
  <c r="D13"/>
  <c r="C13"/>
  <c r="C12"/>
  <c r="B12"/>
  <c r="R11"/>
  <c r="C11"/>
  <c r="R10"/>
  <c r="C10"/>
  <c r="B10"/>
  <c r="D9"/>
  <c r="C9"/>
  <c r="I8"/>
  <c r="C5"/>
  <c r="B5"/>
  <c r="C18" s="1"/>
  <c r="D95" i="21"/>
  <c r="D99" s="1"/>
  <c r="I41"/>
  <c r="C22"/>
  <c r="D14"/>
  <c r="C14"/>
  <c r="R13"/>
  <c r="C13"/>
  <c r="D13" s="1"/>
  <c r="C12"/>
  <c r="B12"/>
  <c r="R11"/>
  <c r="C11"/>
  <c r="D11" s="1"/>
  <c r="R10"/>
  <c r="C10"/>
  <c r="B10"/>
  <c r="D10" s="1"/>
  <c r="D9"/>
  <c r="C9"/>
  <c r="I8"/>
  <c r="C5"/>
  <c r="B5"/>
  <c r="C18" s="1"/>
  <c r="D95" i="20"/>
  <c r="D99" s="1"/>
  <c r="I41"/>
  <c r="C22"/>
  <c r="C14"/>
  <c r="D14" s="1"/>
  <c r="R13"/>
  <c r="D13"/>
  <c r="C13"/>
  <c r="C12"/>
  <c r="B12"/>
  <c r="R11"/>
  <c r="C11"/>
  <c r="R10"/>
  <c r="C10"/>
  <c r="B10"/>
  <c r="D9"/>
  <c r="C9"/>
  <c r="I8"/>
  <c r="C5"/>
  <c r="B5"/>
  <c r="C18" s="1"/>
  <c r="D95" i="19"/>
  <c r="D99" s="1"/>
  <c r="I41"/>
  <c r="C22"/>
  <c r="C14"/>
  <c r="D14" s="1"/>
  <c r="R13"/>
  <c r="C13"/>
  <c r="D13" s="1"/>
  <c r="C12"/>
  <c r="B12"/>
  <c r="R11"/>
  <c r="C11"/>
  <c r="D11" s="1"/>
  <c r="R10"/>
  <c r="B10" s="1"/>
  <c r="D10" s="1"/>
  <c r="C10"/>
  <c r="D9"/>
  <c r="C9"/>
  <c r="I8"/>
  <c r="C5"/>
  <c r="B5"/>
  <c r="C18" s="1"/>
  <c r="D95" i="18"/>
  <c r="D99" s="1"/>
  <c r="I41"/>
  <c r="C22"/>
  <c r="D14"/>
  <c r="C14"/>
  <c r="E14" s="1"/>
  <c r="R13"/>
  <c r="C13"/>
  <c r="D13" s="1"/>
  <c r="C12"/>
  <c r="E12" s="1"/>
  <c r="B12"/>
  <c r="R11"/>
  <c r="C11"/>
  <c r="R10"/>
  <c r="B10" s="1"/>
  <c r="C10"/>
  <c r="C9"/>
  <c r="D9" s="1"/>
  <c r="I8"/>
  <c r="C5"/>
  <c r="B5"/>
  <c r="C18" s="1"/>
  <c r="C10" i="14"/>
  <c r="C11"/>
  <c r="C12"/>
  <c r="C13"/>
  <c r="C14"/>
  <c r="C9"/>
  <c r="C8" i="13"/>
  <c r="C9"/>
  <c r="C10"/>
  <c r="C11"/>
  <c r="C12"/>
  <c r="C7"/>
  <c r="C8" i="16"/>
  <c r="C9"/>
  <c r="C10"/>
  <c r="C11"/>
  <c r="C12"/>
  <c r="C7"/>
  <c r="C9" i="15"/>
  <c r="C10"/>
  <c r="C11"/>
  <c r="C12"/>
  <c r="C13"/>
  <c r="C8"/>
  <c r="E35" i="35" l="1"/>
  <c r="F35" s="1"/>
  <c r="E31"/>
  <c r="F31" s="1"/>
  <c r="E10"/>
  <c r="F10" s="1"/>
  <c r="E36"/>
  <c r="F36" s="1"/>
  <c r="E32"/>
  <c r="F32" s="1"/>
  <c r="E24"/>
  <c r="F24" s="1"/>
  <c r="E11"/>
  <c r="F11" s="1"/>
  <c r="E33"/>
  <c r="F33" s="1"/>
  <c r="E34"/>
  <c r="F34" s="1"/>
  <c r="I110" i="6"/>
  <c r="I112" s="1"/>
  <c r="D86" i="27"/>
  <c r="J40" s="1"/>
  <c r="K40" s="1"/>
  <c r="B65" i="6" s="1"/>
  <c r="X51" i="31"/>
  <c r="Y51" s="1"/>
  <c r="J96" i="6"/>
  <c r="E39" i="35"/>
  <c r="F39" s="1"/>
  <c r="E48"/>
  <c r="F48" s="1"/>
  <c r="E40"/>
  <c r="F40" s="1"/>
  <c r="E41"/>
  <c r="F41" s="1"/>
  <c r="E42"/>
  <c r="F42" s="1"/>
  <c r="E26"/>
  <c r="F26" s="1"/>
  <c r="E17"/>
  <c r="F17" s="1"/>
  <c r="E13"/>
  <c r="F13" s="1"/>
  <c r="E38"/>
  <c r="F38" s="1"/>
  <c r="E9"/>
  <c r="F9" s="1"/>
  <c r="D15" i="19"/>
  <c r="E17" s="1"/>
  <c r="D12"/>
  <c r="D12" i="20"/>
  <c r="E9" i="21"/>
  <c r="X26" i="33"/>
  <c r="Y26" s="1"/>
  <c r="X40"/>
  <c r="Y40" s="1"/>
  <c r="E43" i="35"/>
  <c r="F43" s="1"/>
  <c r="E18"/>
  <c r="F18" s="1"/>
  <c r="E14"/>
  <c r="F14" s="1"/>
  <c r="E44"/>
  <c r="F44" s="1"/>
  <c r="E15"/>
  <c r="F15" s="1"/>
  <c r="E49"/>
  <c r="F49" s="1"/>
  <c r="E45"/>
  <c r="F45" s="1"/>
  <c r="E25"/>
  <c r="F25" s="1"/>
  <c r="E50"/>
  <c r="F50" s="1"/>
  <c r="E46"/>
  <c r="F46" s="1"/>
  <c r="F37" i="34"/>
  <c r="X50" i="33"/>
  <c r="Y50" s="1"/>
  <c r="X46"/>
  <c r="Y46" s="1"/>
  <c r="X44"/>
  <c r="Y44" s="1"/>
  <c r="X18"/>
  <c r="Y18" s="1"/>
  <c r="X49"/>
  <c r="Y49" s="1"/>
  <c r="X45"/>
  <c r="Y45" s="1"/>
  <c r="X43"/>
  <c r="Y43" s="1"/>
  <c r="X25"/>
  <c r="Y25" s="1"/>
  <c r="X14"/>
  <c r="Y14" s="1"/>
  <c r="X15"/>
  <c r="Y15" s="1"/>
  <c r="X36"/>
  <c r="Y36" s="1"/>
  <c r="X34"/>
  <c r="Y34" s="1"/>
  <c r="X32"/>
  <c r="Y32" s="1"/>
  <c r="X24"/>
  <c r="Y24" s="1"/>
  <c r="X10"/>
  <c r="Y10" s="1"/>
  <c r="X9"/>
  <c r="Y9" s="1"/>
  <c r="X35"/>
  <c r="Y35" s="1"/>
  <c r="X33"/>
  <c r="Y33" s="1"/>
  <c r="X31"/>
  <c r="Y31" s="1"/>
  <c r="X11"/>
  <c r="Y11" s="1"/>
  <c r="I28"/>
  <c r="H15"/>
  <c r="H16" s="1"/>
  <c r="I21" i="32"/>
  <c r="H15"/>
  <c r="H16" s="1"/>
  <c r="X12"/>
  <c r="Y12" s="1"/>
  <c r="X38"/>
  <c r="Y38" s="1"/>
  <c r="X37"/>
  <c r="Y37" s="1"/>
  <c r="X18"/>
  <c r="Y18" s="1"/>
  <c r="X44"/>
  <c r="Y44" s="1"/>
  <c r="X49"/>
  <c r="Y49" s="1"/>
  <c r="X45"/>
  <c r="Y45" s="1"/>
  <c r="X43"/>
  <c r="Y43" s="1"/>
  <c r="X25"/>
  <c r="Y25" s="1"/>
  <c r="X14"/>
  <c r="Y14" s="1"/>
  <c r="X15"/>
  <c r="Y15" s="1"/>
  <c r="X50"/>
  <c r="Y50" s="1"/>
  <c r="X46"/>
  <c r="Y46" s="1"/>
  <c r="X54"/>
  <c r="Y54" s="1"/>
  <c r="X52"/>
  <c r="Y52" s="1"/>
  <c r="X53"/>
  <c r="Y53" s="1"/>
  <c r="X51"/>
  <c r="Y51" s="1"/>
  <c r="X47"/>
  <c r="Y47" s="1"/>
  <c r="X16"/>
  <c r="Y16" s="1"/>
  <c r="X54" i="31"/>
  <c r="Y54" s="1"/>
  <c r="X53"/>
  <c r="Y53" s="1"/>
  <c r="X50"/>
  <c r="Y50" s="1"/>
  <c r="X49"/>
  <c r="Y49" s="1"/>
  <c r="X14"/>
  <c r="Y14" s="1"/>
  <c r="X18"/>
  <c r="Y18" s="1"/>
  <c r="X25"/>
  <c r="Y25" s="1"/>
  <c r="X15"/>
  <c r="Y15" s="1"/>
  <c r="X44"/>
  <c r="Y44" s="1"/>
  <c r="X43"/>
  <c r="Y43" s="1"/>
  <c r="X46"/>
  <c r="Y46" s="1"/>
  <c r="X45"/>
  <c r="Y45" s="1"/>
  <c r="X16"/>
  <c r="Y16" s="1"/>
  <c r="X47"/>
  <c r="Y47" s="1"/>
  <c r="H15"/>
  <c r="H16" s="1"/>
  <c r="H17" s="1"/>
  <c r="X52"/>
  <c r="Y52" s="1"/>
  <c r="X36"/>
  <c r="Y36" s="1"/>
  <c r="X34"/>
  <c r="Y34" s="1"/>
  <c r="X32"/>
  <c r="Y32" s="1"/>
  <c r="X35"/>
  <c r="Y35" s="1"/>
  <c r="X33"/>
  <c r="Y33" s="1"/>
  <c r="X31"/>
  <c r="Y31" s="1"/>
  <c r="X11"/>
  <c r="Y11" s="1"/>
  <c r="I28"/>
  <c r="X24"/>
  <c r="Y24" s="1"/>
  <c r="X10"/>
  <c r="Y10" s="1"/>
  <c r="X9"/>
  <c r="Y9" s="1"/>
  <c r="J41" i="28"/>
  <c r="K41" s="1"/>
  <c r="B81" i="6" s="1"/>
  <c r="B83" s="1"/>
  <c r="B84" s="1"/>
  <c r="E14" i="28"/>
  <c r="E9"/>
  <c r="H19"/>
  <c r="I19" s="1"/>
  <c r="H18"/>
  <c r="H9" s="1"/>
  <c r="E12"/>
  <c r="E10"/>
  <c r="H11"/>
  <c r="I23" s="1"/>
  <c r="J41" i="6" s="1"/>
  <c r="I41" s="1"/>
  <c r="E50" i="30" s="1"/>
  <c r="F50" s="1"/>
  <c r="D10" i="28"/>
  <c r="E11"/>
  <c r="D11"/>
  <c r="D15" s="1"/>
  <c r="E17" s="1"/>
  <c r="D12"/>
  <c r="E13"/>
  <c r="J41" i="18"/>
  <c r="K41" s="1"/>
  <c r="B70" i="6" s="1"/>
  <c r="J41" i="21"/>
  <c r="K41" s="1"/>
  <c r="B73" i="6" s="1"/>
  <c r="J41" i="20"/>
  <c r="K41" s="1"/>
  <c r="B72" i="6" s="1"/>
  <c r="K40" i="26"/>
  <c r="B64" i="6" s="1"/>
  <c r="K40" i="25"/>
  <c r="B63" i="6" s="1"/>
  <c r="C67" s="1"/>
  <c r="C68" s="1"/>
  <c r="H7" i="27"/>
  <c r="D8"/>
  <c r="E8"/>
  <c r="H8"/>
  <c r="I21" s="1"/>
  <c r="O16" i="6" s="1"/>
  <c r="H17" i="27"/>
  <c r="I17" s="1"/>
  <c r="H16"/>
  <c r="I16" s="1"/>
  <c r="E10"/>
  <c r="E9"/>
  <c r="E7"/>
  <c r="D13"/>
  <c r="E15" s="1"/>
  <c r="H11"/>
  <c r="I24" s="1"/>
  <c r="O19" i="6" s="1"/>
  <c r="E11" i="27"/>
  <c r="H12"/>
  <c r="I25" s="1"/>
  <c r="O20" i="6" s="1"/>
  <c r="E12" i="27"/>
  <c r="E10" i="26"/>
  <c r="H17"/>
  <c r="I17" s="1"/>
  <c r="H16"/>
  <c r="H8" s="1"/>
  <c r="I21" s="1"/>
  <c r="N16" i="6" s="1"/>
  <c r="E9" i="26"/>
  <c r="E7"/>
  <c r="E12"/>
  <c r="E8"/>
  <c r="D10"/>
  <c r="D13" s="1"/>
  <c r="E15" s="1"/>
  <c r="H11"/>
  <c r="I24" s="1"/>
  <c r="N19" i="6" s="1"/>
  <c r="E11" i="26"/>
  <c r="H17" i="25"/>
  <c r="I17" s="1"/>
  <c r="H16"/>
  <c r="H12" s="1"/>
  <c r="I25" s="1"/>
  <c r="M20" i="6" s="1"/>
  <c r="E9" i="25"/>
  <c r="E7"/>
  <c r="E12"/>
  <c r="E8"/>
  <c r="D10"/>
  <c r="D13" s="1"/>
  <c r="E15" s="1"/>
  <c r="H11"/>
  <c r="I24" s="1"/>
  <c r="M19" i="6" s="1"/>
  <c r="E11" i="25"/>
  <c r="H19" i="24"/>
  <c r="I19" s="1"/>
  <c r="H18"/>
  <c r="H12" s="1"/>
  <c r="I24" s="1"/>
  <c r="Q30" i="6" s="1"/>
  <c r="E11" i="24"/>
  <c r="J41"/>
  <c r="K41" s="1"/>
  <c r="B76" i="6" s="1"/>
  <c r="E10" i="24"/>
  <c r="H10"/>
  <c r="I22" s="1"/>
  <c r="Q28" i="6" s="1"/>
  <c r="D10" i="24"/>
  <c r="E14"/>
  <c r="E12"/>
  <c r="D14"/>
  <c r="H9"/>
  <c r="D12"/>
  <c r="E9"/>
  <c r="E13"/>
  <c r="H14"/>
  <c r="I26" s="1"/>
  <c r="Q32" i="6" s="1"/>
  <c r="J41" i="23"/>
  <c r="K41" s="1"/>
  <c r="B75" i="6" s="1"/>
  <c r="E14" i="23"/>
  <c r="H19"/>
  <c r="I19" s="1"/>
  <c r="H18"/>
  <c r="E12"/>
  <c r="E11"/>
  <c r="E10"/>
  <c r="H11"/>
  <c r="I23" s="1"/>
  <c r="H9"/>
  <c r="D11"/>
  <c r="D15" s="1"/>
  <c r="E17" s="1"/>
  <c r="D12"/>
  <c r="E9"/>
  <c r="H10"/>
  <c r="I22" s="1"/>
  <c r="E13"/>
  <c r="E10" i="22"/>
  <c r="J41"/>
  <c r="K41" s="1"/>
  <c r="B74" i="6" s="1"/>
  <c r="E14" i="22"/>
  <c r="E13"/>
  <c r="E9"/>
  <c r="H19"/>
  <c r="H18"/>
  <c r="H12" s="1"/>
  <c r="I24" s="1"/>
  <c r="N30" i="6" s="1"/>
  <c r="D10" i="22"/>
  <c r="E11"/>
  <c r="E12"/>
  <c r="D11"/>
  <c r="D12"/>
  <c r="E14" i="21"/>
  <c r="E10"/>
  <c r="H19"/>
  <c r="I19" s="1"/>
  <c r="H18"/>
  <c r="H14" s="1"/>
  <c r="I26" s="1"/>
  <c r="M32" i="6" s="1"/>
  <c r="E11" i="21"/>
  <c r="D15"/>
  <c r="E17" s="1"/>
  <c r="H12"/>
  <c r="I24" s="1"/>
  <c r="M30" i="6" s="1"/>
  <c r="E12" i="21"/>
  <c r="E15" s="1"/>
  <c r="E16" s="1"/>
  <c r="H9"/>
  <c r="D12"/>
  <c r="H13"/>
  <c r="I25" s="1"/>
  <c r="M31" i="6" s="1"/>
  <c r="E13" i="21"/>
  <c r="E10" i="20"/>
  <c r="E13"/>
  <c r="H19"/>
  <c r="I19" s="1"/>
  <c r="H18"/>
  <c r="H12" s="1"/>
  <c r="I24" s="1"/>
  <c r="L30" i="6" s="1"/>
  <c r="E14" i="20"/>
  <c r="E9"/>
  <c r="D10"/>
  <c r="D15" s="1"/>
  <c r="E17" s="1"/>
  <c r="E11"/>
  <c r="E12"/>
  <c r="D11"/>
  <c r="E13" i="19"/>
  <c r="H19"/>
  <c r="I19" s="1"/>
  <c r="H18"/>
  <c r="E14"/>
  <c r="E9"/>
  <c r="J41"/>
  <c r="K41" s="1"/>
  <c r="B71" i="6" s="1"/>
  <c r="H9" i="19"/>
  <c r="H10"/>
  <c r="I22" s="1"/>
  <c r="K28" i="6" s="1"/>
  <c r="E10" i="19"/>
  <c r="H11"/>
  <c r="I23" s="1"/>
  <c r="K29" i="6" s="1"/>
  <c r="E11" i="19"/>
  <c r="E12"/>
  <c r="H12"/>
  <c r="I24" s="1"/>
  <c r="K30" i="6" s="1"/>
  <c r="E13" i="18"/>
  <c r="E9"/>
  <c r="H19"/>
  <c r="I19" s="1"/>
  <c r="H18"/>
  <c r="H11" s="1"/>
  <c r="I23" s="1"/>
  <c r="J29" i="6" s="1"/>
  <c r="H12" i="18"/>
  <c r="I24" s="1"/>
  <c r="J30" i="6" s="1"/>
  <c r="E10" i="18"/>
  <c r="D10"/>
  <c r="E11"/>
  <c r="H9"/>
  <c r="D11"/>
  <c r="D12"/>
  <c r="H10"/>
  <c r="I22" s="1"/>
  <c r="D84" i="16"/>
  <c r="D80"/>
  <c r="D104" i="13"/>
  <c r="D100"/>
  <c r="D95" i="14"/>
  <c r="D86" i="15"/>
  <c r="J40" s="1"/>
  <c r="D84"/>
  <c r="D80"/>
  <c r="D99" i="14"/>
  <c r="C5" i="16"/>
  <c r="C5" i="13"/>
  <c r="C5" i="15"/>
  <c r="C5" i="14"/>
  <c r="K92" i="6" l="1"/>
  <c r="I92" s="1"/>
  <c r="O28"/>
  <c r="C78"/>
  <c r="C79" s="1"/>
  <c r="E49" i="30"/>
  <c r="F49" s="1"/>
  <c r="E43"/>
  <c r="F43" s="1"/>
  <c r="E46"/>
  <c r="F46" s="1"/>
  <c r="K93" i="6"/>
  <c r="I93" s="1"/>
  <c r="O29"/>
  <c r="D15" i="18"/>
  <c r="E17" s="1"/>
  <c r="H11" i="22"/>
  <c r="I23" s="1"/>
  <c r="N29" i="6" s="1"/>
  <c r="H10" i="25"/>
  <c r="I23" s="1"/>
  <c r="M18" i="6" s="1"/>
  <c r="H8" i="25"/>
  <c r="I21" s="1"/>
  <c r="M16" i="6" s="1"/>
  <c r="E18" i="30"/>
  <c r="F18" s="1"/>
  <c r="E44"/>
  <c r="F44" s="1"/>
  <c r="F28" i="35"/>
  <c r="F56"/>
  <c r="D106" i="13"/>
  <c r="J40" s="1"/>
  <c r="D86" i="16"/>
  <c r="J40" s="1"/>
  <c r="H13" i="18"/>
  <c r="I25" s="1"/>
  <c r="J31" i="6" s="1"/>
  <c r="H13" i="19"/>
  <c r="I25" s="1"/>
  <c r="K31" i="6" s="1"/>
  <c r="D15" i="22"/>
  <c r="E17" s="1"/>
  <c r="H13" i="23"/>
  <c r="I25" s="1"/>
  <c r="H10" i="26"/>
  <c r="I23" s="1"/>
  <c r="N18" i="6" s="1"/>
  <c r="H10" i="28"/>
  <c r="I22" s="1"/>
  <c r="E14" i="30"/>
  <c r="F14" s="1"/>
  <c r="E45"/>
  <c r="F45" s="1"/>
  <c r="J28" i="6"/>
  <c r="H11" i="20"/>
  <c r="I23" s="1"/>
  <c r="L29" i="6" s="1"/>
  <c r="H10" i="22"/>
  <c r="I22" s="1"/>
  <c r="N28" i="6" s="1"/>
  <c r="E15" i="23"/>
  <c r="E16" s="1"/>
  <c r="E13" i="26"/>
  <c r="E14" s="1"/>
  <c r="E15" i="30"/>
  <c r="F15" s="1"/>
  <c r="E25"/>
  <c r="F25" s="1"/>
  <c r="Y20" i="33"/>
  <c r="Y58" s="1"/>
  <c r="I43"/>
  <c r="I30"/>
  <c r="H17"/>
  <c r="I17"/>
  <c r="Y28"/>
  <c r="Y56"/>
  <c r="I17" i="32"/>
  <c r="H17"/>
  <c r="I28"/>
  <c r="X24"/>
  <c r="Y24" s="1"/>
  <c r="Y28" s="1"/>
  <c r="X10"/>
  <c r="Y10" s="1"/>
  <c r="X34"/>
  <c r="Y34" s="1"/>
  <c r="X32"/>
  <c r="Y32" s="1"/>
  <c r="X35"/>
  <c r="Y35" s="1"/>
  <c r="X33"/>
  <c r="Y33" s="1"/>
  <c r="X31"/>
  <c r="Y31" s="1"/>
  <c r="X11"/>
  <c r="Y11" s="1"/>
  <c r="X9"/>
  <c r="Y9" s="1"/>
  <c r="X36"/>
  <c r="Y36" s="1"/>
  <c r="Y28" i="31"/>
  <c r="I17"/>
  <c r="Y20"/>
  <c r="I43"/>
  <c r="I30"/>
  <c r="Y56"/>
  <c r="H13" i="28"/>
  <c r="I25" s="1"/>
  <c r="J43" i="6" s="1"/>
  <c r="I43" s="1"/>
  <c r="X50" i="28"/>
  <c r="Y50" s="1"/>
  <c r="X46"/>
  <c r="Y46" s="1"/>
  <c r="X44"/>
  <c r="Y44" s="1"/>
  <c r="X18"/>
  <c r="Y18" s="1"/>
  <c r="X49"/>
  <c r="Y49" s="1"/>
  <c r="X45"/>
  <c r="Y45" s="1"/>
  <c r="X43"/>
  <c r="Y43" s="1"/>
  <c r="X25"/>
  <c r="Y25" s="1"/>
  <c r="X14"/>
  <c r="Y14" s="1"/>
  <c r="X15"/>
  <c r="Y15" s="1"/>
  <c r="I18"/>
  <c r="H14"/>
  <c r="I26" s="1"/>
  <c r="J44" i="6" s="1"/>
  <c r="I44" s="1"/>
  <c r="H12" i="28"/>
  <c r="I24" s="1"/>
  <c r="J42" i="6" s="1"/>
  <c r="I42" s="1"/>
  <c r="X48" i="28"/>
  <c r="Y48" s="1"/>
  <c r="X40"/>
  <c r="Y40" s="1"/>
  <c r="X17"/>
  <c r="Y17" s="1"/>
  <c r="X13"/>
  <c r="Y13" s="1"/>
  <c r="X41"/>
  <c r="Y41" s="1"/>
  <c r="X26"/>
  <c r="Y26" s="1"/>
  <c r="X39"/>
  <c r="Y39" s="1"/>
  <c r="X42"/>
  <c r="Y42" s="1"/>
  <c r="E15"/>
  <c r="E16" s="1"/>
  <c r="X38"/>
  <c r="Y38" s="1"/>
  <c r="X12"/>
  <c r="Y12" s="1"/>
  <c r="X37"/>
  <c r="Y37" s="1"/>
  <c r="I21"/>
  <c r="I39" i="6" s="1"/>
  <c r="H15" i="28"/>
  <c r="H16" s="1"/>
  <c r="H13" i="20"/>
  <c r="I25" s="1"/>
  <c r="L31" i="6" s="1"/>
  <c r="H9" i="20"/>
  <c r="D15" i="24"/>
  <c r="E17" s="1"/>
  <c r="X40" i="27"/>
  <c r="Y40" s="1"/>
  <c r="X25"/>
  <c r="Y25" s="1"/>
  <c r="X38"/>
  <c r="Y38" s="1"/>
  <c r="X41"/>
  <c r="Y41" s="1"/>
  <c r="X16"/>
  <c r="Y16" s="1"/>
  <c r="X47"/>
  <c r="Y47" s="1"/>
  <c r="X39"/>
  <c r="Y39" s="1"/>
  <c r="X12"/>
  <c r="Y12" s="1"/>
  <c r="X36"/>
  <c r="Y36" s="1"/>
  <c r="X11"/>
  <c r="Y11" s="1"/>
  <c r="X37"/>
  <c r="Y37" s="1"/>
  <c r="I20"/>
  <c r="O15" i="6" s="1"/>
  <c r="H13" i="27"/>
  <c r="H14" s="1"/>
  <c r="H10"/>
  <c r="I23" s="1"/>
  <c r="O18" i="6" s="1"/>
  <c r="H9" i="27"/>
  <c r="I22" s="1"/>
  <c r="O17" i="6" s="1"/>
  <c r="X52" i="27"/>
  <c r="Y52" s="1"/>
  <c r="X50"/>
  <c r="Y50" s="1"/>
  <c r="X53"/>
  <c r="Y53" s="1"/>
  <c r="X51"/>
  <c r="Y51" s="1"/>
  <c r="E13"/>
  <c r="E14" s="1"/>
  <c r="I16" i="26"/>
  <c r="H9"/>
  <c r="I22" s="1"/>
  <c r="N17" i="6" s="1"/>
  <c r="H7" i="26"/>
  <c r="X46"/>
  <c r="Y46" s="1"/>
  <c r="X15"/>
  <c r="Y15" s="1"/>
  <c r="X36"/>
  <c r="Y36" s="1"/>
  <c r="X11"/>
  <c r="Y11" s="1"/>
  <c r="X37"/>
  <c r="Y37" s="1"/>
  <c r="H12"/>
  <c r="I25" s="1"/>
  <c r="N20" i="6" s="1"/>
  <c r="X40" i="26"/>
  <c r="Y40" s="1"/>
  <c r="X25"/>
  <c r="Y25" s="1"/>
  <c r="X38"/>
  <c r="Y38" s="1"/>
  <c r="X41"/>
  <c r="Y41" s="1"/>
  <c r="X16"/>
  <c r="Y16" s="1"/>
  <c r="X47"/>
  <c r="Y47" s="1"/>
  <c r="X39"/>
  <c r="Y39" s="1"/>
  <c r="X12"/>
  <c r="Y12" s="1"/>
  <c r="X52" i="25"/>
  <c r="Y52" s="1"/>
  <c r="X50"/>
  <c r="Y50" s="1"/>
  <c r="X53"/>
  <c r="Y53" s="1"/>
  <c r="X51"/>
  <c r="Y51" s="1"/>
  <c r="X46"/>
  <c r="Y46" s="1"/>
  <c r="X15"/>
  <c r="Y15" s="1"/>
  <c r="X36"/>
  <c r="Y36" s="1"/>
  <c r="X11"/>
  <c r="Y11" s="1"/>
  <c r="X37"/>
  <c r="Y37" s="1"/>
  <c r="E13"/>
  <c r="E14" s="1"/>
  <c r="X40"/>
  <c r="Y40" s="1"/>
  <c r="X25"/>
  <c r="Y25" s="1"/>
  <c r="X38"/>
  <c r="Y38" s="1"/>
  <c r="X41"/>
  <c r="Y41" s="1"/>
  <c r="X16"/>
  <c r="Y16" s="1"/>
  <c r="X47"/>
  <c r="Y47" s="1"/>
  <c r="X39"/>
  <c r="Y39" s="1"/>
  <c r="X12"/>
  <c r="Y12" s="1"/>
  <c r="I16"/>
  <c r="H9"/>
  <c r="I22" s="1"/>
  <c r="M17" i="6" s="1"/>
  <c r="H7" i="25"/>
  <c r="X47" i="24"/>
  <c r="Y47" s="1"/>
  <c r="X16"/>
  <c r="Y16" s="1"/>
  <c r="X54"/>
  <c r="Y54" s="1"/>
  <c r="X52"/>
  <c r="Y52" s="1"/>
  <c r="X53"/>
  <c r="Y53" s="1"/>
  <c r="X51"/>
  <c r="Y51" s="1"/>
  <c r="I18"/>
  <c r="H11"/>
  <c r="I23" s="1"/>
  <c r="Q29" i="6" s="1"/>
  <c r="X38" i="24"/>
  <c r="Y38" s="1"/>
  <c r="X12"/>
  <c r="Y12" s="1"/>
  <c r="X37"/>
  <c r="Y37" s="1"/>
  <c r="H13"/>
  <c r="I25" s="1"/>
  <c r="Q31" i="6" s="1"/>
  <c r="I21" i="24"/>
  <c r="Q27" i="6" s="1"/>
  <c r="E15" i="24"/>
  <c r="E16" s="1"/>
  <c r="X50" i="23"/>
  <c r="Y50" s="1"/>
  <c r="X46"/>
  <c r="Y46" s="1"/>
  <c r="X44"/>
  <c r="Y44" s="1"/>
  <c r="X18"/>
  <c r="Y18" s="1"/>
  <c r="X49"/>
  <c r="Y49" s="1"/>
  <c r="X45"/>
  <c r="Y45" s="1"/>
  <c r="X43"/>
  <c r="Y43" s="1"/>
  <c r="X25"/>
  <c r="Y25" s="1"/>
  <c r="X14"/>
  <c r="Y14" s="1"/>
  <c r="X15"/>
  <c r="Y15" s="1"/>
  <c r="I18"/>
  <c r="H14"/>
  <c r="I26" s="1"/>
  <c r="H12"/>
  <c r="I24" s="1"/>
  <c r="X48"/>
  <c r="Y48" s="1"/>
  <c r="X40"/>
  <c r="Y40" s="1"/>
  <c r="X17"/>
  <c r="Y17" s="1"/>
  <c r="X13"/>
  <c r="Y13" s="1"/>
  <c r="X41"/>
  <c r="Y41" s="1"/>
  <c r="X26"/>
  <c r="Y26" s="1"/>
  <c r="X39"/>
  <c r="Y39" s="1"/>
  <c r="X42"/>
  <c r="Y42" s="1"/>
  <c r="I21"/>
  <c r="X38"/>
  <c r="Y38" s="1"/>
  <c r="X12"/>
  <c r="Y12" s="1"/>
  <c r="X37"/>
  <c r="Y37" s="1"/>
  <c r="X47" i="22"/>
  <c r="Y47" s="1"/>
  <c r="X16"/>
  <c r="Y16" s="1"/>
  <c r="X50"/>
  <c r="Y50" s="1"/>
  <c r="X46"/>
  <c r="Y46" s="1"/>
  <c r="X44"/>
  <c r="Y44" s="1"/>
  <c r="X18"/>
  <c r="Y18" s="1"/>
  <c r="X49"/>
  <c r="Y49" s="1"/>
  <c r="X45"/>
  <c r="Y45" s="1"/>
  <c r="X43"/>
  <c r="Y43" s="1"/>
  <c r="X25"/>
  <c r="Y25" s="1"/>
  <c r="X14"/>
  <c r="Y14" s="1"/>
  <c r="X15"/>
  <c r="Y15" s="1"/>
  <c r="E15"/>
  <c r="E16" s="1"/>
  <c r="I19"/>
  <c r="H13"/>
  <c r="I25" s="1"/>
  <c r="N31" i="6" s="1"/>
  <c r="X38" i="22"/>
  <c r="Y38" s="1"/>
  <c r="X12"/>
  <c r="Y12" s="1"/>
  <c r="X37"/>
  <c r="Y37" s="1"/>
  <c r="I18"/>
  <c r="H14"/>
  <c r="I26" s="1"/>
  <c r="N32" i="6" s="1"/>
  <c r="H9" i="22"/>
  <c r="X54" i="21"/>
  <c r="Y54" s="1"/>
  <c r="X52"/>
  <c r="Y52" s="1"/>
  <c r="X53"/>
  <c r="Y53" s="1"/>
  <c r="X51"/>
  <c r="Y51" s="1"/>
  <c r="I18"/>
  <c r="H11"/>
  <c r="I23" s="1"/>
  <c r="M29" i="6" s="1"/>
  <c r="H10" i="21"/>
  <c r="I22" s="1"/>
  <c r="M28" i="6" s="1"/>
  <c r="X48" i="21"/>
  <c r="Y48" s="1"/>
  <c r="X40"/>
  <c r="Y40" s="1"/>
  <c r="X17"/>
  <c r="Y17" s="1"/>
  <c r="X13"/>
  <c r="Y13" s="1"/>
  <c r="X41"/>
  <c r="Y41" s="1"/>
  <c r="X26"/>
  <c r="Y26" s="1"/>
  <c r="X39"/>
  <c r="Y39" s="1"/>
  <c r="X42"/>
  <c r="Y42" s="1"/>
  <c r="X47"/>
  <c r="Y47" s="1"/>
  <c r="X16"/>
  <c r="Y16" s="1"/>
  <c r="I21"/>
  <c r="M27" i="6" s="1"/>
  <c r="H15" i="21"/>
  <c r="H16" s="1"/>
  <c r="X48" i="20"/>
  <c r="Y48" s="1"/>
  <c r="X40"/>
  <c r="Y40" s="1"/>
  <c r="X13"/>
  <c r="Y13" s="1"/>
  <c r="X41"/>
  <c r="Y41" s="1"/>
  <c r="X26"/>
  <c r="Y26" s="1"/>
  <c r="X39"/>
  <c r="Y39" s="1"/>
  <c r="X42"/>
  <c r="Y42" s="1"/>
  <c r="X17"/>
  <c r="Y17" s="1"/>
  <c r="I21"/>
  <c r="L27" i="6" s="1"/>
  <c r="E15" i="20"/>
  <c r="E16" s="1"/>
  <c r="X47"/>
  <c r="Y47" s="1"/>
  <c r="X16"/>
  <c r="Y16" s="1"/>
  <c r="X50"/>
  <c r="Y50" s="1"/>
  <c r="X46"/>
  <c r="Y46" s="1"/>
  <c r="X44"/>
  <c r="Y44" s="1"/>
  <c r="X18"/>
  <c r="Y18" s="1"/>
  <c r="X49"/>
  <c r="Y49" s="1"/>
  <c r="X45"/>
  <c r="Y45" s="1"/>
  <c r="X43"/>
  <c r="Y43" s="1"/>
  <c r="X25"/>
  <c r="Y25" s="1"/>
  <c r="X14"/>
  <c r="Y14" s="1"/>
  <c r="X15"/>
  <c r="Y15" s="1"/>
  <c r="H14"/>
  <c r="I26" s="1"/>
  <c r="L32" i="6" s="1"/>
  <c r="H10" i="20"/>
  <c r="I22" s="1"/>
  <c r="I18"/>
  <c r="X38" i="19"/>
  <c r="Y38" s="1"/>
  <c r="X12"/>
  <c r="Y12" s="1"/>
  <c r="X37"/>
  <c r="Y37" s="1"/>
  <c r="E15"/>
  <c r="E16" s="1"/>
  <c r="X47"/>
  <c r="Y47" s="1"/>
  <c r="X16"/>
  <c r="Y16" s="1"/>
  <c r="X50"/>
  <c r="Y50" s="1"/>
  <c r="X46"/>
  <c r="Y46" s="1"/>
  <c r="X44"/>
  <c r="Y44" s="1"/>
  <c r="X18"/>
  <c r="Y18" s="1"/>
  <c r="X49"/>
  <c r="Y49" s="1"/>
  <c r="X45"/>
  <c r="Y45" s="1"/>
  <c r="X43"/>
  <c r="Y43" s="1"/>
  <c r="X25"/>
  <c r="Y25" s="1"/>
  <c r="X14"/>
  <c r="Y14" s="1"/>
  <c r="X15"/>
  <c r="Y15" s="1"/>
  <c r="X48"/>
  <c r="Y48" s="1"/>
  <c r="X40"/>
  <c r="Y40" s="1"/>
  <c r="X17"/>
  <c r="Y17" s="1"/>
  <c r="X41"/>
  <c r="Y41" s="1"/>
  <c r="X26"/>
  <c r="Y26" s="1"/>
  <c r="X39"/>
  <c r="Y39" s="1"/>
  <c r="X13"/>
  <c r="Y13" s="1"/>
  <c r="X42"/>
  <c r="Y42" s="1"/>
  <c r="H14"/>
  <c r="I26" s="1"/>
  <c r="K32" i="6" s="1"/>
  <c r="I18" i="19"/>
  <c r="I21"/>
  <c r="K27" i="6" s="1"/>
  <c r="X48" i="18"/>
  <c r="Y48" s="1"/>
  <c r="X40"/>
  <c r="Y40" s="1"/>
  <c r="X17"/>
  <c r="Y17" s="1"/>
  <c r="X13"/>
  <c r="Y13" s="1"/>
  <c r="X41"/>
  <c r="Y41" s="1"/>
  <c r="X26"/>
  <c r="Y26" s="1"/>
  <c r="X39"/>
  <c r="Y39" s="1"/>
  <c r="X42"/>
  <c r="Y42" s="1"/>
  <c r="X50"/>
  <c r="Y50" s="1"/>
  <c r="X46"/>
  <c r="Y46" s="1"/>
  <c r="X44"/>
  <c r="Y44" s="1"/>
  <c r="X18"/>
  <c r="Y18" s="1"/>
  <c r="X49"/>
  <c r="Y49" s="1"/>
  <c r="X45"/>
  <c r="Y45" s="1"/>
  <c r="X43"/>
  <c r="Y43" s="1"/>
  <c r="X25"/>
  <c r="Y25" s="1"/>
  <c r="X14"/>
  <c r="Y14" s="1"/>
  <c r="X15"/>
  <c r="Y15" s="1"/>
  <c r="X38"/>
  <c r="Y38" s="1"/>
  <c r="X12"/>
  <c r="Y12" s="1"/>
  <c r="X37"/>
  <c r="Y37" s="1"/>
  <c r="I21"/>
  <c r="X47"/>
  <c r="Y47" s="1"/>
  <c r="X16"/>
  <c r="Y16" s="1"/>
  <c r="I18"/>
  <c r="H14"/>
  <c r="I26" s="1"/>
  <c r="J32" i="6" s="1"/>
  <c r="E15" i="18"/>
  <c r="E16" s="1"/>
  <c r="H18" i="14"/>
  <c r="I18" s="1"/>
  <c r="H19"/>
  <c r="I19" s="1"/>
  <c r="B5" i="16"/>
  <c r="C16" s="1"/>
  <c r="H17" s="1"/>
  <c r="I17" s="1"/>
  <c r="B5" i="13"/>
  <c r="C16" s="1"/>
  <c r="H17" s="1"/>
  <c r="I17" s="1"/>
  <c r="B5" i="14"/>
  <c r="C18" s="1"/>
  <c r="B5" i="15"/>
  <c r="C17" s="1"/>
  <c r="E8" s="1"/>
  <c r="I40" i="16"/>
  <c r="K40" s="1"/>
  <c r="B60" i="6" s="1"/>
  <c r="C21" i="16"/>
  <c r="H16"/>
  <c r="I16" s="1"/>
  <c r="R11"/>
  <c r="E11"/>
  <c r="B10"/>
  <c r="R9"/>
  <c r="D9"/>
  <c r="E9"/>
  <c r="R8"/>
  <c r="B8" s="1"/>
  <c r="E7"/>
  <c r="I6"/>
  <c r="I40" i="15"/>
  <c r="K40" s="1"/>
  <c r="B58" i="6" s="1"/>
  <c r="C21" i="15"/>
  <c r="E13"/>
  <c r="R12"/>
  <c r="E12"/>
  <c r="B11"/>
  <c r="E11" s="1"/>
  <c r="R10"/>
  <c r="E10"/>
  <c r="R9"/>
  <c r="B9"/>
  <c r="I7"/>
  <c r="I41" i="14"/>
  <c r="J41" s="1"/>
  <c r="C22"/>
  <c r="R13"/>
  <c r="E13"/>
  <c r="B12"/>
  <c r="R11"/>
  <c r="E11"/>
  <c r="R10"/>
  <c r="B10" s="1"/>
  <c r="E9"/>
  <c r="I8"/>
  <c r="I40" i="13"/>
  <c r="K40" s="1"/>
  <c r="B59" i="6" s="1"/>
  <c r="C21" i="13"/>
  <c r="H16"/>
  <c r="I16" s="1"/>
  <c r="R11"/>
  <c r="E11"/>
  <c r="B10"/>
  <c r="R9"/>
  <c r="R8"/>
  <c r="B8" s="1"/>
  <c r="I6"/>
  <c r="I5" i="12"/>
  <c r="J5"/>
  <c r="K5"/>
  <c r="L5"/>
  <c r="M5"/>
  <c r="H5"/>
  <c r="K94" i="6" l="1"/>
  <c r="I94" s="1"/>
  <c r="O30"/>
  <c r="E12" i="34"/>
  <c r="F12" s="1"/>
  <c r="E38"/>
  <c r="F38" s="1"/>
  <c r="E9"/>
  <c r="F9" s="1"/>
  <c r="E7" i="13"/>
  <c r="H17" i="15"/>
  <c r="I17" s="1"/>
  <c r="H18"/>
  <c r="I18" s="1"/>
  <c r="K91" i="6"/>
  <c r="I91" s="1"/>
  <c r="O27"/>
  <c r="E54" i="30"/>
  <c r="F54" s="1"/>
  <c r="E51"/>
  <c r="F51" s="1"/>
  <c r="E53"/>
  <c r="F53" s="1"/>
  <c r="E52"/>
  <c r="F52" s="1"/>
  <c r="E42"/>
  <c r="F42" s="1"/>
  <c r="E39"/>
  <c r="F39" s="1"/>
  <c r="E13"/>
  <c r="F13" s="1"/>
  <c r="E41"/>
  <c r="F41" s="1"/>
  <c r="E17"/>
  <c r="F17" s="1"/>
  <c r="E40"/>
  <c r="F40" s="1"/>
  <c r="E26"/>
  <c r="F26" s="1"/>
  <c r="E48"/>
  <c r="F48" s="1"/>
  <c r="J40" i="6"/>
  <c r="I40" s="1"/>
  <c r="I45"/>
  <c r="E37" i="30" s="1"/>
  <c r="F37" s="1"/>
  <c r="E16"/>
  <c r="F16" s="1"/>
  <c r="E47"/>
  <c r="F47" s="1"/>
  <c r="E9" i="13"/>
  <c r="H15" i="23"/>
  <c r="H16" s="1"/>
  <c r="K96" i="6"/>
  <c r="I96" s="1"/>
  <c r="O32"/>
  <c r="E36" i="30"/>
  <c r="F36" s="1"/>
  <c r="E31"/>
  <c r="F31" s="1"/>
  <c r="I46" i="6"/>
  <c r="I48" s="1"/>
  <c r="E34" i="30"/>
  <c r="F34" s="1"/>
  <c r="E35"/>
  <c r="F35" s="1"/>
  <c r="E33"/>
  <c r="F33" s="1"/>
  <c r="E11"/>
  <c r="F11" s="1"/>
  <c r="E32"/>
  <c r="F32" s="1"/>
  <c r="E24"/>
  <c r="F24" s="1"/>
  <c r="F28" s="1"/>
  <c r="E10"/>
  <c r="F10" s="1"/>
  <c r="K95" i="6"/>
  <c r="I95" s="1"/>
  <c r="O31"/>
  <c r="I31" s="1"/>
  <c r="E49" i="34"/>
  <c r="F49" s="1"/>
  <c r="E45"/>
  <c r="F45" s="1"/>
  <c r="E25"/>
  <c r="F25" s="1"/>
  <c r="E50"/>
  <c r="F50" s="1"/>
  <c r="E46"/>
  <c r="F46" s="1"/>
  <c r="E43"/>
  <c r="F43" s="1"/>
  <c r="E18"/>
  <c r="F18" s="1"/>
  <c r="E14"/>
  <c r="F14" s="1"/>
  <c r="E44"/>
  <c r="F44" s="1"/>
  <c r="E15"/>
  <c r="F15" s="1"/>
  <c r="Y59" i="33"/>
  <c r="Y60" s="1"/>
  <c r="I43" i="32"/>
  <c r="I30"/>
  <c r="Y56"/>
  <c r="Y20"/>
  <c r="Y58" s="1"/>
  <c r="Y58" i="31"/>
  <c r="X47" i="28"/>
  <c r="Y47" s="1"/>
  <c r="X16"/>
  <c r="Y16" s="1"/>
  <c r="X36"/>
  <c r="Y36" s="1"/>
  <c r="X34"/>
  <c r="Y34" s="1"/>
  <c r="X32"/>
  <c r="Y32" s="1"/>
  <c r="X35"/>
  <c r="Y35" s="1"/>
  <c r="X33"/>
  <c r="Y33" s="1"/>
  <c r="X31"/>
  <c r="Y31" s="1"/>
  <c r="X11"/>
  <c r="Y11" s="1"/>
  <c r="I28"/>
  <c r="X24"/>
  <c r="Y24" s="1"/>
  <c r="Y28" s="1"/>
  <c r="X10"/>
  <c r="Y10" s="1"/>
  <c r="X9"/>
  <c r="Y9" s="1"/>
  <c r="H17"/>
  <c r="I17"/>
  <c r="X54"/>
  <c r="Y54" s="1"/>
  <c r="X52"/>
  <c r="Y52" s="1"/>
  <c r="X53"/>
  <c r="Y53" s="1"/>
  <c r="X51"/>
  <c r="Y51" s="1"/>
  <c r="L28" i="6"/>
  <c r="H15" i="24"/>
  <c r="H16" s="1"/>
  <c r="I17" s="1"/>
  <c r="I15" i="27"/>
  <c r="H15"/>
  <c r="X46"/>
  <c r="Y46" s="1"/>
  <c r="X15"/>
  <c r="Y15" s="1"/>
  <c r="X14"/>
  <c r="Y14" s="1"/>
  <c r="X13"/>
  <c r="Y13" s="1"/>
  <c r="X48"/>
  <c r="Y48" s="1"/>
  <c r="X44"/>
  <c r="Y44" s="1"/>
  <c r="X42"/>
  <c r="Y42" s="1"/>
  <c r="X24"/>
  <c r="Y24" s="1"/>
  <c r="X17"/>
  <c r="Y17" s="1"/>
  <c r="X49"/>
  <c r="Y49" s="1"/>
  <c r="X45"/>
  <c r="Y45" s="1"/>
  <c r="X43"/>
  <c r="Y43" s="1"/>
  <c r="X8"/>
  <c r="Y8" s="1"/>
  <c r="X34"/>
  <c r="Y34" s="1"/>
  <c r="X32"/>
  <c r="Y32" s="1"/>
  <c r="X30"/>
  <c r="Y30" s="1"/>
  <c r="I27"/>
  <c r="X23"/>
  <c r="Y23" s="1"/>
  <c r="Y27" s="1"/>
  <c r="X10"/>
  <c r="Y10" s="1"/>
  <c r="X35"/>
  <c r="Y35" s="1"/>
  <c r="X33"/>
  <c r="Y33" s="1"/>
  <c r="X31"/>
  <c r="Y31" s="1"/>
  <c r="X9"/>
  <c r="Y9" s="1"/>
  <c r="X52" i="26"/>
  <c r="Y52" s="1"/>
  <c r="X50"/>
  <c r="Y50" s="1"/>
  <c r="X53"/>
  <c r="Y53" s="1"/>
  <c r="X51"/>
  <c r="Y51" s="1"/>
  <c r="X14"/>
  <c r="Y14" s="1"/>
  <c r="X13"/>
  <c r="Y13" s="1"/>
  <c r="X48"/>
  <c r="Y48" s="1"/>
  <c r="X44"/>
  <c r="Y44" s="1"/>
  <c r="X42"/>
  <c r="Y42" s="1"/>
  <c r="X24"/>
  <c r="Y24" s="1"/>
  <c r="X17"/>
  <c r="Y17" s="1"/>
  <c r="X49"/>
  <c r="Y49" s="1"/>
  <c r="X45"/>
  <c r="Y45" s="1"/>
  <c r="X43"/>
  <c r="Y43" s="1"/>
  <c r="I20"/>
  <c r="N15" i="6" s="1"/>
  <c r="H13" i="26"/>
  <c r="H14" s="1"/>
  <c r="I20" i="25"/>
  <c r="M15" i="6" s="1"/>
  <c r="H13" i="25"/>
  <c r="H14" s="1"/>
  <c r="X14"/>
  <c r="Y14" s="1"/>
  <c r="X13"/>
  <c r="Y13" s="1"/>
  <c r="X48"/>
  <c r="Y48" s="1"/>
  <c r="X44"/>
  <c r="Y44" s="1"/>
  <c r="X42"/>
  <c r="Y42" s="1"/>
  <c r="X24"/>
  <c r="Y24" s="1"/>
  <c r="X17"/>
  <c r="Y17" s="1"/>
  <c r="X49"/>
  <c r="Y49" s="1"/>
  <c r="X45"/>
  <c r="Y45" s="1"/>
  <c r="X43"/>
  <c r="Y43" s="1"/>
  <c r="X36" i="24"/>
  <c r="Y36" s="1"/>
  <c r="X34"/>
  <c r="Y34" s="1"/>
  <c r="X32"/>
  <c r="Y32" s="1"/>
  <c r="X35"/>
  <c r="Y35" s="1"/>
  <c r="X33"/>
  <c r="Y33" s="1"/>
  <c r="X31"/>
  <c r="Y31" s="1"/>
  <c r="X11"/>
  <c r="Y11" s="1"/>
  <c r="I28"/>
  <c r="X24"/>
  <c r="Y24" s="1"/>
  <c r="X10"/>
  <c r="Y10" s="1"/>
  <c r="X9"/>
  <c r="Y9" s="1"/>
  <c r="X48"/>
  <c r="Y48" s="1"/>
  <c r="X40"/>
  <c r="Y40" s="1"/>
  <c r="X17"/>
  <c r="Y17" s="1"/>
  <c r="X13"/>
  <c r="Y13" s="1"/>
  <c r="X41"/>
  <c r="Y41" s="1"/>
  <c r="X26"/>
  <c r="Y26" s="1"/>
  <c r="X39"/>
  <c r="Y39" s="1"/>
  <c r="X42"/>
  <c r="Y42" s="1"/>
  <c r="X50"/>
  <c r="Y50" s="1"/>
  <c r="X46"/>
  <c r="Y46" s="1"/>
  <c r="X44"/>
  <c r="Y44" s="1"/>
  <c r="X18"/>
  <c r="Y18" s="1"/>
  <c r="X49"/>
  <c r="Y49" s="1"/>
  <c r="X45"/>
  <c r="Y45" s="1"/>
  <c r="X43"/>
  <c r="Y43" s="1"/>
  <c r="X25"/>
  <c r="Y25" s="1"/>
  <c r="X14"/>
  <c r="Y14" s="1"/>
  <c r="X15"/>
  <c r="Y15" s="1"/>
  <c r="X47" i="23"/>
  <c r="Y47" s="1"/>
  <c r="X16"/>
  <c r="Y16" s="1"/>
  <c r="X36"/>
  <c r="Y36" s="1"/>
  <c r="X34"/>
  <c r="Y34" s="1"/>
  <c r="X32"/>
  <c r="Y32" s="1"/>
  <c r="X35"/>
  <c r="Y35" s="1"/>
  <c r="X33"/>
  <c r="Y33" s="1"/>
  <c r="X31"/>
  <c r="Y31" s="1"/>
  <c r="X11"/>
  <c r="Y11" s="1"/>
  <c r="I28"/>
  <c r="X24"/>
  <c r="Y24" s="1"/>
  <c r="Y28" s="1"/>
  <c r="X10"/>
  <c r="Y10" s="1"/>
  <c r="X9"/>
  <c r="Y9" s="1"/>
  <c r="H17"/>
  <c r="I17"/>
  <c r="X54"/>
  <c r="Y54" s="1"/>
  <c r="X52"/>
  <c r="Y52" s="1"/>
  <c r="X53"/>
  <c r="Y53" s="1"/>
  <c r="X51"/>
  <c r="Y51" s="1"/>
  <c r="I21" i="22"/>
  <c r="N27" i="6" s="1"/>
  <c r="H15" i="22"/>
  <c r="H16" s="1"/>
  <c r="X48"/>
  <c r="Y48" s="1"/>
  <c r="X40"/>
  <c r="Y40" s="1"/>
  <c r="X17"/>
  <c r="Y17" s="1"/>
  <c r="X13"/>
  <c r="Y13" s="1"/>
  <c r="X41"/>
  <c r="Y41" s="1"/>
  <c r="X26"/>
  <c r="Y26" s="1"/>
  <c r="X39"/>
  <c r="Y39" s="1"/>
  <c r="X42"/>
  <c r="Y42" s="1"/>
  <c r="X54"/>
  <c r="Y54" s="1"/>
  <c r="X52"/>
  <c r="Y52" s="1"/>
  <c r="X53"/>
  <c r="Y53" s="1"/>
  <c r="X51"/>
  <c r="Y51" s="1"/>
  <c r="X36" i="21"/>
  <c r="Y36" s="1"/>
  <c r="X34"/>
  <c r="Y34" s="1"/>
  <c r="X32"/>
  <c r="Y32" s="1"/>
  <c r="X35"/>
  <c r="Y35" s="1"/>
  <c r="X33"/>
  <c r="Y33" s="1"/>
  <c r="X31"/>
  <c r="Y31" s="1"/>
  <c r="X11"/>
  <c r="Y11" s="1"/>
  <c r="X9"/>
  <c r="Y9" s="1"/>
  <c r="I28"/>
  <c r="X24"/>
  <c r="Y24" s="1"/>
  <c r="X10"/>
  <c r="Y10" s="1"/>
  <c r="X50"/>
  <c r="Y50" s="1"/>
  <c r="X46"/>
  <c r="Y46" s="1"/>
  <c r="X44"/>
  <c r="Y44" s="1"/>
  <c r="X18"/>
  <c r="Y18" s="1"/>
  <c r="X49"/>
  <c r="Y49" s="1"/>
  <c r="X45"/>
  <c r="Y45" s="1"/>
  <c r="X43"/>
  <c r="Y43" s="1"/>
  <c r="X25"/>
  <c r="Y25" s="1"/>
  <c r="X14"/>
  <c r="Y14" s="1"/>
  <c r="X15"/>
  <c r="Y15" s="1"/>
  <c r="H17"/>
  <c r="I17"/>
  <c r="X38"/>
  <c r="Y38" s="1"/>
  <c r="X12"/>
  <c r="Y12" s="1"/>
  <c r="X37"/>
  <c r="Y37" s="1"/>
  <c r="X38" i="20"/>
  <c r="Y38" s="1"/>
  <c r="X12"/>
  <c r="Y12" s="1"/>
  <c r="X37"/>
  <c r="Y37" s="1"/>
  <c r="X36"/>
  <c r="Y36" s="1"/>
  <c r="X34"/>
  <c r="Y34" s="1"/>
  <c r="X32"/>
  <c r="Y32" s="1"/>
  <c r="X35"/>
  <c r="Y35" s="1"/>
  <c r="X33"/>
  <c r="Y33" s="1"/>
  <c r="X31"/>
  <c r="Y31" s="1"/>
  <c r="X11"/>
  <c r="Y11" s="1"/>
  <c r="I28"/>
  <c r="X24"/>
  <c r="Y24" s="1"/>
  <c r="Y28" s="1"/>
  <c r="X10"/>
  <c r="Y10" s="1"/>
  <c r="X9"/>
  <c r="Y9" s="1"/>
  <c r="H15"/>
  <c r="H16" s="1"/>
  <c r="X54"/>
  <c r="Y54" s="1"/>
  <c r="X52"/>
  <c r="Y52" s="1"/>
  <c r="X53"/>
  <c r="Y53" s="1"/>
  <c r="X51"/>
  <c r="Y51" s="1"/>
  <c r="X54" i="19"/>
  <c r="Y54" s="1"/>
  <c r="X52"/>
  <c r="Y52" s="1"/>
  <c r="X53"/>
  <c r="Y53" s="1"/>
  <c r="X51"/>
  <c r="Y51" s="1"/>
  <c r="X36"/>
  <c r="Y36" s="1"/>
  <c r="X34"/>
  <c r="Y34" s="1"/>
  <c r="X32"/>
  <c r="Y32" s="1"/>
  <c r="X35"/>
  <c r="Y35" s="1"/>
  <c r="X33"/>
  <c r="Y33" s="1"/>
  <c r="X31"/>
  <c r="Y31" s="1"/>
  <c r="X11"/>
  <c r="Y11" s="1"/>
  <c r="I28"/>
  <c r="X24"/>
  <c r="Y24" s="1"/>
  <c r="Y28" s="1"/>
  <c r="X10"/>
  <c r="Y10" s="1"/>
  <c r="X9"/>
  <c r="Y9" s="1"/>
  <c r="H15"/>
  <c r="H16" s="1"/>
  <c r="X54" i="18"/>
  <c r="Y54" s="1"/>
  <c r="X52"/>
  <c r="Y52" s="1"/>
  <c r="X53"/>
  <c r="Y53" s="1"/>
  <c r="X51"/>
  <c r="Y51" s="1"/>
  <c r="H15"/>
  <c r="H16" s="1"/>
  <c r="X36"/>
  <c r="Y36" s="1"/>
  <c r="X34"/>
  <c r="Y34" s="1"/>
  <c r="X32"/>
  <c r="Y32" s="1"/>
  <c r="X35"/>
  <c r="Y35" s="1"/>
  <c r="X33"/>
  <c r="Y33" s="1"/>
  <c r="X31"/>
  <c r="Y31" s="1"/>
  <c r="X11"/>
  <c r="Y11" s="1"/>
  <c r="I28"/>
  <c r="X24"/>
  <c r="Y24" s="1"/>
  <c r="Y28" s="1"/>
  <c r="X10"/>
  <c r="Y10" s="1"/>
  <c r="X9"/>
  <c r="Y9" s="1"/>
  <c r="H14" i="14"/>
  <c r="I26" s="1"/>
  <c r="H10"/>
  <c r="I22" s="1"/>
  <c r="P28" i="6" s="1"/>
  <c r="D14" i="14"/>
  <c r="D11" i="16"/>
  <c r="D13" i="15"/>
  <c r="K41" i="14"/>
  <c r="B61" i="6" s="1"/>
  <c r="H12" i="16"/>
  <c r="I25" s="1"/>
  <c r="H12" i="13"/>
  <c r="I25" s="1"/>
  <c r="H9" i="15"/>
  <c r="I21" s="1"/>
  <c r="H7" i="16"/>
  <c r="I20" s="1"/>
  <c r="D7"/>
  <c r="H9"/>
  <c r="I22" s="1"/>
  <c r="E10"/>
  <c r="H11"/>
  <c r="I24" s="1"/>
  <c r="H11" i="15"/>
  <c r="I23" s="1"/>
  <c r="H13"/>
  <c r="I25" s="1"/>
  <c r="D9" i="13"/>
  <c r="H7"/>
  <c r="H13" s="1"/>
  <c r="H14" s="1"/>
  <c r="H11"/>
  <c r="I24" s="1"/>
  <c r="D7"/>
  <c r="H9"/>
  <c r="I22" s="1"/>
  <c r="E10"/>
  <c r="H10"/>
  <c r="I23" s="1"/>
  <c r="D11"/>
  <c r="E12" i="14"/>
  <c r="H8" i="16"/>
  <c r="I21" s="1"/>
  <c r="D8"/>
  <c r="E8"/>
  <c r="D10"/>
  <c r="H10"/>
  <c r="I23" s="1"/>
  <c r="E12"/>
  <c r="D12"/>
  <c r="D8" i="15"/>
  <c r="H8"/>
  <c r="E9"/>
  <c r="E14" s="1"/>
  <c r="E15" s="1"/>
  <c r="D10"/>
  <c r="H10"/>
  <c r="I22" s="1"/>
  <c r="D11"/>
  <c r="D12"/>
  <c r="H12"/>
  <c r="I24" s="1"/>
  <c r="D9"/>
  <c r="D9" i="14"/>
  <c r="H9"/>
  <c r="E10"/>
  <c r="D11"/>
  <c r="H11"/>
  <c r="I23" s="1"/>
  <c r="P29" i="6" s="1"/>
  <c r="I29" s="1"/>
  <c r="D12" i="14"/>
  <c r="H12"/>
  <c r="I24" s="1"/>
  <c r="P30" i="6" s="1"/>
  <c r="D13" i="14"/>
  <c r="H13"/>
  <c r="I25" s="1"/>
  <c r="P31" i="6" s="1"/>
  <c r="E14" i="14"/>
  <c r="D10"/>
  <c r="H8" i="13"/>
  <c r="I21" s="1"/>
  <c r="D8"/>
  <c r="E8"/>
  <c r="I20"/>
  <c r="D10"/>
  <c r="E12"/>
  <c r="D12"/>
  <c r="E26" i="29" l="1"/>
  <c r="F26" s="1"/>
  <c r="E48"/>
  <c r="F48" s="1"/>
  <c r="E42"/>
  <c r="F42" s="1"/>
  <c r="E39"/>
  <c r="F39" s="1"/>
  <c r="E13"/>
  <c r="F13" s="1"/>
  <c r="E41"/>
  <c r="F41" s="1"/>
  <c r="E17"/>
  <c r="F17" s="1"/>
  <c r="E40"/>
  <c r="F40" s="1"/>
  <c r="E46"/>
  <c r="F46" s="1"/>
  <c r="E25"/>
  <c r="F25" s="1"/>
  <c r="E49"/>
  <c r="F49" s="1"/>
  <c r="E50"/>
  <c r="F50" s="1"/>
  <c r="E45"/>
  <c r="F45" s="1"/>
  <c r="E14"/>
  <c r="F14" s="1"/>
  <c r="E15"/>
  <c r="F15" s="1"/>
  <c r="E18"/>
  <c r="F18" s="1"/>
  <c r="E44"/>
  <c r="F44" s="1"/>
  <c r="E43"/>
  <c r="F43" s="1"/>
  <c r="E41" i="34"/>
  <c r="F41" s="1"/>
  <c r="E42"/>
  <c r="F42" s="1"/>
  <c r="E26"/>
  <c r="F26" s="1"/>
  <c r="E17"/>
  <c r="F17" s="1"/>
  <c r="E13"/>
  <c r="F13" s="1"/>
  <c r="E39"/>
  <c r="F39" s="1"/>
  <c r="E48"/>
  <c r="F48" s="1"/>
  <c r="E40"/>
  <c r="F40" s="1"/>
  <c r="E53"/>
  <c r="F53" s="1"/>
  <c r="E54"/>
  <c r="F54" s="1"/>
  <c r="E51"/>
  <c r="F51" s="1"/>
  <c r="E52"/>
  <c r="F52" s="1"/>
  <c r="E38" i="30"/>
  <c r="F38" s="1"/>
  <c r="E12"/>
  <c r="F12" s="1"/>
  <c r="E9"/>
  <c r="F9" s="1"/>
  <c r="I33" i="6"/>
  <c r="E37" i="29" s="1"/>
  <c r="F37" s="1"/>
  <c r="E16" i="34"/>
  <c r="F16" s="1"/>
  <c r="E12" i="35"/>
  <c r="F12" s="1"/>
  <c r="F20" s="1"/>
  <c r="F58" s="1"/>
  <c r="F59" s="1"/>
  <c r="F60" s="1"/>
  <c r="E47" i="34"/>
  <c r="F47" s="1"/>
  <c r="Y20" i="19"/>
  <c r="Y19" i="27"/>
  <c r="I28" i="6"/>
  <c r="E12" i="29" s="1"/>
  <c r="F12" s="1"/>
  <c r="E33" i="34"/>
  <c r="F33" s="1"/>
  <c r="E34"/>
  <c r="F34" s="1"/>
  <c r="E35"/>
  <c r="F35" s="1"/>
  <c r="E31"/>
  <c r="F31" s="1"/>
  <c r="E10"/>
  <c r="F10" s="1"/>
  <c r="E36"/>
  <c r="F36" s="1"/>
  <c r="E32"/>
  <c r="F32" s="1"/>
  <c r="E24"/>
  <c r="F24" s="1"/>
  <c r="F28" s="1"/>
  <c r="E11"/>
  <c r="F11" s="1"/>
  <c r="I98" i="6"/>
  <c r="I100" s="1"/>
  <c r="E13" i="13"/>
  <c r="E14" s="1"/>
  <c r="H13" i="16"/>
  <c r="H14" s="1"/>
  <c r="I30" i="6"/>
  <c r="X53" i="14"/>
  <c r="Y53" s="1"/>
  <c r="P32" i="6"/>
  <c r="I32" s="1"/>
  <c r="I21"/>
  <c r="Y28" i="21"/>
  <c r="F56" i="30"/>
  <c r="Y60" i="32"/>
  <c r="Y59"/>
  <c r="Y59" i="31"/>
  <c r="Y60" s="1"/>
  <c r="E38" i="29"/>
  <c r="F38" s="1"/>
  <c r="E9"/>
  <c r="F9" s="1"/>
  <c r="Y20" i="28"/>
  <c r="I43"/>
  <c r="I30"/>
  <c r="Y56"/>
  <c r="Y20" i="20"/>
  <c r="H17" i="24"/>
  <c r="Y55" i="27"/>
  <c r="Y57" s="1"/>
  <c r="I42"/>
  <c r="I29"/>
  <c r="X8" i="26"/>
  <c r="Y8" s="1"/>
  <c r="X34"/>
  <c r="Y34" s="1"/>
  <c r="X32"/>
  <c r="Y32" s="1"/>
  <c r="X30"/>
  <c r="Y30" s="1"/>
  <c r="I27"/>
  <c r="X23"/>
  <c r="Y23" s="1"/>
  <c r="Y27" s="1"/>
  <c r="X10"/>
  <c r="Y10" s="1"/>
  <c r="X35"/>
  <c r="Y35" s="1"/>
  <c r="X33"/>
  <c r="Y33" s="1"/>
  <c r="X31"/>
  <c r="Y31" s="1"/>
  <c r="X9"/>
  <c r="Y9" s="1"/>
  <c r="I15"/>
  <c r="H15"/>
  <c r="X8" i="25"/>
  <c r="Y8" s="1"/>
  <c r="X34"/>
  <c r="Y34" s="1"/>
  <c r="X32"/>
  <c r="Y32" s="1"/>
  <c r="X30"/>
  <c r="Y30" s="1"/>
  <c r="I27"/>
  <c r="X23"/>
  <c r="Y23" s="1"/>
  <c r="Y27" s="1"/>
  <c r="X10"/>
  <c r="Y10" s="1"/>
  <c r="X35"/>
  <c r="Y35" s="1"/>
  <c r="X33"/>
  <c r="Y33" s="1"/>
  <c r="X31"/>
  <c r="Y31" s="1"/>
  <c r="X9"/>
  <c r="Y9" s="1"/>
  <c r="I15"/>
  <c r="H15"/>
  <c r="Y20" i="24"/>
  <c r="I43"/>
  <c r="I30"/>
  <c r="Y28"/>
  <c r="Y56"/>
  <c r="Y20" i="23"/>
  <c r="I43"/>
  <c r="I30"/>
  <c r="Y56"/>
  <c r="X36" i="22"/>
  <c r="Y36" s="1"/>
  <c r="X34"/>
  <c r="Y34" s="1"/>
  <c r="X32"/>
  <c r="Y32" s="1"/>
  <c r="X35"/>
  <c r="Y35" s="1"/>
  <c r="X33"/>
  <c r="Y33" s="1"/>
  <c r="X31"/>
  <c r="Y31" s="1"/>
  <c r="X11"/>
  <c r="Y11" s="1"/>
  <c r="I28"/>
  <c r="X24"/>
  <c r="Y24" s="1"/>
  <c r="Y28" s="1"/>
  <c r="X10"/>
  <c r="Y10" s="1"/>
  <c r="X9"/>
  <c r="Y9" s="1"/>
  <c r="H17"/>
  <c r="I17"/>
  <c r="I43" i="21"/>
  <c r="I30"/>
  <c r="Y56"/>
  <c r="Y20"/>
  <c r="Y56" i="20"/>
  <c r="H17"/>
  <c r="I17"/>
  <c r="I43"/>
  <c r="I30"/>
  <c r="Y56" i="19"/>
  <c r="Y58" s="1"/>
  <c r="H17"/>
  <c r="I17"/>
  <c r="I43"/>
  <c r="I30"/>
  <c r="I30" i="18"/>
  <c r="I43"/>
  <c r="H17"/>
  <c r="I17"/>
  <c r="Y56"/>
  <c r="Y20"/>
  <c r="X51" i="14"/>
  <c r="Y51" s="1"/>
  <c r="X54"/>
  <c r="Y54" s="1"/>
  <c r="X52"/>
  <c r="Y52" s="1"/>
  <c r="E13" i="16"/>
  <c r="E14" s="1"/>
  <c r="X16" i="14"/>
  <c r="Y16" s="1"/>
  <c r="X47"/>
  <c r="Y47" s="1"/>
  <c r="X38"/>
  <c r="Y38" s="1"/>
  <c r="X12"/>
  <c r="Y12" s="1"/>
  <c r="X37"/>
  <c r="Y37" s="1"/>
  <c r="X17"/>
  <c r="Y17" s="1"/>
  <c r="X13"/>
  <c r="Y13" s="1"/>
  <c r="X48"/>
  <c r="Y48" s="1"/>
  <c r="X42"/>
  <c r="Y42" s="1"/>
  <c r="X40"/>
  <c r="Y40" s="1"/>
  <c r="X26"/>
  <c r="Y26" s="1"/>
  <c r="X41"/>
  <c r="Y41" s="1"/>
  <c r="X39"/>
  <c r="Y39" s="1"/>
  <c r="X50"/>
  <c r="Y50" s="1"/>
  <c r="X46"/>
  <c r="Y46" s="1"/>
  <c r="X44"/>
  <c r="Y44" s="1"/>
  <c r="X25"/>
  <c r="Y25" s="1"/>
  <c r="X18"/>
  <c r="Y18" s="1"/>
  <c r="X14"/>
  <c r="Y14" s="1"/>
  <c r="X15"/>
  <c r="Y15" s="1"/>
  <c r="X49"/>
  <c r="Y49" s="1"/>
  <c r="X45"/>
  <c r="Y45" s="1"/>
  <c r="X43"/>
  <c r="Y43" s="1"/>
  <c r="X46" i="13"/>
  <c r="Y46" s="1"/>
  <c r="X15"/>
  <c r="Y15" s="1"/>
  <c r="L18" i="6"/>
  <c r="X47" i="13"/>
  <c r="Y47" s="1"/>
  <c r="X40"/>
  <c r="Y40" s="1"/>
  <c r="X38"/>
  <c r="Y38" s="1"/>
  <c r="X16"/>
  <c r="Y16" s="1"/>
  <c r="X12"/>
  <c r="Y12" s="1"/>
  <c r="X41"/>
  <c r="Y41" s="1"/>
  <c r="X39"/>
  <c r="Y39" s="1"/>
  <c r="X25"/>
  <c r="Y25" s="1"/>
  <c r="L19" i="6"/>
  <c r="X51" i="13"/>
  <c r="Y51" s="1"/>
  <c r="X53"/>
  <c r="Y53" s="1"/>
  <c r="X52"/>
  <c r="Y52" s="1"/>
  <c r="X50"/>
  <c r="Y50" s="1"/>
  <c r="L20" i="6"/>
  <c r="X44" i="13"/>
  <c r="Y44" s="1"/>
  <c r="X42"/>
  <c r="Y42" s="1"/>
  <c r="X48"/>
  <c r="Y48" s="1"/>
  <c r="X14"/>
  <c r="Y14" s="1"/>
  <c r="X49"/>
  <c r="Y49" s="1"/>
  <c r="X45"/>
  <c r="Y45" s="1"/>
  <c r="X43"/>
  <c r="Y43" s="1"/>
  <c r="X24"/>
  <c r="Y24" s="1"/>
  <c r="X17"/>
  <c r="Y17" s="1"/>
  <c r="X13"/>
  <c r="Y13" s="1"/>
  <c r="L17" i="6"/>
  <c r="I27" i="13"/>
  <c r="X34"/>
  <c r="Y34" s="1"/>
  <c r="X32"/>
  <c r="Y32" s="1"/>
  <c r="X30"/>
  <c r="Y30" s="1"/>
  <c r="X23"/>
  <c r="Y23" s="1"/>
  <c r="X10"/>
  <c r="Y10" s="1"/>
  <c r="X8"/>
  <c r="Y8" s="1"/>
  <c r="X35"/>
  <c r="Y35" s="1"/>
  <c r="X33"/>
  <c r="Y33" s="1"/>
  <c r="X31"/>
  <c r="Y31" s="1"/>
  <c r="X9"/>
  <c r="Y9" s="1"/>
  <c r="L15" i="6"/>
  <c r="X36" i="13"/>
  <c r="Y36" s="1"/>
  <c r="X37"/>
  <c r="Y37" s="1"/>
  <c r="X11"/>
  <c r="Y11" s="1"/>
  <c r="L16" i="6"/>
  <c r="X50" i="16"/>
  <c r="Y50" s="1"/>
  <c r="X51"/>
  <c r="Y51" s="1"/>
  <c r="X52"/>
  <c r="Y52" s="1"/>
  <c r="X53"/>
  <c r="Y53" s="1"/>
  <c r="K20" i="6"/>
  <c r="X45" i="16"/>
  <c r="Y45" s="1"/>
  <c r="X43"/>
  <c r="Y43" s="1"/>
  <c r="X24"/>
  <c r="Y24" s="1"/>
  <c r="X48"/>
  <c r="Y48" s="1"/>
  <c r="X17"/>
  <c r="Y17" s="1"/>
  <c r="X13"/>
  <c r="Y13" s="1"/>
  <c r="X14"/>
  <c r="Y14" s="1"/>
  <c r="X49"/>
  <c r="Y49" s="1"/>
  <c r="X44"/>
  <c r="Y44" s="1"/>
  <c r="X42"/>
  <c r="Y42" s="1"/>
  <c r="K17" i="6"/>
  <c r="I27" i="16"/>
  <c r="I29" s="1"/>
  <c r="X15"/>
  <c r="Y15" s="1"/>
  <c r="X46"/>
  <c r="Y46" s="1"/>
  <c r="K18" i="6"/>
  <c r="X37" i="16"/>
  <c r="Y37" s="1"/>
  <c r="X11"/>
  <c r="Y11" s="1"/>
  <c r="X36"/>
  <c r="Y36" s="1"/>
  <c r="K16" i="6"/>
  <c r="X12" i="16"/>
  <c r="Y12" s="1"/>
  <c r="X47"/>
  <c r="Y47" s="1"/>
  <c r="X41"/>
  <c r="Y41" s="1"/>
  <c r="X39"/>
  <c r="Y39" s="1"/>
  <c r="X25"/>
  <c r="Y25" s="1"/>
  <c r="X16"/>
  <c r="Y16" s="1"/>
  <c r="X40"/>
  <c r="Y40" s="1"/>
  <c r="X38"/>
  <c r="Y38" s="1"/>
  <c r="K19" i="6"/>
  <c r="X35" i="16"/>
  <c r="Y35" s="1"/>
  <c r="X33"/>
  <c r="Y33" s="1"/>
  <c r="X31"/>
  <c r="Y31" s="1"/>
  <c r="X9"/>
  <c r="Y9" s="1"/>
  <c r="X23"/>
  <c r="Y23" s="1"/>
  <c r="X8"/>
  <c r="Y8" s="1"/>
  <c r="X34"/>
  <c r="Y34" s="1"/>
  <c r="X32"/>
  <c r="Y32" s="1"/>
  <c r="X30"/>
  <c r="Y30" s="1"/>
  <c r="X10"/>
  <c r="Y10" s="1"/>
  <c r="K15" i="6"/>
  <c r="X46" i="15"/>
  <c r="Y46" s="1"/>
  <c r="X15"/>
  <c r="Y15" s="1"/>
  <c r="J18" i="6"/>
  <c r="X38" i="15"/>
  <c r="Y38" s="1"/>
  <c r="X47"/>
  <c r="Y47" s="1"/>
  <c r="X39"/>
  <c r="Y39" s="1"/>
  <c r="X40"/>
  <c r="Y40" s="1"/>
  <c r="X41"/>
  <c r="Y41" s="1"/>
  <c r="X25"/>
  <c r="Y25" s="1"/>
  <c r="X16"/>
  <c r="Y16" s="1"/>
  <c r="X12"/>
  <c r="Y12" s="1"/>
  <c r="J19" i="6"/>
  <c r="E37" i="12"/>
  <c r="X36" i="15"/>
  <c r="Y36" s="1"/>
  <c r="X11"/>
  <c r="Y11" s="1"/>
  <c r="X37"/>
  <c r="Y37" s="1"/>
  <c r="J16" i="6"/>
  <c r="X50" i="15"/>
  <c r="Y50" s="1"/>
  <c r="X51"/>
  <c r="Y51" s="1"/>
  <c r="X52"/>
  <c r="Y52" s="1"/>
  <c r="X53"/>
  <c r="Y53" s="1"/>
  <c r="J20" i="6"/>
  <c r="X49" i="15"/>
  <c r="Y49" s="1"/>
  <c r="X13"/>
  <c r="Y13" s="1"/>
  <c r="X14"/>
  <c r="Y14" s="1"/>
  <c r="X48"/>
  <c r="Y48" s="1"/>
  <c r="X44"/>
  <c r="Y44" s="1"/>
  <c r="X24"/>
  <c r="Y24" s="1"/>
  <c r="X45"/>
  <c r="Y45" s="1"/>
  <c r="X42"/>
  <c r="Y42" s="1"/>
  <c r="X17"/>
  <c r="Y17" s="1"/>
  <c r="X43"/>
  <c r="Y43" s="1"/>
  <c r="J17" i="6"/>
  <c r="D13" i="16"/>
  <c r="E15" s="1"/>
  <c r="D13" i="13"/>
  <c r="E15" s="1"/>
  <c r="E15" i="14"/>
  <c r="E16" s="1"/>
  <c r="I42" i="16"/>
  <c r="I15"/>
  <c r="H15"/>
  <c r="I20" i="15"/>
  <c r="H14"/>
  <c r="H15" s="1"/>
  <c r="D14"/>
  <c r="E16" s="1"/>
  <c r="I21" i="14"/>
  <c r="P27" i="6" s="1"/>
  <c r="I27" s="1"/>
  <c r="H15" i="14"/>
  <c r="H16" s="1"/>
  <c r="D15"/>
  <c r="E17" s="1"/>
  <c r="I15" i="13"/>
  <c r="H15"/>
  <c r="I42"/>
  <c r="I29"/>
  <c r="F20" i="34" l="1"/>
  <c r="E35" i="29"/>
  <c r="F35" s="1"/>
  <c r="E11"/>
  <c r="F11" s="1"/>
  <c r="E24"/>
  <c r="F24" s="1"/>
  <c r="F28" s="1"/>
  <c r="E32"/>
  <c r="F32" s="1"/>
  <c r="E36"/>
  <c r="F36" s="1"/>
  <c r="E10"/>
  <c r="F10" s="1"/>
  <c r="F20" s="1"/>
  <c r="E34"/>
  <c r="F34" s="1"/>
  <c r="E31"/>
  <c r="F31" s="1"/>
  <c r="E33"/>
  <c r="F33" s="1"/>
  <c r="I34" i="6"/>
  <c r="I36" s="1"/>
  <c r="E53" i="29"/>
  <c r="F53" s="1"/>
  <c r="E52"/>
  <c r="F52" s="1"/>
  <c r="E54"/>
  <c r="F54" s="1"/>
  <c r="E51"/>
  <c r="F51" s="1"/>
  <c r="Y27" i="13"/>
  <c r="Y58" i="18"/>
  <c r="Y56" i="22"/>
  <c r="F56" i="34"/>
  <c r="F58" s="1"/>
  <c r="F59" s="1"/>
  <c r="F60" s="1"/>
  <c r="F20" i="30"/>
  <c r="F58" s="1"/>
  <c r="F59" s="1"/>
  <c r="F60" s="1"/>
  <c r="E16" i="29"/>
  <c r="F16" s="1"/>
  <c r="E47"/>
  <c r="F47" s="1"/>
  <c r="Y58" i="28"/>
  <c r="Y58" i="20"/>
  <c r="Y59" s="1"/>
  <c r="Y60" s="1"/>
  <c r="I17" i="6"/>
  <c r="I20"/>
  <c r="I18"/>
  <c r="I16"/>
  <c r="E9" i="12" s="1"/>
  <c r="I19" i="6"/>
  <c r="Y58" i="27"/>
  <c r="Y59" s="1"/>
  <c r="I42" i="26"/>
  <c r="I29"/>
  <c r="Y19"/>
  <c r="Y55"/>
  <c r="I42" i="25"/>
  <c r="I29"/>
  <c r="Y19"/>
  <c r="Y55"/>
  <c r="Y58" i="24"/>
  <c r="Y58" i="23"/>
  <c r="Y20" i="22"/>
  <c r="Y58" s="1"/>
  <c r="I43"/>
  <c r="I30"/>
  <c r="Y58" i="21"/>
  <c r="Y59" i="19"/>
  <c r="Y60" s="1"/>
  <c r="Y59" i="18"/>
  <c r="Y60" s="1"/>
  <c r="Y55" i="16"/>
  <c r="Y27"/>
  <c r="I28" i="14"/>
  <c r="I43" s="1"/>
  <c r="X24"/>
  <c r="Y24" s="1"/>
  <c r="Y28" s="1"/>
  <c r="X36"/>
  <c r="Y36" s="1"/>
  <c r="X34"/>
  <c r="Y34" s="1"/>
  <c r="X32"/>
  <c r="Y32" s="1"/>
  <c r="X10"/>
  <c r="Y10" s="1"/>
  <c r="X11"/>
  <c r="Y11" s="1"/>
  <c r="X35"/>
  <c r="Y35" s="1"/>
  <c r="X33"/>
  <c r="Y33" s="1"/>
  <c r="X31"/>
  <c r="Y31" s="1"/>
  <c r="X9"/>
  <c r="Y9" s="1"/>
  <c r="Y19" i="13"/>
  <c r="Y57" s="1"/>
  <c r="Y55"/>
  <c r="Y19" i="16"/>
  <c r="Y57" s="1"/>
  <c r="I27" i="15"/>
  <c r="I29" s="1"/>
  <c r="X33"/>
  <c r="Y33" s="1"/>
  <c r="X9"/>
  <c r="Y9" s="1"/>
  <c r="X30"/>
  <c r="Y30" s="1"/>
  <c r="X10"/>
  <c r="Y10" s="1"/>
  <c r="X23"/>
  <c r="Y23" s="1"/>
  <c r="Y27" s="1"/>
  <c r="X32"/>
  <c r="Y32" s="1"/>
  <c r="X8"/>
  <c r="Y8" s="1"/>
  <c r="X34"/>
  <c r="Y34" s="1"/>
  <c r="X35"/>
  <c r="Y35" s="1"/>
  <c r="X31"/>
  <c r="Y31" s="1"/>
  <c r="I15" i="6"/>
  <c r="I42" i="15"/>
  <c r="I16"/>
  <c r="H16"/>
  <c r="I30" i="14"/>
  <c r="I17"/>
  <c r="H17"/>
  <c r="F56" i="29" l="1"/>
  <c r="F58" s="1"/>
  <c r="F59" s="1"/>
  <c r="F60" s="1"/>
  <c r="Y57" i="25"/>
  <c r="Y59" i="28"/>
  <c r="Y60" s="1"/>
  <c r="I22" i="6"/>
  <c r="I24" s="1"/>
  <c r="Y57" i="26"/>
  <c r="Y58" i="25"/>
  <c r="Y59" s="1"/>
  <c r="Y59" i="24"/>
  <c r="Y60" s="1"/>
  <c r="Y59" i="23"/>
  <c r="Y60" s="1"/>
  <c r="Y59" i="22"/>
  <c r="Y60" s="1"/>
  <c r="Y59" i="21"/>
  <c r="Y60" s="1"/>
  <c r="E12" i="12"/>
  <c r="Y56" i="14"/>
  <c r="Y20"/>
  <c r="Y58" i="13"/>
  <c r="Y59" s="1"/>
  <c r="H16" i="17" s="1"/>
  <c r="Y58" i="16"/>
  <c r="Y59" s="1"/>
  <c r="H15" i="17" s="1"/>
  <c r="Y19" i="15"/>
  <c r="Y57" s="1"/>
  <c r="Y58" s="1"/>
  <c r="Y59" s="1"/>
  <c r="H14" i="17" s="1"/>
  <c r="Y55" i="15"/>
  <c r="E53" i="12"/>
  <c r="Y58" i="26" l="1"/>
  <c r="Y59" s="1"/>
  <c r="E11" i="12"/>
  <c r="F11" s="1"/>
  <c r="E33"/>
  <c r="F33" s="1"/>
  <c r="E10"/>
  <c r="F10" s="1"/>
  <c r="Y58" i="14"/>
  <c r="E35" i="12"/>
  <c r="F35" s="1"/>
  <c r="E36"/>
  <c r="F36" s="1"/>
  <c r="E32"/>
  <c r="F32" s="1"/>
  <c r="E24"/>
  <c r="F24" s="1"/>
  <c r="E34"/>
  <c r="F34" s="1"/>
  <c r="E31"/>
  <c r="F31" s="1"/>
  <c r="E54"/>
  <c r="E52"/>
  <c r="F52" s="1"/>
  <c r="E51"/>
  <c r="F51" s="1"/>
  <c r="F9"/>
  <c r="E38"/>
  <c r="F38" s="1"/>
  <c r="F12"/>
  <c r="F37"/>
  <c r="E16"/>
  <c r="F16" s="1"/>
  <c r="E47"/>
  <c r="F47" s="1"/>
  <c r="E44"/>
  <c r="F44" s="1"/>
  <c r="E50"/>
  <c r="F50" s="1"/>
  <c r="E43"/>
  <c r="F43" s="1"/>
  <c r="E45"/>
  <c r="F45" s="1"/>
  <c r="E25"/>
  <c r="F25" s="1"/>
  <c r="E18"/>
  <c r="F18" s="1"/>
  <c r="E14"/>
  <c r="F14" s="1"/>
  <c r="E49"/>
  <c r="F49" s="1"/>
  <c r="E46"/>
  <c r="F46" s="1"/>
  <c r="E15"/>
  <c r="F15" s="1"/>
  <c r="E48"/>
  <c r="F48" s="1"/>
  <c r="E39"/>
  <c r="F39" s="1"/>
  <c r="E41"/>
  <c r="F41" s="1"/>
  <c r="E40"/>
  <c r="F40" s="1"/>
  <c r="E42"/>
  <c r="F42" s="1"/>
  <c r="E26"/>
  <c r="F26" s="1"/>
  <c r="E17"/>
  <c r="F17" s="1"/>
  <c r="E13"/>
  <c r="F13" s="1"/>
  <c r="Y59" i="14" l="1"/>
  <c r="Y60" s="1"/>
  <c r="H17" i="17" s="1"/>
  <c r="H18" s="1"/>
  <c r="F56" i="12"/>
  <c r="F28"/>
  <c r="F20"/>
  <c r="F58" l="1"/>
  <c r="F59" s="1"/>
  <c r="F60" s="1"/>
  <c r="F64" s="1"/>
  <c r="J22" i="6" l="1"/>
  <c r="J24" s="1"/>
  <c r="H13" i="17"/>
  <c r="H19" s="1"/>
</calcChain>
</file>

<file path=xl/comments1.xml><?xml version="1.0" encoding="utf-8"?>
<comments xmlns="http://schemas.openxmlformats.org/spreadsheetml/2006/main">
  <authors>
    <author>BENEDITA</author>
  </authors>
  <commentList>
    <comment ref="D9" authorId="0">
      <text>
        <r>
          <rPr>
            <b/>
            <sz val="9"/>
            <color indexed="81"/>
            <rFont val="Tahoma"/>
            <family val="2"/>
          </rPr>
          <t>JULIANA: JÁ REMUNERADO NAS DELEGACIAS.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comments11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comments12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comments13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comments14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comments15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comments16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comments17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comments18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comments19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comments2.xml><?xml version="1.0" encoding="utf-8"?>
<comments xmlns="http://schemas.openxmlformats.org/spreadsheetml/2006/main">
  <authors>
    <author>BENEDITA</author>
  </authors>
  <commentList>
    <comment ref="D9" authorId="0">
      <text>
        <r>
          <rPr>
            <b/>
            <sz val="9"/>
            <color indexed="81"/>
            <rFont val="Tahoma"/>
            <family val="2"/>
          </rPr>
          <t>JULIANA: JÁ REMUNERADO NA DELEGACIA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comments3.xml><?xml version="1.0" encoding="utf-8"?>
<comments xmlns="http://schemas.openxmlformats.org/spreadsheetml/2006/main">
  <authors>
    <author>DefaultUserAdminFull</author>
  </authors>
  <commentList>
    <comment ref="G39" authorId="0">
      <text>
        <r>
          <rPr>
            <b/>
            <sz val="8"/>
            <color indexed="81"/>
            <rFont val="Tahoma"/>
            <family val="2"/>
          </rPr>
          <t xml:space="preserve">
Juliana:</t>
        </r>
        <r>
          <rPr>
            <sz val="8"/>
            <color indexed="81"/>
            <rFont val="Tahoma"/>
            <family val="2"/>
          </rPr>
          <t xml:space="preserve">
valo atualizado de jun/13</t>
        </r>
      </text>
    </comment>
  </commentList>
</comments>
</file>

<file path=xl/comments4.xml><?xml version="1.0" encoding="utf-8"?>
<comments xmlns="http://schemas.openxmlformats.org/spreadsheetml/2006/main">
  <authors>
    <author>DefaultUserAdminFull</author>
  </authors>
  <commentList>
    <comment ref="G39" authorId="0">
      <text>
        <r>
          <rPr>
            <b/>
            <sz val="8"/>
            <color indexed="81"/>
            <rFont val="Tahoma"/>
            <family val="2"/>
          </rPr>
          <t xml:space="preserve">
Juliana:</t>
        </r>
        <r>
          <rPr>
            <sz val="8"/>
            <color indexed="81"/>
            <rFont val="Tahoma"/>
            <family val="2"/>
          </rPr>
          <t xml:space="preserve">
valo atualizado de jun/13</t>
        </r>
      </text>
    </comment>
  </commentList>
</comments>
</file>

<file path=xl/comments5.xml><?xml version="1.0" encoding="utf-8"?>
<comments xmlns="http://schemas.openxmlformats.org/spreadsheetml/2006/main">
  <authors>
    <author>DefaultUserAdminFull</author>
  </authors>
  <commentList>
    <comment ref="G39" authorId="0">
      <text>
        <r>
          <rPr>
            <b/>
            <sz val="8"/>
            <color indexed="81"/>
            <rFont val="Tahoma"/>
            <family val="2"/>
          </rPr>
          <t xml:space="preserve">
Juliana:</t>
        </r>
        <r>
          <rPr>
            <sz val="8"/>
            <color indexed="81"/>
            <rFont val="Tahoma"/>
            <family val="2"/>
          </rPr>
          <t xml:space="preserve">
valo atualizado de jun/13</t>
        </r>
      </text>
    </comment>
  </commentList>
</comments>
</file>

<file path=xl/comments6.xml><?xml version="1.0" encoding="utf-8"?>
<comments xmlns="http://schemas.openxmlformats.org/spreadsheetml/2006/main">
  <authors>
    <author>DefaultUserAdminFull</author>
  </authors>
  <commentList>
    <comment ref="G39" authorId="0">
      <text>
        <r>
          <rPr>
            <b/>
            <sz val="8"/>
            <color indexed="81"/>
            <rFont val="Tahoma"/>
            <family val="2"/>
          </rPr>
          <t xml:space="preserve">
Juliana:</t>
        </r>
        <r>
          <rPr>
            <sz val="8"/>
            <color indexed="81"/>
            <rFont val="Tahoma"/>
            <family val="2"/>
          </rPr>
          <t xml:space="preserve">
valo atualizado de jun/13</t>
        </r>
      </text>
    </comment>
  </commentList>
</comments>
</file>

<file path=xl/comments7.xml><?xml version="1.0" encoding="utf-8"?>
<comments xmlns="http://schemas.openxmlformats.org/spreadsheetml/2006/main">
  <authors>
    <author>DefaultUserAdminFull</author>
  </authors>
  <commentList>
    <comment ref="G39" authorId="0">
      <text>
        <r>
          <rPr>
            <b/>
            <sz val="8"/>
            <color indexed="81"/>
            <rFont val="Tahoma"/>
            <family val="2"/>
          </rPr>
          <t xml:space="preserve">
Juliana:</t>
        </r>
        <r>
          <rPr>
            <sz val="8"/>
            <color indexed="81"/>
            <rFont val="Tahoma"/>
            <family val="2"/>
          </rPr>
          <t xml:space="preserve">
valo atualizado de jun/13</t>
        </r>
      </text>
    </comment>
  </commentList>
</comments>
</file>

<file path=xl/comments8.xml><?xml version="1.0" encoding="utf-8"?>
<comments xmlns="http://schemas.openxmlformats.org/spreadsheetml/2006/main">
  <authors>
    <author>DefaultUserAdminFull</author>
  </authors>
  <commentList>
    <comment ref="G39" authorId="0">
      <text>
        <r>
          <rPr>
            <b/>
            <sz val="8"/>
            <color indexed="81"/>
            <rFont val="Tahoma"/>
            <charset val="1"/>
          </rPr>
          <t xml:space="preserve">Juliana:
</t>
        </r>
        <r>
          <rPr>
            <sz val="8"/>
            <color indexed="81"/>
            <rFont val="Tahoma"/>
            <family val="2"/>
          </rPr>
          <t>valor atualizado de jun/13</t>
        </r>
      </text>
    </comment>
  </commentList>
</comments>
</file>

<file path=xl/comments9.xml><?xml version="1.0" encoding="utf-8"?>
<comments xmlns="http://schemas.openxmlformats.org/spreadsheetml/2006/main">
  <authors>
    <author>DefaultUserAdminFull</author>
  </authors>
  <commentList>
    <comment ref="G40" authorId="0">
      <text>
        <r>
          <rPr>
            <b/>
            <sz val="8"/>
            <color indexed="81"/>
            <rFont val="Tahoma"/>
            <charset val="1"/>
          </rPr>
          <t>Juliana:</t>
        </r>
        <r>
          <rPr>
            <sz val="8"/>
            <color indexed="81"/>
            <rFont val="Tahoma"/>
            <charset val="1"/>
          </rPr>
          <t xml:space="preserve">
valo atualizado de jun/13</t>
        </r>
      </text>
    </comment>
  </commentList>
</comments>
</file>

<file path=xl/sharedStrings.xml><?xml version="1.0" encoding="utf-8"?>
<sst xmlns="http://schemas.openxmlformats.org/spreadsheetml/2006/main" count="4747" uniqueCount="266">
  <si>
    <t>TOTAL</t>
  </si>
  <si>
    <t>1.1</t>
  </si>
  <si>
    <t>1.2</t>
  </si>
  <si>
    <t>1.3</t>
  </si>
  <si>
    <t>1.4</t>
  </si>
  <si>
    <t>2.1</t>
  </si>
  <si>
    <t>2.2</t>
  </si>
  <si>
    <t>2.3</t>
  </si>
  <si>
    <t>3.1</t>
  </si>
  <si>
    <t>3.2</t>
  </si>
  <si>
    <t>%</t>
  </si>
  <si>
    <t>DISCRIMINAÇÃO DOS SERVIÇOS</t>
  </si>
  <si>
    <t>UNID.</t>
  </si>
  <si>
    <t>QUANT.</t>
  </si>
  <si>
    <t>cj</t>
  </si>
  <si>
    <t>1.5</t>
  </si>
  <si>
    <t>1.6</t>
  </si>
  <si>
    <t>Sub-total</t>
  </si>
  <si>
    <t>3.3</t>
  </si>
  <si>
    <t>Total</t>
  </si>
  <si>
    <t>BDI</t>
  </si>
  <si>
    <t>Total Geral</t>
  </si>
  <si>
    <t>ITEM</t>
  </si>
  <si>
    <t>REAL</t>
  </si>
  <si>
    <t>R$</t>
  </si>
  <si>
    <t>Tipo Projeto</t>
  </si>
  <si>
    <t>IR</t>
  </si>
  <si>
    <t>ARQ</t>
  </si>
  <si>
    <t>ELE/TEL</t>
  </si>
  <si>
    <t>AR</t>
  </si>
  <si>
    <t>HID-SAN</t>
  </si>
  <si>
    <t>Outros (Orç e Cron)</t>
  </si>
  <si>
    <t>FUND/EST</t>
  </si>
  <si>
    <t>ELET/TEL</t>
  </si>
  <si>
    <t>OUTROS</t>
  </si>
  <si>
    <r>
      <t xml:space="preserve">PROPRIETÁRIO: </t>
    </r>
    <r>
      <rPr>
        <sz val="12"/>
        <rFont val="Arial"/>
        <family val="2"/>
      </rPr>
      <t>DEPARTAMENTO DE POLÍCIA FEDERAL</t>
    </r>
  </si>
  <si>
    <t>1.7</t>
  </si>
  <si>
    <t>3.4</t>
  </si>
  <si>
    <t>Proj. Fund. e Muros de arrimo + Estruturas de Concreto Armado</t>
  </si>
  <si>
    <t>Projeto de Arquitetura inclui paisagismo, sinalização interna e externa, e lay-out com quantitativos de mobiliário</t>
  </si>
  <si>
    <t>Projeto de eletricidade, subestação, SPDA, rede estabilizada, telefonia, dados, alarme, CFTV e SSON</t>
  </si>
  <si>
    <t>Proj água fria, esgoto sanitário e pluviais + sprinklers, hidrantes e extintores</t>
  </si>
  <si>
    <t>Orçamento e Cronograma de Obra</t>
  </si>
  <si>
    <t>VUR=R$/m²</t>
  </si>
  <si>
    <t>Área Real (m²)</t>
  </si>
  <si>
    <t>Área Equiv. (m²)</t>
  </si>
  <si>
    <t>FORMULA DA CEF: VUR x ((300 + (500 x 0,83)+(1000 x 0,66)+((Area Real - 1800) x 0,5)))</t>
  </si>
  <si>
    <t>FORMULA DA CEF: (incêndio) VUR x ((500 + (1000 x 0,83)+(2000 x 0,66)+((Area Real - 3500) x 0,5)))</t>
  </si>
  <si>
    <t>p/ incêndio</t>
  </si>
  <si>
    <t>R$/m²</t>
  </si>
  <si>
    <t xml:space="preserve">PREÇO UNIT </t>
  </si>
  <si>
    <t>1</t>
  </si>
  <si>
    <t>ESTUDOS PRELIMINARES E ANTEPROJETO</t>
  </si>
  <si>
    <t>Estudo preliminar e anteprojeto de arquitetura</t>
  </si>
  <si>
    <t>Estudo preliminar e anteprojeto de paisagismo e urbanização</t>
  </si>
  <si>
    <t>Estudo preliminar e anteprojeto de fundações e estruturas</t>
  </si>
  <si>
    <t>Estudo preliminar e anteprojeto de instalações hidrossanitárias</t>
  </si>
  <si>
    <t>Estudo preliminar e anteprojeto de instalações de prevenção e combate a incêndio</t>
  </si>
  <si>
    <t>1.10</t>
  </si>
  <si>
    <t>Estudo preliminar e anteprojeto de lançamento de infra-estrutura de CFTV</t>
  </si>
  <si>
    <t>2</t>
  </si>
  <si>
    <t>APROVAÇÃO DOS PROJETOS (PROJETOS LEGAIS)</t>
  </si>
  <si>
    <t>Aprovação de projetos de arquitetura</t>
  </si>
  <si>
    <t>Aprovação de projetos elétricos</t>
  </si>
  <si>
    <t>Aprovação de projetos de prevenção e combate a incêndio</t>
  </si>
  <si>
    <t>PROJETOS EXECUTIVOS E DOCUMENTAÇÃO TÉCNICA</t>
  </si>
  <si>
    <t>Projeto executivo de impermeabilização</t>
  </si>
  <si>
    <t>Projeto executivo de cobertura</t>
  </si>
  <si>
    <t>Projeto executivo de urbanização e paisagismo</t>
  </si>
  <si>
    <t>Projeto executivo de comunicação visual</t>
  </si>
  <si>
    <t>Projeto executivo de fundações</t>
  </si>
  <si>
    <t>Projeto executivo de estruturas</t>
  </si>
  <si>
    <t>Projeto executivo de instalações hidrossanitárias (água fria e quentes)</t>
  </si>
  <si>
    <t>Projeto executivo de instalações hidrossanitárias (esgoto sanitário)</t>
  </si>
  <si>
    <t>Projeto executivo de instalações hidrossanitárias (águas pluviais)</t>
  </si>
  <si>
    <t>Projeto executivo de instalações hidrossanitárias (bombas de recalque)</t>
  </si>
  <si>
    <t>Projeto executivo de instalações elétricas estabilizadas</t>
  </si>
  <si>
    <t>Projeto executivo do sistema de proteção contra descargas atmosféricas</t>
  </si>
  <si>
    <t>Projeto executivo de proteção e combate a incêndio</t>
  </si>
  <si>
    <t>Projeto executivo de instalações de CFTV</t>
  </si>
  <si>
    <t>Projeto executivo de rede de sonorização</t>
  </si>
  <si>
    <t>Caderno de encargos, especificações e normas técnicas</t>
  </si>
  <si>
    <t>Levantamento de quantidades (incluindo movimentação de terra)</t>
  </si>
  <si>
    <t>PROJETO BÁSICO</t>
  </si>
  <si>
    <t xml:space="preserve">PLANILHA ORÇAMENTÁRIA     </t>
  </si>
  <si>
    <t>1.8</t>
  </si>
  <si>
    <t>1.9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</si>
  <si>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</si>
  <si>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</si>
  <si>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</si>
  <si>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</si>
  <si>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</si>
  <si>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</si>
  <si>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</si>
  <si>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</si>
  <si>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</si>
  <si>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</si>
  <si>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</si>
  <si>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</si>
  <si>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</si>
  <si>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</si>
  <si>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</si>
  <si>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</si>
  <si>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</si>
  <si>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</si>
  <si>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</si>
  <si>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Levantamento Cadastral</t>
  </si>
  <si>
    <t>9546 SERVICOS TOPOGRAFICOS P/ PAVIMENTACAO, INCLUSIVE NOTA DE SERVICOS, M2
ACOMPANHAMENTO E GREIDE</t>
  </si>
  <si>
    <t>Estudo preliminar e anteprojeto de instalações mecânicas de climatização, ventilação e exaustão (condicionamento de ar) e transporte vertical</t>
  </si>
  <si>
    <t>Projeto executivo de climatização, ventilação e exaustão (condicionamento de ar) e transporte vertical</t>
  </si>
  <si>
    <t>Memorial descritivo e memória de cálculo</t>
  </si>
  <si>
    <r>
      <t xml:space="preserve">SERVIÇO: </t>
    </r>
    <r>
      <rPr>
        <sz val="12"/>
        <rFont val="Arial"/>
        <family val="2"/>
      </rPr>
      <t>DELEGACIAS DE FRONTEIRA</t>
    </r>
  </si>
  <si>
    <t>LOCAL: Diversos</t>
  </si>
  <si>
    <t>Sondagem e Levantamento Topográfico Planialtimétrico Cadastral</t>
  </si>
  <si>
    <t>Estudo preliminar e anteprojeto de instalações elétricas, incluindo automação e subestação</t>
  </si>
  <si>
    <t>Projeto executivo de arquitetura, incluindo leiaute</t>
  </si>
  <si>
    <t>Projeto executivo de instalações elétricas, incluindo automação e subestação</t>
  </si>
  <si>
    <t>ARQUITETURA</t>
  </si>
  <si>
    <t>ESTRUTURAS</t>
  </si>
  <si>
    <t>Proj. Inst Cond. Ar com central de água gelada</t>
  </si>
  <si>
    <t>ÁREA</t>
  </si>
  <si>
    <t>Valor</t>
  </si>
  <si>
    <t>arq</t>
  </si>
  <si>
    <t>est</t>
  </si>
  <si>
    <t>elet/tel</t>
  </si>
  <si>
    <t>ar</t>
  </si>
  <si>
    <t>hidro</t>
  </si>
  <si>
    <t>outros</t>
  </si>
  <si>
    <t>Cronograma físico (PERT/COM e GANTT) e físico-financeiro detalhado e planilha orçamentária sintética e analítica com composições de preços unitários, encargos sociais e cálculo de BDI</t>
  </si>
  <si>
    <t>Projeto executivo de instalações de redes de dados, comunicação (voz) e vídeo (cabeamento estruturado), controle de acesso e Sonorização</t>
  </si>
  <si>
    <t>3.24</t>
  </si>
  <si>
    <t>Projeto executivo de terraplanagem</t>
  </si>
  <si>
    <t>Estudo preliminar e anteprojeto de instalações redes de dados, comunicação (voz) e vídeo, Controle de acesso e Sonorização</t>
  </si>
  <si>
    <t>TIPO1 : 0009 - LEVANTAMENTO CADASTRAL</t>
  </si>
  <si>
    <t>9546 SERVICOS TOPOGRAFICOS P/ PAVIMENTACAO, INCLUSIVE NOTA DE SERVICOS M2</t>
  </si>
  <si>
    <t>I 244 AUXILIAR DE TOPOGRAFIA H 0,0025000 7,16 0,01</t>
  </si>
  <si>
    <t>I 2355 DESENHISTA DETALHISTA H 0,0020000 11,53 0,02</t>
  </si>
  <si>
    <t>I 2706 ENGENHEIRO OU ARQUITETO AUXILIAR/JUNIOR - DE OBRA H 0,0020000 47,26 0,09</t>
  </si>
  <si>
    <t>I 6111 SERVENTE H 0,0075000 5,81 0,04</t>
  </si>
  <si>
    <t>I 7247 TEODOLITO C/ PRECISAO +/- 6 SEGUNDOS, INCLUSIVE TRIPE TIPO WILD T H 0,0025000 2,99 0,00</t>
  </si>
  <si>
    <t>-1 OU EQUIV</t>
  </si>
  <si>
    <t>I 7252 NIVEL OTICO C/ PRECISAO +/- 0,7MM TIPO WILD NA-2 OU EQUIV H 0,0025000 1,73 0,00</t>
  </si>
  <si>
    <t>I 7287 TINTA A OLEO BRILHANTE GL 0,0000044 33,00 0,00</t>
  </si>
  <si>
    <t>I 7592 TOPOGRAFO H 0,0050000 21,45 0,10</t>
  </si>
  <si>
    <t>I 7595 NIVELADOR H 0,0025000 9,79 0,02</t>
  </si>
  <si>
    <t>QUADRO DE ÁREAS</t>
  </si>
  <si>
    <t>DELEGACIA</t>
  </si>
  <si>
    <t>CANIL</t>
  </si>
  <si>
    <t>m²</t>
  </si>
  <si>
    <t>Sinduscon-MT</t>
  </si>
  <si>
    <t>FORMULA DA CEF: (incêndio) VUR x ((500 + (1000 x 0,83)+[(Area-1500) x 0,66)))</t>
  </si>
  <si>
    <t>FORMULA DA CEF: Valor = VUR x {[300 + (500 x 0,83)] + [(Área – 800) x 0,66]}</t>
  </si>
  <si>
    <t>7012 VEICULO UTILITARIO TIPO PICK-UP A GASOLINA COM 56,8CV - CHP CHP 0,0010000 78,84 0,07</t>
  </si>
  <si>
    <t>I 244 AUXILIAR DE TOPOGRAFIA H 0,0025000 5,41 0,01</t>
  </si>
  <si>
    <t>I 2355 DESENHISTA DETALHISTA H 0,0020000 18,43 0,03</t>
  </si>
  <si>
    <t>I 2706 ENGENHEIRO OU ARQUITETO AUXILIAR/JUNIOR - DE OBRA H 0,0020000 49,02 0,09</t>
  </si>
  <si>
    <t>I 6111 SERVENTE H 0,0075000 7,01 0,05</t>
  </si>
  <si>
    <t>I 6204 PECA DE MADEIRA 1A QUALIDADE 2,5 X 15CM (1 X 6") NAO APARELHADA M 0,0028860 5,00 0,01</t>
  </si>
  <si>
    <t>I 7287 TINTA A OLEO BRILHANTE GL 0,0000044 31,00 0,00</t>
  </si>
  <si>
    <t>I 7592 TOPOGRAFO H 0,0050000 16,21 0,08</t>
  </si>
  <si>
    <t>I 7595 NIVELADOR H 0,0025000 7,40 0,01</t>
  </si>
  <si>
    <t>EQUIPAMENTO : 0,02 5,74 %</t>
  </si>
  <si>
    <t>MAO DE OBRA : 0,31 77,76 %</t>
  </si>
  <si>
    <t>MATERIAL : 0,06 16,48 %</t>
  </si>
  <si>
    <t>TOTAL COMPOSIÇÃO : 0,41 100,00 %</t>
  </si>
  <si>
    <t>7012 VEICULO UTILITARIO TIPO PICK-UP A GASOLINA COM 56,8CV - CHP CHP 0,0010000 79,73 0,07</t>
  </si>
  <si>
    <t>I 6204 PECA DE MADEIRA 1A QUALIDADE 2,5 X 15CM (1 X 6") NAO APARELHADA M 0,0028860 4,18 0,01</t>
  </si>
  <si>
    <t>EQUIPAMENTO : 0,02 5,12 %</t>
  </si>
  <si>
    <t>MAO DE OBRA : 0,32 78,42 %</t>
  </si>
  <si>
    <t>MATERIAL : 0,06 16,45 %</t>
  </si>
  <si>
    <t>TOTAL COMPOSIÇÃO : 0,41 99,99 %</t>
  </si>
  <si>
    <t>Sondagem e Levantamento Planialtimétrico</t>
  </si>
  <si>
    <t>4.1.1.2 As sondagens devem ser, no mínimo, de uma para</t>
  </si>
  <si>
    <t>cada 200 m2 de área da projeção em planta do edifício,</t>
  </si>
  <si>
    <t>até 1200 m2 de área. Entre 1200 m2 e 2400 m2 deve-se</t>
  </si>
  <si>
    <t>fazer uma sondagem para cada 400 m2 que excederem</t>
  </si>
  <si>
    <t>de 1200 m2. Acima de 2400 m2 o número de sondagens</t>
  </si>
  <si>
    <t>deve ser fixado de acordo com o plano particular da</t>
  </si>
  <si>
    <t>construção. Em quaisquer circunstâncias o número</t>
  </si>
  <si>
    <t>mínimo de sondagens deve ser:</t>
  </si>
  <si>
    <t>a) dois para área da projeção em planta do edifício</t>
  </si>
  <si>
    <t>até 200 m2;</t>
  </si>
  <si>
    <t>b) três para área entre 200 m2 e 400 m2.</t>
  </si>
  <si>
    <t>4.1.1.3 Nos casos em que não houver ainda disposição</t>
  </si>
  <si>
    <t>em planta dos edifícios, como nos estudos de viabilidade</t>
  </si>
  <si>
    <t>ou de escolha de local, o número de sondagens deve ser</t>
  </si>
  <si>
    <t>fixado de forma que a distância máxima entre elas seja</t>
  </si>
  <si>
    <t>de 100 m, com um mínimo de três sondagens.</t>
  </si>
  <si>
    <t>Terreno</t>
  </si>
  <si>
    <t>Sondagem</t>
  </si>
  <si>
    <t>PA</t>
  </si>
  <si>
    <t>MT</t>
  </si>
  <si>
    <t>não consta sinapi</t>
  </si>
  <si>
    <t>metro</t>
  </si>
  <si>
    <t>adotado 10 metros de profundidade</t>
  </si>
  <si>
    <t>Mobilização de equipe</t>
  </si>
  <si>
    <t>adotado 3x para interior</t>
  </si>
  <si>
    <t>térreo</t>
  </si>
  <si>
    <t>12 furos</t>
  </si>
  <si>
    <t>logo 120 metros por localidade</t>
  </si>
  <si>
    <t>só consta PA- para norte</t>
  </si>
  <si>
    <t>só consta MT- para CO</t>
  </si>
  <si>
    <t>9 furos</t>
  </si>
  <si>
    <t>CORUMBÁ</t>
  </si>
  <si>
    <t>TABATINGA</t>
  </si>
  <si>
    <t>PONTA PORÃ</t>
  </si>
  <si>
    <t>PACARAIMA</t>
  </si>
  <si>
    <t>MÉDIA</t>
  </si>
  <si>
    <t>FUND Base de cálculo</t>
  </si>
  <si>
    <t>Contrato coletivo</t>
  </si>
  <si>
    <t>DIFERENÇA</t>
  </si>
  <si>
    <t>Sinapi jun/13</t>
  </si>
  <si>
    <t>ÁREA DE LAZER</t>
  </si>
  <si>
    <t>Projeto CAL - 8</t>
  </si>
  <si>
    <t>CUB DEOB (CUB*1,7)</t>
  </si>
  <si>
    <t xml:space="preserve"> (IR*CUB*1,7)*área</t>
  </si>
  <si>
    <t>DATA: SET/2013</t>
  </si>
  <si>
    <t>Sinduscon-PA</t>
  </si>
  <si>
    <t>DATA:SET/2013</t>
  </si>
  <si>
    <t>CORUMBÁ 2451,42 M2</t>
  </si>
  <si>
    <t>PONTA PORÃ 2451,41 M2</t>
  </si>
  <si>
    <t>TABATINGA 2451,41 M2</t>
  </si>
  <si>
    <t>PACARAIMA 1491,42 M2</t>
  </si>
  <si>
    <t>RODONÓPOLIS 2451,41 M2</t>
  </si>
  <si>
    <t>SINOP 2451,41 M2</t>
  </si>
  <si>
    <t>SANTARÉM 2451,41 M2</t>
  </si>
  <si>
    <t>CRUZ DO SUL 1491,42 M2</t>
  </si>
  <si>
    <t>OIAPOQUE 1491,42 M2</t>
  </si>
  <si>
    <t>ALTAMIRA 1491,42 M2</t>
  </si>
  <si>
    <t>MARABÁ 1491,42 M2</t>
  </si>
  <si>
    <t>GUAJARÁ MIRIM 1491,42</t>
  </si>
  <si>
    <t>VILHENA 1491,42 M2</t>
  </si>
  <si>
    <t>URUGUAIANA 1491,42 M2</t>
  </si>
  <si>
    <t>Sinduscon-PR</t>
  </si>
  <si>
    <t>Sinapi AGO/13</t>
  </si>
  <si>
    <t>(composição PINI 02210.8.1.1 MAIO/2013)</t>
  </si>
  <si>
    <t>Sinapi ago/13</t>
  </si>
  <si>
    <t>CHUÍ 1375,87 M2</t>
  </si>
  <si>
    <t>RONDONÓPOLIS</t>
  </si>
  <si>
    <t>SINOP</t>
  </si>
  <si>
    <t>SANTARÉM</t>
  </si>
  <si>
    <t>CRUZEIRO DO SUL</t>
  </si>
  <si>
    <t>OIAPOQUE</t>
  </si>
  <si>
    <t>ALTAMIRA</t>
  </si>
  <si>
    <t>MARABÁ</t>
  </si>
  <si>
    <t>GUAJARÁ-MIRIM</t>
  </si>
  <si>
    <t>VILHENA</t>
  </si>
  <si>
    <t>URUGUAIANA</t>
  </si>
  <si>
    <t>CHUÍ</t>
  </si>
  <si>
    <t>SERVIÇOS JÁ REALIZADOS POR OUTRO CONTRATO</t>
  </si>
  <si>
    <t xml:space="preserve">PARTE A - 6vezes </t>
  </si>
  <si>
    <t>PARTE B - 8vezes</t>
  </si>
  <si>
    <t>PARTE C -  1vez</t>
  </si>
  <si>
    <t>DELEGACIAS: Corumbá/MS, Ponta Porã/MS, Tabatinga/AM, Rondonópolis/MT, Sinop/MT, Santarém/PA</t>
  </si>
  <si>
    <t>DELEGACIAS: Cruzeiro do Sul/AC, Oiapoque/AP, Altamira/PA, Marabá/PA, Guajará-Mirim/RO, Vilhena/RO, Pacaraima/RR, Uruguaiana/RS</t>
  </si>
  <si>
    <t>DELEGACIAS :Chuí/RS</t>
  </si>
  <si>
    <t>DELEGACIAS (TODOS OS PADRÕES)</t>
  </si>
  <si>
    <t>RESIDÊNCIAS (TODOS OS PADRÕES)</t>
  </si>
  <si>
    <t>PARTE D - 2vezes</t>
  </si>
  <si>
    <t>GUAJARÁ MIRIM1326,00 M2</t>
  </si>
  <si>
    <t>RESIDÊNCIA</t>
  </si>
  <si>
    <t>VILHENA 1326,00 M2</t>
  </si>
  <si>
    <t>CRUZ DO SUL 1989,00 M2</t>
  </si>
  <si>
    <t>PARTE E -  1vez</t>
  </si>
  <si>
    <t>RESIDÊNCIAS: Guajaramirim/RO e Vilhena/RO</t>
  </si>
  <si>
    <t>RESIDÊNCIAS: Cruzeiro do Sul/AC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</si>
</sst>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&quot;R$&quot;* #,##0.00_);_(&quot;R$&quot;* \(#,##0.00\);_(&quot;R$&quot;* &quot;-&quot;??_);_(@_)"/>
    <numFmt numFmtId="165" formatCode="0.0000"/>
  </numFmts>
  <fonts count="22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color indexed="12"/>
      <name val="Arial"/>
      <family val="2"/>
    </font>
    <font>
      <b/>
      <sz val="8.5"/>
      <name val="Arial"/>
      <family val="2"/>
    </font>
    <font>
      <sz val="12"/>
      <color indexed="17"/>
      <name val="Arial"/>
      <family val="2"/>
    </font>
    <font>
      <sz val="12"/>
      <color indexed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color rgb="FF0070C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07">
    <xf numFmtId="0" fontId="0" fillId="0" borderId="0" xfId="0"/>
    <xf numFmtId="49" fontId="2" fillId="0" borderId="10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43" fontId="2" fillId="0" borderId="6" xfId="4" applyFont="1" applyFill="1" applyBorder="1" applyAlignment="1">
      <alignment horizont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vertical="center"/>
    </xf>
    <xf numFmtId="43" fontId="2" fillId="3" borderId="6" xfId="4" applyFont="1" applyFill="1" applyBorder="1" applyAlignment="1">
      <alignment horizontal="right"/>
    </xf>
    <xf numFmtId="0" fontId="3" fillId="0" borderId="10" xfId="0" applyNumberFormat="1" applyFont="1" applyBorder="1" applyAlignment="1">
      <alignment horizontal="center" vertical="center"/>
    </xf>
    <xf numFmtId="4" fontId="7" fillId="3" borderId="5" xfId="4" applyNumberFormat="1" applyFont="1" applyFill="1" applyBorder="1" applyAlignment="1">
      <alignment horizontal="right"/>
    </xf>
    <xf numFmtId="4" fontId="7" fillId="3" borderId="6" xfId="4" applyNumberFormat="1" applyFont="1" applyFill="1" applyBorder="1" applyAlignment="1">
      <alignment horizontal="right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/>
    </xf>
    <xf numFmtId="4" fontId="9" fillId="3" borderId="5" xfId="4" applyNumberFormat="1" applyFont="1" applyFill="1" applyBorder="1" applyAlignment="1">
      <alignment horizontal="right"/>
    </xf>
    <xf numFmtId="4" fontId="2" fillId="3" borderId="6" xfId="4" applyNumberFormat="1" applyFont="1" applyFill="1" applyBorder="1" applyAlignment="1">
      <alignment horizontal="right"/>
    </xf>
    <xf numFmtId="49" fontId="3" fillId="3" borderId="10" xfId="0" applyNumberFormat="1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/>
    </xf>
    <xf numFmtId="4" fontId="3" fillId="3" borderId="5" xfId="4" applyNumberFormat="1" applyFont="1" applyFill="1" applyBorder="1" applyAlignment="1">
      <alignment horizontal="right"/>
    </xf>
    <xf numFmtId="43" fontId="3" fillId="3" borderId="5" xfId="4" applyFont="1" applyFill="1" applyBorder="1" applyAlignment="1">
      <alignment horizontal="right"/>
    </xf>
    <xf numFmtId="43" fontId="3" fillId="3" borderId="6" xfId="4" applyFont="1" applyFill="1" applyBorder="1" applyAlignment="1">
      <alignment horizontal="right"/>
    </xf>
    <xf numFmtId="2" fontId="3" fillId="3" borderId="5" xfId="4" applyNumberFormat="1" applyFont="1" applyFill="1" applyBorder="1" applyAlignment="1">
      <alignment horizontal="right"/>
    </xf>
    <xf numFmtId="43" fontId="10" fillId="3" borderId="6" xfId="4" applyFont="1" applyFill="1" applyBorder="1" applyAlignment="1">
      <alignment horizontal="right"/>
    </xf>
    <xf numFmtId="43" fontId="9" fillId="3" borderId="5" xfId="4" applyFont="1" applyFill="1" applyBorder="1" applyAlignment="1">
      <alignment horizontal="right"/>
    </xf>
    <xf numFmtId="49" fontId="11" fillId="3" borderId="10" xfId="0" applyNumberFormat="1" applyFont="1" applyFill="1" applyBorder="1" applyAlignment="1">
      <alignment horizontal="center" vertical="top"/>
    </xf>
    <xf numFmtId="4" fontId="3" fillId="3" borderId="6" xfId="4" applyNumberFormat="1" applyFont="1" applyFill="1" applyBorder="1" applyAlignment="1">
      <alignment horizontal="right"/>
    </xf>
    <xf numFmtId="0" fontId="2" fillId="3" borderId="5" xfId="0" applyFont="1" applyFill="1" applyBorder="1" applyAlignment="1">
      <alignment horizontal="left" vertical="center"/>
    </xf>
    <xf numFmtId="49" fontId="11" fillId="3" borderId="14" xfId="0" applyNumberFormat="1" applyFont="1" applyFill="1" applyBorder="1" applyAlignment="1">
      <alignment horizontal="center" vertical="top"/>
    </xf>
    <xf numFmtId="0" fontId="2" fillId="3" borderId="15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center"/>
    </xf>
    <xf numFmtId="2" fontId="3" fillId="3" borderId="15" xfId="4" applyNumberFormat="1" applyFont="1" applyFill="1" applyBorder="1" applyAlignment="1">
      <alignment horizontal="right"/>
    </xf>
    <xf numFmtId="4" fontId="3" fillId="3" borderId="15" xfId="4" applyNumberFormat="1" applyFont="1" applyFill="1" applyBorder="1" applyAlignment="1">
      <alignment horizontal="right"/>
    </xf>
    <xf numFmtId="4" fontId="2" fillId="3" borderId="16" xfId="4" applyNumberFormat="1" applyFont="1" applyFill="1" applyBorder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5" fillId="0" borderId="0" xfId="2" applyAlignment="1">
      <alignment horizontal="left"/>
    </xf>
    <xf numFmtId="165" fontId="5" fillId="0" borderId="0" xfId="2" applyNumberFormat="1"/>
    <xf numFmtId="2" fontId="5" fillId="0" borderId="0" xfId="2" applyNumberFormat="1"/>
    <xf numFmtId="4" fontId="5" fillId="0" borderId="0" xfId="2" applyNumberFormat="1"/>
    <xf numFmtId="4" fontId="4" fillId="0" borderId="0" xfId="2" applyNumberFormat="1" applyFont="1"/>
    <xf numFmtId="10" fontId="0" fillId="0" borderId="0" xfId="3" applyNumberFormat="1" applyFont="1"/>
    <xf numFmtId="0" fontId="4" fillId="0" borderId="0" xfId="2" applyFont="1" applyAlignment="1">
      <alignment horizontal="right"/>
    </xf>
    <xf numFmtId="4" fontId="5" fillId="0" borderId="0" xfId="2" applyNumberFormat="1" applyFont="1"/>
    <xf numFmtId="17" fontId="4" fillId="0" borderId="0" xfId="2" applyNumberFormat="1" applyFont="1" applyAlignment="1">
      <alignment horizontal="right"/>
    </xf>
    <xf numFmtId="4" fontId="5" fillId="0" borderId="22" xfId="2" applyNumberFormat="1" applyBorder="1" applyAlignment="1">
      <alignment horizontal="right"/>
    </xf>
    <xf numFmtId="0" fontId="5" fillId="0" borderId="10" xfId="2" applyBorder="1" applyAlignment="1">
      <alignment horizontal="left"/>
    </xf>
    <xf numFmtId="4" fontId="5" fillId="0" borderId="6" xfId="2" applyNumberFormat="1" applyBorder="1" applyAlignment="1">
      <alignment horizontal="right"/>
    </xf>
    <xf numFmtId="0" fontId="5" fillId="0" borderId="10" xfId="2" applyFill="1" applyBorder="1" applyAlignment="1">
      <alignment horizontal="left"/>
    </xf>
    <xf numFmtId="4" fontId="5" fillId="0" borderId="6" xfId="2" applyNumberFormat="1" applyFill="1" applyBorder="1" applyAlignment="1">
      <alignment horizontal="right"/>
    </xf>
    <xf numFmtId="0" fontId="5" fillId="0" borderId="0" xfId="2" applyFill="1" applyBorder="1" applyAlignment="1">
      <alignment horizontal="center"/>
    </xf>
    <xf numFmtId="4" fontId="5" fillId="0" borderId="10" xfId="2" applyNumberFormat="1" applyBorder="1" applyAlignment="1">
      <alignment horizontal="left"/>
    </xf>
    <xf numFmtId="2" fontId="5" fillId="0" borderId="10" xfId="2" applyNumberFormat="1" applyBorder="1"/>
    <xf numFmtId="4" fontId="5" fillId="0" borderId="6" xfId="2" applyNumberFormat="1" applyBorder="1"/>
    <xf numFmtId="0" fontId="5" fillId="0" borderId="14" xfId="2" applyBorder="1"/>
    <xf numFmtId="4" fontId="4" fillId="0" borderId="16" xfId="2" applyNumberFormat="1" applyFont="1" applyBorder="1"/>
    <xf numFmtId="0" fontId="5" fillId="0" borderId="0" xfId="2" applyAlignment="1">
      <alignment horizontal="center"/>
    </xf>
    <xf numFmtId="2" fontId="5" fillId="4" borderId="0" xfId="2" applyNumberFormat="1" applyFill="1"/>
    <xf numFmtId="4" fontId="1" fillId="0" borderId="21" xfId="2" applyNumberFormat="1" applyFont="1" applyBorder="1" applyAlignment="1">
      <alignment horizontal="left"/>
    </xf>
    <xf numFmtId="0" fontId="1" fillId="0" borderId="0" xfId="2" applyFont="1" applyAlignment="1">
      <alignment horizontal="center"/>
    </xf>
    <xf numFmtId="4" fontId="5" fillId="4" borderId="0" xfId="2" applyNumberFormat="1" applyFont="1" applyFill="1"/>
    <xf numFmtId="2" fontId="6" fillId="0" borderId="5" xfId="0" applyNumberFormat="1" applyFont="1" applyFill="1" applyBorder="1" applyAlignment="1">
      <alignment horizontal="right"/>
    </xf>
    <xf numFmtId="0" fontId="8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4" fontId="7" fillId="0" borderId="5" xfId="4" applyNumberFormat="1" applyFont="1" applyFill="1" applyBorder="1" applyAlignment="1">
      <alignment horizontal="right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4" fontId="3" fillId="0" borderId="12" xfId="0" applyNumberFormat="1" applyFont="1" applyBorder="1" applyAlignment="1"/>
    <xf numFmtId="4" fontId="7" fillId="0" borderId="12" xfId="4" applyNumberFormat="1" applyFont="1" applyFill="1" applyBorder="1" applyAlignment="1">
      <alignment horizontal="right"/>
    </xf>
    <xf numFmtId="4" fontId="7" fillId="3" borderId="13" xfId="4" applyNumberFormat="1" applyFont="1" applyFill="1" applyBorder="1" applyAlignment="1">
      <alignment horizontal="right"/>
    </xf>
    <xf numFmtId="49" fontId="3" fillId="3" borderId="11" xfId="0" applyNumberFormat="1" applyFont="1" applyFill="1" applyBorder="1" applyAlignment="1">
      <alignment horizontal="center" vertical="top"/>
    </xf>
    <xf numFmtId="0" fontId="8" fillId="0" borderId="23" xfId="0" applyFont="1" applyBorder="1" applyAlignment="1">
      <alignment vertical="center"/>
    </xf>
    <xf numFmtId="0" fontId="3" fillId="3" borderId="12" xfId="0" applyFont="1" applyFill="1" applyBorder="1" applyAlignment="1">
      <alignment horizontal="center"/>
    </xf>
    <xf numFmtId="2" fontId="3" fillId="3" borderId="12" xfId="4" applyNumberFormat="1" applyFont="1" applyFill="1" applyBorder="1" applyAlignment="1">
      <alignment horizontal="right"/>
    </xf>
    <xf numFmtId="4" fontId="3" fillId="3" borderId="12" xfId="4" applyNumberFormat="1" applyFont="1" applyFill="1" applyBorder="1" applyAlignment="1">
      <alignment horizontal="right"/>
    </xf>
    <xf numFmtId="4" fontId="2" fillId="3" borderId="13" xfId="4" applyNumberFormat="1" applyFont="1" applyFill="1" applyBorder="1" applyAlignment="1">
      <alignment horizontal="right"/>
    </xf>
    <xf numFmtId="0" fontId="12" fillId="0" borderId="0" xfId="2" applyFont="1" applyAlignment="1">
      <alignment horizontal="center"/>
    </xf>
    <xf numFmtId="0" fontId="5" fillId="0" borderId="0" xfId="2" applyBorder="1"/>
    <xf numFmtId="0" fontId="1" fillId="0" borderId="0" xfId="2" applyFont="1" applyBorder="1" applyAlignment="1">
      <alignment horizontal="center"/>
    </xf>
    <xf numFmtId="0" fontId="5" fillId="0" borderId="0" xfId="2" applyBorder="1" applyAlignment="1">
      <alignment horizontal="center"/>
    </xf>
    <xf numFmtId="165" fontId="5" fillId="0" borderId="0" xfId="2" applyNumberFormat="1" applyBorder="1"/>
    <xf numFmtId="2" fontId="5" fillId="0" borderId="0" xfId="2" applyNumberFormat="1" applyBorder="1"/>
    <xf numFmtId="4" fontId="5" fillId="0" borderId="0" xfId="2" applyNumberFormat="1" applyBorder="1"/>
    <xf numFmtId="4" fontId="5" fillId="0" borderId="0" xfId="2" applyNumberFormat="1" applyFont="1" applyBorder="1"/>
    <xf numFmtId="4" fontId="4" fillId="0" borderId="0" xfId="2" applyNumberFormat="1" applyFont="1" applyBorder="1"/>
    <xf numFmtId="49" fontId="2" fillId="3" borderId="10" xfId="0" applyNumberFormat="1" applyFont="1" applyFill="1" applyBorder="1" applyAlignment="1">
      <alignment horizontal="center" vertical="top"/>
    </xf>
    <xf numFmtId="2" fontId="2" fillId="3" borderId="5" xfId="4" applyNumberFormat="1" applyFont="1" applyFill="1" applyBorder="1" applyAlignment="1">
      <alignment horizontal="right"/>
    </xf>
    <xf numFmtId="0" fontId="1" fillId="0" borderId="0" xfId="2" applyFont="1"/>
    <xf numFmtId="165" fontId="13" fillId="0" borderId="0" xfId="2" applyNumberFormat="1" applyFont="1"/>
    <xf numFmtId="0" fontId="14" fillId="4" borderId="0" xfId="2" applyFont="1" applyFill="1" applyAlignment="1">
      <alignment horizontal="center"/>
    </xf>
    <xf numFmtId="2" fontId="14" fillId="4" borderId="0" xfId="2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2" applyAlignment="1">
      <alignment horizontal="center" vertical="top" wrapText="1"/>
    </xf>
    <xf numFmtId="0" fontId="5" fillId="0" borderId="0" xfId="2" applyAlignment="1">
      <alignment horizontal="left"/>
    </xf>
    <xf numFmtId="0" fontId="4" fillId="0" borderId="0" xfId="2" applyFont="1" applyAlignment="1">
      <alignment horizontal="right"/>
    </xf>
    <xf numFmtId="0" fontId="5" fillId="0" borderId="0" xfId="2" applyAlignment="1">
      <alignment horizontal="center"/>
    </xf>
    <xf numFmtId="0" fontId="4" fillId="0" borderId="0" xfId="2" applyFont="1" applyFill="1" applyAlignment="1">
      <alignment horizontal="center"/>
    </xf>
    <xf numFmtId="2" fontId="4" fillId="0" borderId="0" xfId="2" applyNumberFormat="1" applyFont="1" applyFill="1" applyAlignment="1">
      <alignment horizontal="center"/>
    </xf>
    <xf numFmtId="0" fontId="4" fillId="0" borderId="0" xfId="2" applyFont="1" applyAlignment="1">
      <alignment horizontal="right"/>
    </xf>
    <xf numFmtId="43" fontId="5" fillId="0" borderId="0" xfId="4" applyFont="1"/>
    <xf numFmtId="2" fontId="0" fillId="0" borderId="0" xfId="0" applyNumberFormat="1"/>
    <xf numFmtId="2" fontId="0" fillId="4" borderId="0" xfId="0" applyNumberFormat="1" applyFill="1"/>
    <xf numFmtId="2" fontId="0" fillId="0" borderId="0" xfId="0" applyNumberFormat="1" applyFill="1"/>
    <xf numFmtId="2" fontId="14" fillId="0" borderId="0" xfId="0" applyNumberFormat="1" applyFont="1"/>
    <xf numFmtId="0" fontId="1" fillId="0" borderId="0" xfId="0" applyFont="1"/>
    <xf numFmtId="2" fontId="0" fillId="4" borderId="0" xfId="0" applyNumberFormat="1" applyFill="1" applyAlignment="1">
      <alignment horizontal="center"/>
    </xf>
    <xf numFmtId="43" fontId="14" fillId="4" borderId="0" xfId="4" applyFont="1" applyFill="1"/>
    <xf numFmtId="43" fontId="5" fillId="0" borderId="0" xfId="2" applyNumberFormat="1"/>
    <xf numFmtId="43" fontId="15" fillId="4" borderId="0" xfId="2" applyNumberFormat="1" applyFont="1" applyFill="1"/>
    <xf numFmtId="0" fontId="5" fillId="0" borderId="0" xfId="2" applyFill="1"/>
    <xf numFmtId="0" fontId="14" fillId="0" borderId="0" xfId="2" applyFont="1" applyFill="1" applyAlignment="1">
      <alignment horizontal="center"/>
    </xf>
    <xf numFmtId="2" fontId="5" fillId="0" borderId="0" xfId="2" applyNumberFormat="1" applyFill="1"/>
    <xf numFmtId="4" fontId="5" fillId="0" borderId="0" xfId="2" applyNumberFormat="1" applyFill="1"/>
    <xf numFmtId="2" fontId="5" fillId="0" borderId="0" xfId="2" applyNumberFormat="1" applyAlignment="1"/>
    <xf numFmtId="0" fontId="5" fillId="0" borderId="0" xfId="2" applyAlignment="1"/>
    <xf numFmtId="43" fontId="5" fillId="4" borderId="0" xfId="4" applyFont="1" applyFill="1"/>
    <xf numFmtId="4" fontId="5" fillId="0" borderId="5" xfId="2" applyNumberFormat="1" applyBorder="1" applyAlignment="1">
      <alignment horizontal="right"/>
    </xf>
    <xf numFmtId="4" fontId="5" fillId="0" borderId="5" xfId="2" applyNumberFormat="1" applyBorder="1"/>
    <xf numFmtId="0" fontId="1" fillId="0" borderId="25" xfId="2" applyFont="1" applyBorder="1" applyAlignment="1">
      <alignment horizontal="center"/>
    </xf>
    <xf numFmtId="4" fontId="5" fillId="0" borderId="15" xfId="2" applyNumberFormat="1" applyBorder="1"/>
    <xf numFmtId="0" fontId="5" fillId="0" borderId="21" xfId="2" applyBorder="1"/>
    <xf numFmtId="4" fontId="1" fillId="0" borderId="10" xfId="2" applyNumberFormat="1" applyFont="1" applyBorder="1" applyAlignment="1">
      <alignment horizontal="left"/>
    </xf>
    <xf numFmtId="4" fontId="5" fillId="0" borderId="14" xfId="2" applyNumberFormat="1" applyBorder="1" applyAlignment="1">
      <alignment horizontal="left"/>
    </xf>
    <xf numFmtId="4" fontId="5" fillId="0" borderId="0" xfId="2" applyNumberFormat="1" applyFont="1" applyFill="1"/>
    <xf numFmtId="0" fontId="4" fillId="0" borderId="0" xfId="2" applyFont="1" applyFill="1" applyAlignment="1">
      <alignment horizontal="right"/>
    </xf>
    <xf numFmtId="17" fontId="4" fillId="0" borderId="0" xfId="2" applyNumberFormat="1" applyFont="1" applyFill="1" applyAlignment="1">
      <alignment horizontal="right"/>
    </xf>
    <xf numFmtId="0" fontId="12" fillId="0" borderId="0" xfId="2" applyFont="1" applyFill="1" applyAlignment="1">
      <alignment horizontal="center"/>
    </xf>
    <xf numFmtId="2" fontId="1" fillId="0" borderId="0" xfId="2" applyNumberFormat="1" applyFont="1" applyBorder="1"/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wrapText="1"/>
    </xf>
    <xf numFmtId="4" fontId="4" fillId="0" borderId="28" xfId="0" applyNumberFormat="1" applyFont="1" applyBorder="1"/>
    <xf numFmtId="4" fontId="4" fillId="0" borderId="9" xfId="0" applyNumberFormat="1" applyFont="1" applyBorder="1"/>
    <xf numFmtId="4" fontId="0" fillId="0" borderId="6" xfId="0" applyNumberFormat="1" applyBorder="1"/>
    <xf numFmtId="4" fontId="0" fillId="0" borderId="31" xfId="0" applyNumberFormat="1" applyBorder="1"/>
    <xf numFmtId="0" fontId="4" fillId="0" borderId="0" xfId="2" applyFont="1" applyAlignment="1">
      <alignment horizontal="right"/>
    </xf>
    <xf numFmtId="0" fontId="5" fillId="0" borderId="0" xfId="2" applyAlignment="1">
      <alignment horizontal="left"/>
    </xf>
    <xf numFmtId="0" fontId="5" fillId="0" borderId="0" xfId="2" applyBorder="1" applyAlignment="1">
      <alignment horizontal="right"/>
    </xf>
    <xf numFmtId="0" fontId="5" fillId="0" borderId="0" xfId="2" applyAlignment="1">
      <alignment horizontal="center"/>
    </xf>
    <xf numFmtId="0" fontId="4" fillId="0" borderId="0" xfId="2" applyFont="1" applyAlignment="1">
      <alignment horizontal="right"/>
    </xf>
    <xf numFmtId="0" fontId="1" fillId="0" borderId="0" xfId="2" applyFont="1" applyAlignment="1">
      <alignment horizontal="center" vertical="top" wrapText="1"/>
    </xf>
    <xf numFmtId="0" fontId="2" fillId="2" borderId="3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5" fillId="0" borderId="0" xfId="2" applyAlignment="1">
      <alignment horizontal="left"/>
    </xf>
    <xf numFmtId="0" fontId="5" fillId="0" borderId="0" xfId="2" applyBorder="1" applyAlignment="1">
      <alignment horizontal="right"/>
    </xf>
    <xf numFmtId="0" fontId="5" fillId="0" borderId="0" xfId="2" applyAlignment="1">
      <alignment horizontal="center"/>
    </xf>
    <xf numFmtId="0" fontId="4" fillId="0" borderId="0" xfId="2" applyFont="1" applyAlignment="1">
      <alignment horizontal="right"/>
    </xf>
    <xf numFmtId="0" fontId="1" fillId="0" borderId="25" xfId="2" applyFont="1" applyBorder="1" applyAlignment="1">
      <alignment horizontal="center" wrapText="1"/>
    </xf>
    <xf numFmtId="0" fontId="1" fillId="0" borderId="25" xfId="2" applyFont="1" applyFill="1" applyBorder="1" applyAlignment="1">
      <alignment horizontal="center"/>
    </xf>
    <xf numFmtId="0" fontId="1" fillId="4" borderId="0" xfId="2" applyFont="1" applyFill="1"/>
    <xf numFmtId="43" fontId="5" fillId="4" borderId="0" xfId="2" applyNumberFormat="1" applyFill="1"/>
    <xf numFmtId="0" fontId="5" fillId="4" borderId="0" xfId="2" applyFill="1"/>
    <xf numFmtId="43" fontId="14" fillId="0" borderId="0" xfId="2" applyNumberFormat="1" applyFont="1"/>
    <xf numFmtId="49" fontId="2" fillId="5" borderId="10" xfId="0" applyNumberFormat="1" applyFont="1" applyFill="1" applyBorder="1" applyAlignment="1">
      <alignment horizontal="center" vertical="top"/>
    </xf>
    <xf numFmtId="0" fontId="2" fillId="5" borderId="5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/>
    </xf>
    <xf numFmtId="2" fontId="2" fillId="5" borderId="5" xfId="0" applyNumberFormat="1" applyFont="1" applyFill="1" applyBorder="1" applyAlignment="1">
      <alignment horizontal="center"/>
    </xf>
    <xf numFmtId="2" fontId="6" fillId="5" borderId="5" xfId="0" applyNumberFormat="1" applyFont="1" applyFill="1" applyBorder="1" applyAlignment="1">
      <alignment horizontal="right"/>
    </xf>
    <xf numFmtId="43" fontId="2" fillId="5" borderId="6" xfId="4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vertical="center"/>
    </xf>
    <xf numFmtId="4" fontId="7" fillId="0" borderId="6" xfId="4" applyNumberFormat="1" applyFont="1" applyFill="1" applyBorder="1" applyAlignment="1">
      <alignment horizontal="right"/>
    </xf>
    <xf numFmtId="0" fontId="1" fillId="0" borderId="24" xfId="2" applyFont="1" applyBorder="1" applyAlignment="1">
      <alignment horizontal="center" wrapText="1"/>
    </xf>
    <xf numFmtId="0" fontId="1" fillId="0" borderId="0" xfId="2" applyFont="1" applyBorder="1" applyAlignment="1">
      <alignment horizontal="center" wrapText="1"/>
    </xf>
    <xf numFmtId="4" fontId="5" fillId="0" borderId="24" xfId="2" applyNumberFormat="1" applyBorder="1"/>
    <xf numFmtId="4" fontId="0" fillId="0" borderId="0" xfId="0" applyNumberFormat="1"/>
    <xf numFmtId="0" fontId="2" fillId="2" borderId="1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2" fontId="2" fillId="0" borderId="10" xfId="0" applyNumberFormat="1" applyFont="1" applyBorder="1" applyAlignment="1">
      <alignment horizontal="left" vertical="top" wrapText="1"/>
    </xf>
    <xf numFmtId="2" fontId="2" fillId="0" borderId="5" xfId="0" applyNumberFormat="1" applyFont="1" applyBorder="1" applyAlignment="1">
      <alignment horizontal="left" vertical="top" wrapText="1"/>
    </xf>
    <xf numFmtId="2" fontId="2" fillId="0" borderId="7" xfId="1" applyNumberFormat="1" applyFont="1" applyBorder="1" applyAlignment="1">
      <alignment horizontal="left"/>
    </xf>
    <xf numFmtId="2" fontId="2" fillId="0" borderId="3" xfId="1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left" vertical="top" wrapText="1"/>
    </xf>
    <xf numFmtId="2" fontId="2" fillId="0" borderId="4" xfId="0" applyNumberFormat="1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43" fontId="5" fillId="0" borderId="0" xfId="2" applyNumberFormat="1" applyAlignment="1">
      <alignment horizontal="center"/>
    </xf>
    <xf numFmtId="43" fontId="14" fillId="0" borderId="0" xfId="2" applyNumberFormat="1" applyFont="1" applyAlignment="1">
      <alignment horizontal="center"/>
    </xf>
    <xf numFmtId="0" fontId="14" fillId="0" borderId="0" xfId="2" applyFont="1" applyAlignment="1">
      <alignment horizontal="center"/>
    </xf>
    <xf numFmtId="4" fontId="2" fillId="0" borderId="0" xfId="2" applyNumberFormat="1" applyFont="1" applyAlignment="1">
      <alignment horizontal="center"/>
    </xf>
    <xf numFmtId="0" fontId="5" fillId="0" borderId="0" xfId="2" applyBorder="1" applyAlignment="1">
      <alignment horizontal="right"/>
    </xf>
    <xf numFmtId="0" fontId="5" fillId="0" borderId="0" xfId="2" applyAlignment="1">
      <alignment horizontal="center"/>
    </xf>
    <xf numFmtId="0" fontId="5" fillId="0" borderId="0" xfId="2" applyAlignment="1">
      <alignment horizontal="left"/>
    </xf>
    <xf numFmtId="0" fontId="1" fillId="0" borderId="0" xfId="2" applyFont="1" applyAlignment="1">
      <alignment horizontal="left"/>
    </xf>
    <xf numFmtId="0" fontId="1" fillId="0" borderId="0" xfId="2" applyFont="1" applyAlignment="1">
      <alignment horizontal="left" vertical="top" wrapText="1"/>
    </xf>
    <xf numFmtId="0" fontId="5" fillId="0" borderId="0" xfId="2" applyAlignment="1">
      <alignment horizontal="left" vertical="top" wrapText="1"/>
    </xf>
    <xf numFmtId="0" fontId="4" fillId="0" borderId="0" xfId="2" applyFont="1" applyFill="1" applyAlignment="1">
      <alignment horizontal="righ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9" xfId="0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2" applyFont="1" applyAlignment="1">
      <alignment horizontal="left" wrapText="1"/>
    </xf>
    <xf numFmtId="0" fontId="4" fillId="0" borderId="0" xfId="2" applyFont="1" applyAlignment="1">
      <alignment horizontal="right"/>
    </xf>
  </cellXfs>
  <cellStyles count="7">
    <cellStyle name="Moeda" xfId="1" builtinId="4"/>
    <cellStyle name="Normal" xfId="0" builtinId="0"/>
    <cellStyle name="Normal 2" xfId="2"/>
    <cellStyle name="Normal 5" xfId="5"/>
    <cellStyle name="Porcentagem 2" xfId="3"/>
    <cellStyle name="Separador de milhares" xfId="4" builtinId="3"/>
    <cellStyle name="Separador de milhares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rral.jcpb/Sorocaba/Planilhas%20finais/C&#225;lc.%20Orc.%20de%20Proj.%20Modelo%20CEF%20-%20Sorocaba%2018.08.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1"/>
      <sheetName val="Coefic.CEF"/>
      <sheetName val="Plan3"/>
    </sheetNames>
    <sheetDataSet>
      <sheetData sheetId="0" refreshError="1"/>
      <sheetData sheetId="1" refreshError="1">
        <row r="2">
          <cell r="G2" t="str">
            <v>Observações: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4"/>
  <sheetViews>
    <sheetView topLeftCell="A34" zoomScale="75" zoomScaleNormal="75" workbookViewId="0">
      <selection activeCell="A2" sqref="A2:F60"/>
    </sheetView>
  </sheetViews>
  <sheetFormatPr defaultRowHeight="12.75"/>
  <cols>
    <col min="1" max="1" width="6.7109375" bestFit="1" customWidth="1"/>
    <col min="2" max="2" width="81.42578125" customWidth="1"/>
    <col min="3" max="3" width="7.5703125" customWidth="1"/>
    <col min="4" max="4" width="10" bestFit="1" customWidth="1"/>
    <col min="5" max="5" width="15.140625" bestFit="1" customWidth="1"/>
    <col min="6" max="6" width="16.5703125" customWidth="1"/>
  </cols>
  <sheetData>
    <row r="1" spans="1:13" ht="13.5" thickBot="1"/>
    <row r="2" spans="1:13" ht="15.75">
      <c r="A2" s="169" t="s">
        <v>83</v>
      </c>
      <c r="B2" s="170"/>
      <c r="C2" s="170"/>
      <c r="D2" s="170"/>
      <c r="E2" s="170"/>
      <c r="F2" s="171"/>
    </row>
    <row r="3" spans="1:13">
      <c r="A3" s="172" t="s">
        <v>84</v>
      </c>
      <c r="B3" s="173"/>
      <c r="C3" s="173"/>
      <c r="D3" s="173"/>
      <c r="E3" s="173"/>
      <c r="F3" s="174"/>
    </row>
    <row r="4" spans="1:13" ht="15.75">
      <c r="A4" s="175" t="s">
        <v>111</v>
      </c>
      <c r="B4" s="176"/>
      <c r="C4" s="176"/>
      <c r="D4" s="176"/>
      <c r="E4" s="177" t="s">
        <v>112</v>
      </c>
      <c r="F4" s="178"/>
    </row>
    <row r="5" spans="1:13" ht="15.75">
      <c r="A5" s="179" t="s">
        <v>35</v>
      </c>
      <c r="B5" s="180"/>
      <c r="C5" s="180"/>
      <c r="D5" s="181"/>
      <c r="E5" s="182" t="s">
        <v>216</v>
      </c>
      <c r="F5" s="183"/>
      <c r="H5" s="95">
        <f>SUM(H9:H54)</f>
        <v>1</v>
      </c>
      <c r="I5" s="95">
        <f t="shared" ref="I5:M5" si="0">SUM(I9:I54)</f>
        <v>1</v>
      </c>
      <c r="J5" s="95">
        <f t="shared" si="0"/>
        <v>1</v>
      </c>
      <c r="K5" s="95">
        <f t="shared" si="0"/>
        <v>1</v>
      </c>
      <c r="L5" s="95">
        <f t="shared" si="0"/>
        <v>1</v>
      </c>
      <c r="M5" s="95">
        <f t="shared" si="0"/>
        <v>1</v>
      </c>
    </row>
    <row r="6" spans="1:13" ht="15.75">
      <c r="A6" s="1" t="s">
        <v>22</v>
      </c>
      <c r="B6" s="2" t="s">
        <v>11</v>
      </c>
      <c r="C6" s="3" t="s">
        <v>12</v>
      </c>
      <c r="D6" s="4" t="s">
        <v>13</v>
      </c>
      <c r="E6" s="63" t="s">
        <v>50</v>
      </c>
      <c r="F6" s="5" t="s">
        <v>0</v>
      </c>
      <c r="H6" s="94">
        <v>15</v>
      </c>
      <c r="I6" s="94">
        <v>16</v>
      </c>
      <c r="J6" s="94">
        <v>17</v>
      </c>
      <c r="K6" s="94">
        <v>18</v>
      </c>
      <c r="L6" s="94">
        <v>19</v>
      </c>
      <c r="M6" s="94">
        <v>20</v>
      </c>
    </row>
    <row r="7" spans="1:13" ht="31.5">
      <c r="A7" s="157"/>
      <c r="B7" s="158" t="s">
        <v>253</v>
      </c>
      <c r="C7" s="159"/>
      <c r="D7" s="160"/>
      <c r="E7" s="161"/>
      <c r="F7" s="162"/>
      <c r="H7" s="94"/>
      <c r="I7" s="94"/>
      <c r="J7" s="94"/>
      <c r="K7" s="94"/>
      <c r="L7" s="94"/>
      <c r="M7" s="94"/>
    </row>
    <row r="8" spans="1:13" ht="15.75">
      <c r="A8" s="1" t="s">
        <v>51</v>
      </c>
      <c r="B8" s="7" t="s">
        <v>52</v>
      </c>
      <c r="C8" s="3"/>
      <c r="D8" s="4"/>
      <c r="E8" s="63"/>
      <c r="F8" s="5"/>
      <c r="H8" s="93" t="s">
        <v>122</v>
      </c>
      <c r="I8" s="93" t="s">
        <v>123</v>
      </c>
      <c r="J8" s="93" t="s">
        <v>124</v>
      </c>
      <c r="K8" s="93" t="s">
        <v>125</v>
      </c>
      <c r="L8" s="93" t="s">
        <v>126</v>
      </c>
      <c r="M8" s="93" t="s">
        <v>127</v>
      </c>
    </row>
    <row r="9" spans="1:13" ht="15">
      <c r="A9" s="11" t="s">
        <v>1</v>
      </c>
      <c r="B9" s="132" t="s">
        <v>113</v>
      </c>
      <c r="C9" s="8" t="s">
        <v>14</v>
      </c>
      <c r="D9" s="163">
        <v>3</v>
      </c>
      <c r="E9" s="66">
        <f>0.25*HON__CEF!I16+HON__CEF!C68</f>
        <v>13354.040678087917</v>
      </c>
      <c r="F9" s="164">
        <f>D9*E9</f>
        <v>40062.122034263753</v>
      </c>
      <c r="H9" s="94"/>
      <c r="I9" s="94">
        <v>0.25</v>
      </c>
      <c r="J9" s="94"/>
      <c r="K9" s="94"/>
      <c r="L9" s="94"/>
      <c r="M9" s="94"/>
    </row>
    <row r="10" spans="1:13" ht="15">
      <c r="A10" s="11" t="s">
        <v>2</v>
      </c>
      <c r="B10" s="132" t="s">
        <v>53</v>
      </c>
      <c r="C10" s="8" t="s">
        <v>14</v>
      </c>
      <c r="D10" s="9">
        <v>6</v>
      </c>
      <c r="E10" s="12">
        <f>(0.25*HON__CEF!I15)/2</f>
        <v>3010.2290746204176</v>
      </c>
      <c r="F10" s="13">
        <f t="shared" ref="F10:F18" si="1">D10*E10</f>
        <v>18061.374447722505</v>
      </c>
      <c r="H10" s="94">
        <v>0.25</v>
      </c>
      <c r="I10" s="94"/>
      <c r="J10" s="94"/>
      <c r="K10" s="94"/>
      <c r="L10" s="94"/>
      <c r="M10" s="94"/>
    </row>
    <row r="11" spans="1:13" ht="15">
      <c r="A11" s="11" t="s">
        <v>3</v>
      </c>
      <c r="B11" s="132" t="s">
        <v>54</v>
      </c>
      <c r="C11" s="8" t="s">
        <v>14</v>
      </c>
      <c r="D11" s="9">
        <v>6</v>
      </c>
      <c r="E11" s="12">
        <f>0.08*HON__CEF!I15</f>
        <v>1926.5466077570672</v>
      </c>
      <c r="F11" s="13">
        <f t="shared" si="1"/>
        <v>11559.279646542403</v>
      </c>
      <c r="H11" s="94">
        <v>0.08</v>
      </c>
      <c r="I11" s="94"/>
      <c r="J11" s="94"/>
      <c r="K11" s="94"/>
      <c r="L11" s="94"/>
      <c r="M11" s="94"/>
    </row>
    <row r="12" spans="1:13" ht="15">
      <c r="A12" s="11" t="s">
        <v>4</v>
      </c>
      <c r="B12" s="132" t="s">
        <v>55</v>
      </c>
      <c r="C12" s="8" t="s">
        <v>14</v>
      </c>
      <c r="D12" s="9">
        <v>6</v>
      </c>
      <c r="E12" s="12">
        <f>(0.075*HON__CEF!I16)+(0.075*HON__CEF!I21)</f>
        <v>2414.2827921716253</v>
      </c>
      <c r="F12" s="13">
        <f t="shared" si="1"/>
        <v>14485.696753029752</v>
      </c>
      <c r="H12" s="94"/>
      <c r="I12" s="94">
        <v>0.15</v>
      </c>
      <c r="J12" s="94"/>
      <c r="K12" s="94"/>
      <c r="L12" s="94"/>
      <c r="M12" s="94"/>
    </row>
    <row r="13" spans="1:13" ht="15">
      <c r="A13" s="11" t="s">
        <v>15</v>
      </c>
      <c r="B13" s="132" t="s">
        <v>56</v>
      </c>
      <c r="C13" s="8" t="s">
        <v>14</v>
      </c>
      <c r="D13" s="9">
        <v>6</v>
      </c>
      <c r="E13" s="12">
        <f>0.15*HON__CEF!I19</f>
        <v>1215.2992552144935</v>
      </c>
      <c r="F13" s="13">
        <f t="shared" si="1"/>
        <v>7291.7955312869617</v>
      </c>
      <c r="H13" s="94"/>
      <c r="I13" s="94"/>
      <c r="J13" s="94"/>
      <c r="K13" s="94"/>
      <c r="L13" s="94">
        <v>0.15</v>
      </c>
      <c r="M13" s="94"/>
    </row>
    <row r="14" spans="1:13" ht="30">
      <c r="A14" s="11" t="s">
        <v>16</v>
      </c>
      <c r="B14" s="132" t="s">
        <v>114</v>
      </c>
      <c r="C14" s="8" t="s">
        <v>14</v>
      </c>
      <c r="D14" s="9">
        <v>6</v>
      </c>
      <c r="E14" s="12">
        <f>0.2*HON__CEF!I17</f>
        <v>3167.090800446601</v>
      </c>
      <c r="F14" s="13">
        <f t="shared" si="1"/>
        <v>19002.544802679608</v>
      </c>
      <c r="H14" s="94"/>
      <c r="I14" s="94"/>
      <c r="J14" s="94">
        <v>0.2</v>
      </c>
      <c r="K14" s="94"/>
      <c r="L14" s="94"/>
      <c r="M14" s="94"/>
    </row>
    <row r="15" spans="1:13" ht="30">
      <c r="A15" s="11" t="s">
        <v>36</v>
      </c>
      <c r="B15" s="132" t="s">
        <v>132</v>
      </c>
      <c r="C15" s="8" t="s">
        <v>14</v>
      </c>
      <c r="D15" s="9">
        <v>6</v>
      </c>
      <c r="E15" s="12">
        <f>0.05*HON__CEF!I17</f>
        <v>791.77270011165024</v>
      </c>
      <c r="F15" s="13">
        <f t="shared" si="1"/>
        <v>4750.6362006699019</v>
      </c>
      <c r="H15" s="94"/>
      <c r="I15" s="94"/>
      <c r="J15" s="94">
        <v>0.05</v>
      </c>
      <c r="K15" s="94"/>
      <c r="L15" s="94"/>
      <c r="M15" s="94"/>
    </row>
    <row r="16" spans="1:13" ht="30">
      <c r="A16" s="11" t="s">
        <v>85</v>
      </c>
      <c r="B16" s="133" t="s">
        <v>108</v>
      </c>
      <c r="C16" s="15" t="s">
        <v>14</v>
      </c>
      <c r="D16" s="9">
        <v>6</v>
      </c>
      <c r="E16" s="12">
        <f>0.4*HON__CEF!I18</f>
        <v>3812.2389264635003</v>
      </c>
      <c r="F16" s="13">
        <f t="shared" si="1"/>
        <v>22873.433558781002</v>
      </c>
      <c r="H16" s="94"/>
      <c r="I16" s="94"/>
      <c r="J16" s="94"/>
      <c r="K16" s="94">
        <v>0.4</v>
      </c>
      <c r="L16" s="94"/>
      <c r="M16" s="94"/>
    </row>
    <row r="17" spans="1:13" ht="30">
      <c r="A17" s="11" t="s">
        <v>86</v>
      </c>
      <c r="B17" s="132" t="s">
        <v>57</v>
      </c>
      <c r="C17" s="8" t="s">
        <v>14</v>
      </c>
      <c r="D17" s="9">
        <v>6</v>
      </c>
      <c r="E17" s="12">
        <f>0.15*HON__CEF!I19</f>
        <v>1215.2992552144935</v>
      </c>
      <c r="F17" s="13">
        <f t="shared" si="1"/>
        <v>7291.7955312869617</v>
      </c>
      <c r="H17" s="94"/>
      <c r="I17" s="94"/>
      <c r="J17" s="94"/>
      <c r="K17" s="94"/>
      <c r="L17" s="94">
        <v>0.15</v>
      </c>
      <c r="M17" s="94"/>
    </row>
    <row r="18" spans="1:13" ht="15">
      <c r="A18" s="11" t="s">
        <v>58</v>
      </c>
      <c r="B18" s="132" t="s">
        <v>59</v>
      </c>
      <c r="C18" s="8" t="s">
        <v>14</v>
      </c>
      <c r="D18" s="9">
        <v>6</v>
      </c>
      <c r="E18" s="12">
        <f>0.05*HON__CEF!I17</f>
        <v>791.77270011165024</v>
      </c>
      <c r="F18" s="13">
        <f t="shared" si="1"/>
        <v>4750.6362006699019</v>
      </c>
      <c r="H18" s="94"/>
      <c r="I18" s="94"/>
      <c r="J18" s="94">
        <v>0.05</v>
      </c>
      <c r="K18" s="94"/>
      <c r="L18" s="94"/>
      <c r="M18" s="94"/>
    </row>
    <row r="19" spans="1:13" ht="15">
      <c r="A19" s="11"/>
      <c r="B19" s="14"/>
      <c r="C19" s="8"/>
      <c r="D19" s="9"/>
      <c r="E19" s="12"/>
      <c r="F19" s="13"/>
      <c r="H19" s="94"/>
      <c r="I19" s="94"/>
      <c r="J19" s="94"/>
      <c r="K19" s="94"/>
      <c r="L19" s="94"/>
      <c r="M19" s="94"/>
    </row>
    <row r="20" spans="1:13" ht="15.75">
      <c r="A20" s="11"/>
      <c r="B20" s="64" t="s">
        <v>17</v>
      </c>
      <c r="C20" s="8"/>
      <c r="D20" s="9"/>
      <c r="E20" s="16"/>
      <c r="F20" s="17">
        <f>SUM(F9:F19)</f>
        <v>150129.31470693275</v>
      </c>
      <c r="H20" s="94"/>
      <c r="I20" s="94"/>
      <c r="J20" s="94"/>
      <c r="K20" s="94"/>
      <c r="L20" s="94"/>
      <c r="M20" s="94"/>
    </row>
    <row r="21" spans="1:13" ht="15">
      <c r="A21" s="18"/>
      <c r="B21" s="19"/>
      <c r="C21" s="20"/>
      <c r="D21" s="21"/>
      <c r="E21" s="22"/>
      <c r="F21" s="23"/>
      <c r="H21" s="94"/>
      <c r="I21" s="94"/>
      <c r="J21" s="94"/>
      <c r="K21" s="94"/>
      <c r="L21" s="94"/>
      <c r="M21" s="94"/>
    </row>
    <row r="22" spans="1:13" ht="15">
      <c r="A22" s="18"/>
      <c r="B22" s="19"/>
      <c r="C22" s="20"/>
      <c r="D22" s="24"/>
      <c r="E22" s="22"/>
      <c r="F22" s="25"/>
      <c r="H22" s="94"/>
      <c r="I22" s="94"/>
      <c r="J22" s="94"/>
      <c r="K22" s="94"/>
      <c r="L22" s="94"/>
      <c r="M22" s="94"/>
    </row>
    <row r="23" spans="1:13" ht="15.75">
      <c r="A23" s="87" t="s">
        <v>60</v>
      </c>
      <c r="B23" s="65" t="s">
        <v>61</v>
      </c>
      <c r="C23" s="20"/>
      <c r="D23" s="24"/>
      <c r="E23" s="22"/>
      <c r="F23" s="25"/>
      <c r="H23" s="94"/>
      <c r="I23" s="94"/>
      <c r="J23" s="94"/>
      <c r="K23" s="94"/>
      <c r="L23" s="94"/>
      <c r="M23" s="94"/>
    </row>
    <row r="24" spans="1:13" ht="15">
      <c r="A24" s="11" t="s">
        <v>5</v>
      </c>
      <c r="B24" s="132" t="s">
        <v>62</v>
      </c>
      <c r="C24" s="8" t="s">
        <v>14</v>
      </c>
      <c r="D24" s="9">
        <v>6</v>
      </c>
      <c r="E24" s="12">
        <f>0.1*HON__CEF!I15+0.05*HON__CEF!I15</f>
        <v>3612.2748895445011</v>
      </c>
      <c r="F24" s="13">
        <f>D24*E24</f>
        <v>21673.649337267008</v>
      </c>
      <c r="H24" s="94">
        <v>0.15</v>
      </c>
      <c r="I24" s="94"/>
      <c r="J24" s="94"/>
      <c r="K24" s="94"/>
      <c r="L24" s="94"/>
      <c r="M24" s="94"/>
    </row>
    <row r="25" spans="1:13" ht="15">
      <c r="A25" s="11" t="s">
        <v>6</v>
      </c>
      <c r="B25" s="132" t="s">
        <v>63</v>
      </c>
      <c r="C25" s="8" t="s">
        <v>14</v>
      </c>
      <c r="D25" s="9">
        <v>6</v>
      </c>
      <c r="E25" s="12">
        <f>0.15*HON__CEF!I17</f>
        <v>2375.3181003349505</v>
      </c>
      <c r="F25" s="13">
        <f t="shared" ref="F25:F26" si="2">D25*E25</f>
        <v>14251.908602009702</v>
      </c>
      <c r="H25" s="94"/>
      <c r="I25" s="94"/>
      <c r="J25" s="94">
        <v>0.15</v>
      </c>
      <c r="K25" s="94"/>
      <c r="L25" s="94"/>
      <c r="M25" s="94"/>
    </row>
    <row r="26" spans="1:13" ht="15">
      <c r="A26" s="11" t="s">
        <v>7</v>
      </c>
      <c r="B26" s="132" t="s">
        <v>64</v>
      </c>
      <c r="C26" s="8" t="s">
        <v>14</v>
      </c>
      <c r="D26" s="9">
        <v>6</v>
      </c>
      <c r="E26" s="12">
        <f>0.15*HON__CEF!I19</f>
        <v>1215.2992552144935</v>
      </c>
      <c r="F26" s="13">
        <f t="shared" si="2"/>
        <v>7291.7955312869617</v>
      </c>
      <c r="H26" s="94"/>
      <c r="I26" s="94"/>
      <c r="J26" s="94"/>
      <c r="K26" s="94"/>
      <c r="L26" s="94">
        <v>0.15</v>
      </c>
      <c r="M26" s="94"/>
    </row>
    <row r="27" spans="1:13" ht="15">
      <c r="A27" s="11"/>
      <c r="B27" s="14"/>
      <c r="C27" s="8"/>
      <c r="D27" s="9"/>
      <c r="E27" s="12"/>
      <c r="F27" s="13"/>
      <c r="H27" s="94"/>
      <c r="I27" s="94"/>
      <c r="J27" s="94"/>
      <c r="K27" s="94"/>
      <c r="L27" s="94"/>
      <c r="M27" s="94"/>
    </row>
    <row r="28" spans="1:13" ht="15.75">
      <c r="A28" s="11"/>
      <c r="B28" s="64" t="s">
        <v>17</v>
      </c>
      <c r="C28" s="8"/>
      <c r="D28" s="9"/>
      <c r="E28" s="16"/>
      <c r="F28" s="17">
        <f>SUM(F24:F27)</f>
        <v>43217.35347056367</v>
      </c>
      <c r="H28" s="94"/>
      <c r="I28" s="94"/>
      <c r="J28" s="94"/>
      <c r="K28" s="94"/>
      <c r="L28" s="94"/>
      <c r="M28" s="94"/>
    </row>
    <row r="29" spans="1:13" ht="15.75">
      <c r="A29" s="11"/>
      <c r="B29" s="14"/>
      <c r="C29" s="8"/>
      <c r="D29" s="9"/>
      <c r="E29" s="26"/>
      <c r="F29" s="10"/>
      <c r="H29" s="94"/>
      <c r="I29" s="94"/>
      <c r="J29" s="94"/>
      <c r="K29" s="94"/>
      <c r="L29" s="94"/>
      <c r="M29" s="94"/>
    </row>
    <row r="30" spans="1:13" ht="15.75">
      <c r="A30" s="6">
        <v>3</v>
      </c>
      <c r="B30" s="65" t="s">
        <v>65</v>
      </c>
      <c r="C30" s="8"/>
      <c r="D30" s="9"/>
      <c r="E30" s="22"/>
      <c r="F30" s="23"/>
      <c r="H30" s="94"/>
      <c r="I30" s="94"/>
      <c r="J30" s="94"/>
      <c r="K30" s="94"/>
      <c r="L30" s="94"/>
      <c r="M30" s="94"/>
    </row>
    <row r="31" spans="1:13" ht="15">
      <c r="A31" s="11" t="s">
        <v>8</v>
      </c>
      <c r="B31" s="132" t="s">
        <v>115</v>
      </c>
      <c r="C31" s="8" t="s">
        <v>14</v>
      </c>
      <c r="D31" s="9">
        <v>6</v>
      </c>
      <c r="E31" s="12">
        <f>0.255*HON__CEF!I15</f>
        <v>6140.8673122256523</v>
      </c>
      <c r="F31" s="13">
        <f>D31*E31</f>
        <v>36845.203873353916</v>
      </c>
      <c r="H31" s="94">
        <v>0.255</v>
      </c>
      <c r="I31" s="94"/>
      <c r="J31" s="94"/>
      <c r="K31" s="94"/>
      <c r="L31" s="94"/>
      <c r="M31" s="94"/>
    </row>
    <row r="32" spans="1:13" ht="15">
      <c r="A32" s="11" t="s">
        <v>9</v>
      </c>
      <c r="B32" s="132" t="s">
        <v>66</v>
      </c>
      <c r="C32" s="8" t="s">
        <v>14</v>
      </c>
      <c r="D32" s="9">
        <v>6</v>
      </c>
      <c r="E32" s="12">
        <f>0.04*HON__CEF!I15</f>
        <v>963.27330387853362</v>
      </c>
      <c r="F32" s="13">
        <f t="shared" ref="F32:F52" si="3">D32*E32</f>
        <v>5779.6398232712017</v>
      </c>
      <c r="H32" s="94">
        <v>0.04</v>
      </c>
      <c r="I32" s="94"/>
      <c r="J32" s="94"/>
      <c r="K32" s="94"/>
      <c r="L32" s="94"/>
      <c r="M32" s="94"/>
    </row>
    <row r="33" spans="1:13" ht="15">
      <c r="A33" s="11" t="s">
        <v>18</v>
      </c>
      <c r="B33" s="132" t="s">
        <v>67</v>
      </c>
      <c r="C33" s="8" t="s">
        <v>14</v>
      </c>
      <c r="D33" s="9">
        <v>6</v>
      </c>
      <c r="E33" s="12">
        <f>0.04*HON__CEF!I15</f>
        <v>963.27330387853362</v>
      </c>
      <c r="F33" s="13">
        <f t="shared" si="3"/>
        <v>5779.6398232712017</v>
      </c>
      <c r="H33" s="94">
        <v>0.04</v>
      </c>
      <c r="I33" s="94"/>
      <c r="J33" s="94"/>
      <c r="K33" s="94"/>
      <c r="L33" s="94"/>
      <c r="M33" s="94"/>
    </row>
    <row r="34" spans="1:13" ht="15">
      <c r="A34" s="11" t="s">
        <v>37</v>
      </c>
      <c r="B34" s="132" t="s">
        <v>68</v>
      </c>
      <c r="C34" s="8" t="s">
        <v>14</v>
      </c>
      <c r="D34" s="9">
        <v>6</v>
      </c>
      <c r="E34" s="12">
        <f>0.06*HON__CEF!I15</f>
        <v>1444.9099558178004</v>
      </c>
      <c r="F34" s="13">
        <f t="shared" si="3"/>
        <v>8669.4597349068026</v>
      </c>
      <c r="H34" s="94">
        <v>0.06</v>
      </c>
      <c r="I34" s="94"/>
      <c r="J34" s="94"/>
      <c r="K34" s="94"/>
      <c r="L34" s="94"/>
      <c r="M34" s="94"/>
    </row>
    <row r="35" spans="1:13" ht="15">
      <c r="A35" s="11" t="s">
        <v>87</v>
      </c>
      <c r="B35" s="132" t="s">
        <v>69</v>
      </c>
      <c r="C35" s="8" t="s">
        <v>14</v>
      </c>
      <c r="D35" s="9">
        <v>6</v>
      </c>
      <c r="E35" s="12">
        <f>0.075*HON__CEF!I15</f>
        <v>1806.1374447722505</v>
      </c>
      <c r="F35" s="13">
        <f t="shared" si="3"/>
        <v>10836.824668633504</v>
      </c>
      <c r="H35" s="94">
        <v>7.4999999999999997E-2</v>
      </c>
      <c r="I35" s="94"/>
      <c r="J35" s="94"/>
      <c r="K35" s="94"/>
      <c r="L35" s="94"/>
      <c r="M35" s="94"/>
    </row>
    <row r="36" spans="1:13" ht="15">
      <c r="A36" s="11" t="s">
        <v>88</v>
      </c>
      <c r="B36" s="132" t="s">
        <v>131</v>
      </c>
      <c r="C36" s="8" t="s">
        <v>14</v>
      </c>
      <c r="D36" s="9">
        <v>6</v>
      </c>
      <c r="E36" s="12">
        <f>0.05*HON__CEF!I15</f>
        <v>1204.091629848167</v>
      </c>
      <c r="F36" s="13">
        <f t="shared" si="3"/>
        <v>7224.5497790890022</v>
      </c>
      <c r="H36" s="94">
        <v>0.05</v>
      </c>
      <c r="I36" s="94"/>
      <c r="J36" s="94"/>
      <c r="K36" s="94"/>
      <c r="L36" s="94"/>
      <c r="M36" s="94"/>
    </row>
    <row r="37" spans="1:13" ht="15">
      <c r="A37" s="11" t="s">
        <v>89</v>
      </c>
      <c r="B37" s="132" t="s">
        <v>70</v>
      </c>
      <c r="C37" s="8" t="s">
        <v>14</v>
      </c>
      <c r="D37" s="9">
        <v>6</v>
      </c>
      <c r="E37" s="12">
        <f>0.3*HON__CEF!I21</f>
        <v>7017.8888349810004</v>
      </c>
      <c r="F37" s="13">
        <f t="shared" si="3"/>
        <v>42107.333009886002</v>
      </c>
      <c r="H37" s="94"/>
      <c r="I37" s="94">
        <v>0.3</v>
      </c>
      <c r="J37" s="94"/>
      <c r="K37" s="94"/>
      <c r="L37" s="94"/>
      <c r="M37" s="94"/>
    </row>
    <row r="38" spans="1:13" ht="15">
      <c r="A38" s="11" t="s">
        <v>90</v>
      </c>
      <c r="B38" s="132" t="s">
        <v>71</v>
      </c>
      <c r="C38" s="8" t="s">
        <v>14</v>
      </c>
      <c r="D38" s="9">
        <v>6</v>
      </c>
      <c r="E38" s="12">
        <f>0.3*HON__CEF!I16</f>
        <v>2639.2423337055002</v>
      </c>
      <c r="F38" s="13">
        <f t="shared" si="3"/>
        <v>15835.454002233</v>
      </c>
      <c r="H38" s="94"/>
      <c r="I38" s="94">
        <v>0.3</v>
      </c>
      <c r="J38" s="94"/>
      <c r="K38" s="94"/>
      <c r="L38" s="94"/>
      <c r="M38" s="94"/>
    </row>
    <row r="39" spans="1:13" ht="15">
      <c r="A39" s="11" t="s">
        <v>91</v>
      </c>
      <c r="B39" s="132" t="s">
        <v>72</v>
      </c>
      <c r="C39" s="8" t="s">
        <v>14</v>
      </c>
      <c r="D39" s="9">
        <v>6</v>
      </c>
      <c r="E39" s="12">
        <f>0.15*HON__CEF!I19</f>
        <v>1215.2992552144935</v>
      </c>
      <c r="F39" s="13">
        <f t="shared" si="3"/>
        <v>7291.7955312869617</v>
      </c>
      <c r="H39" s="94"/>
      <c r="I39" s="94"/>
      <c r="J39" s="94"/>
      <c r="K39" s="94"/>
      <c r="L39" s="94">
        <v>0.15</v>
      </c>
      <c r="M39" s="94"/>
    </row>
    <row r="40" spans="1:13" ht="15">
      <c r="A40" s="11" t="s">
        <v>92</v>
      </c>
      <c r="B40" s="132" t="s">
        <v>73</v>
      </c>
      <c r="C40" s="8" t="s">
        <v>14</v>
      </c>
      <c r="D40" s="9">
        <v>6</v>
      </c>
      <c r="E40" s="12">
        <f>0.15*HON__CEF!I19</f>
        <v>1215.2992552144935</v>
      </c>
      <c r="F40" s="13">
        <f t="shared" si="3"/>
        <v>7291.7955312869617</v>
      </c>
      <c r="H40" s="94"/>
      <c r="I40" s="94"/>
      <c r="J40" s="94"/>
      <c r="K40" s="94"/>
      <c r="L40" s="94">
        <v>0.15</v>
      </c>
      <c r="M40" s="94"/>
    </row>
    <row r="41" spans="1:13" ht="15">
      <c r="A41" s="11" t="s">
        <v>93</v>
      </c>
      <c r="B41" s="132" t="s">
        <v>74</v>
      </c>
      <c r="C41" s="8" t="s">
        <v>14</v>
      </c>
      <c r="D41" s="9">
        <v>6</v>
      </c>
      <c r="E41" s="12">
        <f>0.1*HON__CEF!I19</f>
        <v>810.19950347632914</v>
      </c>
      <c r="F41" s="13">
        <f t="shared" si="3"/>
        <v>4861.1970208579751</v>
      </c>
      <c r="H41" s="94"/>
      <c r="I41" s="94"/>
      <c r="J41" s="94"/>
      <c r="K41" s="94"/>
      <c r="L41" s="94">
        <v>0.1</v>
      </c>
      <c r="M41" s="94"/>
    </row>
    <row r="42" spans="1:13" ht="15">
      <c r="A42" s="11" t="s">
        <v>94</v>
      </c>
      <c r="B42" s="132" t="s">
        <v>75</v>
      </c>
      <c r="C42" s="8" t="s">
        <v>14</v>
      </c>
      <c r="D42" s="9">
        <v>6</v>
      </c>
      <c r="E42" s="12">
        <f>0.05*HON__CEF!I19</f>
        <v>405.09975173816457</v>
      </c>
      <c r="F42" s="13">
        <f t="shared" si="3"/>
        <v>2430.5985104289875</v>
      </c>
      <c r="H42" s="94"/>
      <c r="I42" s="94"/>
      <c r="J42" s="94"/>
      <c r="K42" s="94"/>
      <c r="L42" s="94">
        <v>0.05</v>
      </c>
      <c r="M42" s="94"/>
    </row>
    <row r="43" spans="1:13" ht="15">
      <c r="A43" s="11" t="s">
        <v>95</v>
      </c>
      <c r="B43" s="132" t="s">
        <v>116</v>
      </c>
      <c r="C43" s="8" t="s">
        <v>14</v>
      </c>
      <c r="D43" s="9">
        <v>6</v>
      </c>
      <c r="E43" s="12">
        <f>0.2*HON__CEF!I17</f>
        <v>3167.090800446601</v>
      </c>
      <c r="F43" s="13">
        <f t="shared" si="3"/>
        <v>19002.544802679608</v>
      </c>
      <c r="H43" s="94"/>
      <c r="I43" s="94"/>
      <c r="J43" s="94">
        <v>0.2</v>
      </c>
      <c r="K43" s="94"/>
      <c r="L43" s="94"/>
      <c r="M43" s="94"/>
    </row>
    <row r="44" spans="1:13" ht="15">
      <c r="A44" s="11" t="s">
        <v>96</v>
      </c>
      <c r="B44" s="132" t="s">
        <v>76</v>
      </c>
      <c r="C44" s="8" t="s">
        <v>14</v>
      </c>
      <c r="D44" s="9">
        <v>6</v>
      </c>
      <c r="E44" s="12">
        <f>0.1*HON__CEF!I17</f>
        <v>1583.5454002233005</v>
      </c>
      <c r="F44" s="13">
        <f t="shared" si="3"/>
        <v>9501.2724013398038</v>
      </c>
      <c r="H44" s="94"/>
      <c r="I44" s="94"/>
      <c r="J44" s="94">
        <v>0.1</v>
      </c>
      <c r="K44" s="94"/>
      <c r="L44" s="94"/>
      <c r="M44" s="94"/>
    </row>
    <row r="45" spans="1:13" ht="15">
      <c r="A45" s="11" t="s">
        <v>97</v>
      </c>
      <c r="B45" s="132" t="s">
        <v>77</v>
      </c>
      <c r="C45" s="8" t="s">
        <v>14</v>
      </c>
      <c r="D45" s="9">
        <v>6</v>
      </c>
      <c r="E45" s="12">
        <f>0.05*HON__CEF!I17</f>
        <v>791.77270011165024</v>
      </c>
      <c r="F45" s="13">
        <f t="shared" si="3"/>
        <v>4750.6362006699019</v>
      </c>
      <c r="H45" s="94"/>
      <c r="I45" s="94"/>
      <c r="J45" s="94">
        <v>0.05</v>
      </c>
      <c r="K45" s="94"/>
      <c r="L45" s="94"/>
      <c r="M45" s="94"/>
    </row>
    <row r="46" spans="1:13" ht="30">
      <c r="A46" s="11" t="s">
        <v>98</v>
      </c>
      <c r="B46" s="132" t="s">
        <v>129</v>
      </c>
      <c r="C46" s="15" t="s">
        <v>14</v>
      </c>
      <c r="D46" s="9">
        <v>6</v>
      </c>
      <c r="E46" s="12">
        <f>0.1*HON__CEF!I17</f>
        <v>1583.5454002233005</v>
      </c>
      <c r="F46" s="13">
        <f t="shared" si="3"/>
        <v>9501.2724013398038</v>
      </c>
      <c r="H46" s="94"/>
      <c r="I46" s="94"/>
      <c r="J46" s="94">
        <v>0.1</v>
      </c>
      <c r="K46" s="94"/>
      <c r="L46" s="94"/>
      <c r="M46" s="94"/>
    </row>
    <row r="47" spans="1:13" ht="30">
      <c r="A47" s="11" t="s">
        <v>99</v>
      </c>
      <c r="B47" s="132" t="s">
        <v>109</v>
      </c>
      <c r="C47" s="8" t="s">
        <v>14</v>
      </c>
      <c r="D47" s="9">
        <v>6</v>
      </c>
      <c r="E47" s="12">
        <f>0.6*HON__CEF!I18</f>
        <v>5718.3583896952496</v>
      </c>
      <c r="F47" s="13">
        <f t="shared" si="3"/>
        <v>34310.150338171501</v>
      </c>
      <c r="H47" s="94"/>
      <c r="I47" s="94"/>
      <c r="J47" s="94"/>
      <c r="K47" s="94">
        <v>0.6</v>
      </c>
      <c r="L47" s="94"/>
      <c r="M47" s="94"/>
    </row>
    <row r="48" spans="1:13" ht="15">
      <c r="A48" s="11" t="s">
        <v>100</v>
      </c>
      <c r="B48" s="132" t="s">
        <v>78</v>
      </c>
      <c r="C48" s="8" t="s">
        <v>14</v>
      </c>
      <c r="D48" s="9">
        <v>6</v>
      </c>
      <c r="E48" s="12">
        <f>0.1*HON__CEF!I19</f>
        <v>810.19950347632914</v>
      </c>
      <c r="F48" s="13">
        <f t="shared" si="3"/>
        <v>4861.1970208579751</v>
      </c>
      <c r="H48" s="94"/>
      <c r="I48" s="94"/>
      <c r="J48" s="94"/>
      <c r="K48" s="94"/>
      <c r="L48" s="94">
        <v>0.1</v>
      </c>
      <c r="M48" s="94"/>
    </row>
    <row r="49" spans="1:13" ht="15">
      <c r="A49" s="11" t="s">
        <v>101</v>
      </c>
      <c r="B49" s="132" t="s">
        <v>79</v>
      </c>
      <c r="C49" s="8" t="s">
        <v>14</v>
      </c>
      <c r="D49" s="9">
        <v>6</v>
      </c>
      <c r="E49" s="12">
        <f>0.06*HON__CEF!I17</f>
        <v>950.12724013398019</v>
      </c>
      <c r="F49" s="13">
        <f t="shared" si="3"/>
        <v>5700.7634408038812</v>
      </c>
      <c r="H49" s="94"/>
      <c r="I49" s="94"/>
      <c r="J49" s="94">
        <v>0.06</v>
      </c>
      <c r="K49" s="94"/>
      <c r="L49" s="94"/>
      <c r="M49" s="94"/>
    </row>
    <row r="50" spans="1:13" ht="15">
      <c r="A50" s="11" t="s">
        <v>102</v>
      </c>
      <c r="B50" s="132" t="s">
        <v>80</v>
      </c>
      <c r="C50" s="8" t="s">
        <v>14</v>
      </c>
      <c r="D50" s="9">
        <v>6</v>
      </c>
      <c r="E50" s="12">
        <f>0.04*HON__CEF!I17</f>
        <v>633.41816008932017</v>
      </c>
      <c r="F50" s="13">
        <f t="shared" si="3"/>
        <v>3800.5089605359208</v>
      </c>
      <c r="H50" s="94"/>
      <c r="I50" s="94"/>
      <c r="J50" s="94">
        <v>0.04</v>
      </c>
      <c r="K50" s="94"/>
      <c r="L50" s="94"/>
      <c r="M50" s="94"/>
    </row>
    <row r="51" spans="1:13" ht="15">
      <c r="A51" s="11" t="s">
        <v>103</v>
      </c>
      <c r="B51" s="132" t="s">
        <v>81</v>
      </c>
      <c r="C51" s="8" t="s">
        <v>14</v>
      </c>
      <c r="D51" s="9">
        <v>6</v>
      </c>
      <c r="E51" s="12">
        <f>0.3*HON__CEF!I20</f>
        <v>1759.4948891370002</v>
      </c>
      <c r="F51" s="13">
        <f t="shared" si="3"/>
        <v>10556.969334822001</v>
      </c>
      <c r="H51" s="94"/>
      <c r="I51" s="94"/>
      <c r="J51" s="94"/>
      <c r="K51" s="94"/>
      <c r="L51" s="94"/>
      <c r="M51" s="94">
        <v>0.3</v>
      </c>
    </row>
    <row r="52" spans="1:13" ht="15">
      <c r="A52" s="11" t="s">
        <v>104</v>
      </c>
      <c r="B52" s="132" t="s">
        <v>110</v>
      </c>
      <c r="C52" s="8" t="s">
        <v>14</v>
      </c>
      <c r="D52" s="9">
        <v>6</v>
      </c>
      <c r="E52" s="12">
        <f>0.3*HON__CEF!I20</f>
        <v>1759.4948891370002</v>
      </c>
      <c r="F52" s="13">
        <f t="shared" si="3"/>
        <v>10556.969334822001</v>
      </c>
      <c r="H52" s="94"/>
      <c r="I52" s="94"/>
      <c r="J52" s="94"/>
      <c r="K52" s="94"/>
      <c r="L52" s="94"/>
      <c r="M52" s="94">
        <v>0.3</v>
      </c>
    </row>
    <row r="53" spans="1:13" ht="15">
      <c r="A53" s="11" t="s">
        <v>105</v>
      </c>
      <c r="B53" s="132" t="s">
        <v>82</v>
      </c>
      <c r="C53" s="8" t="s">
        <v>14</v>
      </c>
      <c r="D53" s="9">
        <v>6</v>
      </c>
      <c r="E53" s="12">
        <f>0.1*HON__CEF!I20</f>
        <v>586.49829637900018</v>
      </c>
      <c r="F53" s="13">
        <f>ROUNDUP(D53*E53,2)</f>
        <v>3518.9900000000002</v>
      </c>
      <c r="H53" s="94"/>
      <c r="I53" s="94"/>
      <c r="J53" s="94"/>
      <c r="K53" s="94"/>
      <c r="L53" s="94"/>
      <c r="M53" s="94">
        <v>0.1</v>
      </c>
    </row>
    <row r="54" spans="1:13" ht="45">
      <c r="A54" s="11" t="s">
        <v>130</v>
      </c>
      <c r="B54" s="132" t="s">
        <v>128</v>
      </c>
      <c r="C54" s="15" t="s">
        <v>14</v>
      </c>
      <c r="D54" s="9">
        <v>6</v>
      </c>
      <c r="E54" s="66">
        <f>0.3*HON__CEF!I20</f>
        <v>1759.4948891370002</v>
      </c>
      <c r="F54" s="13">
        <f>ROUNDUP(D54*E54,2)</f>
        <v>10556.97</v>
      </c>
      <c r="H54" s="94"/>
      <c r="I54" s="94"/>
      <c r="J54" s="94"/>
      <c r="K54" s="94"/>
      <c r="L54" s="94"/>
      <c r="M54" s="94">
        <v>0.3</v>
      </c>
    </row>
    <row r="55" spans="1:13" ht="15">
      <c r="A55" s="67"/>
      <c r="B55" s="14"/>
      <c r="C55" s="68"/>
      <c r="D55" s="69"/>
      <c r="E55" s="70"/>
      <c r="F55" s="71"/>
      <c r="H55" s="94"/>
      <c r="I55" s="94"/>
      <c r="J55" s="94"/>
      <c r="K55" s="94"/>
      <c r="L55" s="94"/>
      <c r="M55" s="94"/>
    </row>
    <row r="56" spans="1:13" ht="15.75">
      <c r="A56" s="72"/>
      <c r="B56" s="73" t="s">
        <v>17</v>
      </c>
      <c r="C56" s="74"/>
      <c r="D56" s="75"/>
      <c r="E56" s="76"/>
      <c r="F56" s="77">
        <f>SUM(F31:F55)</f>
        <v>281571.7355445479</v>
      </c>
      <c r="H56" s="94"/>
      <c r="I56" s="94"/>
      <c r="J56" s="94"/>
      <c r="K56" s="94"/>
      <c r="L56" s="94"/>
      <c r="M56" s="94"/>
    </row>
    <row r="57" spans="1:13" ht="15">
      <c r="A57" s="27"/>
      <c r="B57" s="19"/>
      <c r="C57" s="20"/>
      <c r="D57" s="24"/>
      <c r="E57" s="21"/>
      <c r="F57" s="28"/>
      <c r="H57" s="94"/>
      <c r="I57" s="94"/>
      <c r="J57" s="94"/>
      <c r="K57" s="94"/>
      <c r="L57" s="94"/>
      <c r="M57" s="94"/>
    </row>
    <row r="58" spans="1:13" ht="15.75">
      <c r="A58" s="27"/>
      <c r="B58" s="29" t="s">
        <v>19</v>
      </c>
      <c r="C58" s="20"/>
      <c r="D58" s="24"/>
      <c r="E58" s="21"/>
      <c r="F58" s="17">
        <f>+F20+F28+F56</f>
        <v>474918.40372204431</v>
      </c>
      <c r="H58" s="94"/>
      <c r="I58" s="94"/>
      <c r="J58" s="94"/>
      <c r="K58" s="94"/>
      <c r="L58" s="94"/>
      <c r="M58" s="94"/>
    </row>
    <row r="59" spans="1:13" ht="15.75">
      <c r="A59" s="27"/>
      <c r="B59" s="29" t="s">
        <v>20</v>
      </c>
      <c r="C59" s="20" t="s">
        <v>10</v>
      </c>
      <c r="D59" s="88">
        <v>19.12</v>
      </c>
      <c r="E59" s="21"/>
      <c r="F59" s="17">
        <f>F58*D59/100</f>
        <v>90804.398791654879</v>
      </c>
      <c r="H59" s="94"/>
      <c r="I59" s="94"/>
      <c r="J59" s="94"/>
      <c r="K59" s="94"/>
      <c r="L59" s="94"/>
      <c r="M59" s="94"/>
    </row>
    <row r="60" spans="1:13" ht="16.5" thickBot="1">
      <c r="A60" s="30"/>
      <c r="B60" s="31" t="s">
        <v>21</v>
      </c>
      <c r="C60" s="32"/>
      <c r="D60" s="33"/>
      <c r="E60" s="34"/>
      <c r="F60" s="35">
        <f>F58+F59</f>
        <v>565722.80251369916</v>
      </c>
    </row>
    <row r="64" spans="1:13">
      <c r="F64" s="168">
        <f>F60+'Plan. Geral - PARTE B'!F60+'Plan. Geral - PARTE C'!F60+'Plan. Geral - PARTE D'!F60+'Plan. Geral - PARTE E'!F60</f>
        <v>1493611.6626374186</v>
      </c>
    </row>
  </sheetData>
  <mergeCells count="6">
    <mergeCell ref="A2:F2"/>
    <mergeCell ref="A3:F3"/>
    <mergeCell ref="A4:D4"/>
    <mergeCell ref="E4:F4"/>
    <mergeCell ref="A5:D5"/>
    <mergeCell ref="E5:F5"/>
  </mergeCells>
  <pageMargins left="0.62992125984251968" right="0.51181102362204722" top="0.55118110236220474" bottom="0.78740157480314965" header="0.31496062992125984" footer="0.31496062992125984"/>
  <pageSetup paperSize="9" scale="4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2"/>
  <sheetViews>
    <sheetView topLeftCell="A28" workbookViewId="0">
      <selection activeCell="A40" sqref="A40:E40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140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2451.42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>
      <c r="A3" s="89" t="s">
        <v>212</v>
      </c>
      <c r="B3" s="103">
        <v>512.72</v>
      </c>
      <c r="C3" s="36">
        <v>0</v>
      </c>
      <c r="T3" s="172" t="s">
        <v>84</v>
      </c>
      <c r="U3" s="173"/>
      <c r="V3" s="173"/>
      <c r="W3" s="173"/>
      <c r="X3" s="173"/>
      <c r="Y3" s="174"/>
    </row>
    <row r="4" spans="1:25" ht="15.75">
      <c r="A4" s="89" t="s">
        <v>147</v>
      </c>
      <c r="B4" s="103">
        <v>63</v>
      </c>
      <c r="C4" s="36">
        <v>63</v>
      </c>
      <c r="T4" s="175" t="s">
        <v>111</v>
      </c>
      <c r="U4" s="176"/>
      <c r="V4" s="176"/>
      <c r="W4" s="176"/>
      <c r="X4" s="177" t="s">
        <v>112</v>
      </c>
      <c r="Y4" s="178"/>
    </row>
    <row r="5" spans="1:25" ht="15.75">
      <c r="A5" s="89"/>
      <c r="B5" s="103">
        <f>SUM(B2:B4)</f>
        <v>3027.1400000000003</v>
      </c>
      <c r="C5" s="103">
        <f>SUM(C2:C4)</f>
        <v>1554.42</v>
      </c>
      <c r="D5" s="141" t="s">
        <v>23</v>
      </c>
      <c r="E5" s="141" t="s">
        <v>24</v>
      </c>
      <c r="H5" s="141" t="s">
        <v>24</v>
      </c>
      <c r="T5" s="179" t="s">
        <v>35</v>
      </c>
      <c r="U5" s="180"/>
      <c r="V5" s="180"/>
      <c r="W5" s="181"/>
      <c r="X5" s="182" t="s">
        <v>216</v>
      </c>
      <c r="Y5" s="183"/>
    </row>
    <row r="6" spans="1:25" ht="25.5">
      <c r="A6" s="141" t="s">
        <v>25</v>
      </c>
      <c r="B6" s="141" t="s">
        <v>26</v>
      </c>
      <c r="C6" s="143" t="s">
        <v>214</v>
      </c>
      <c r="D6" s="61" t="s">
        <v>43</v>
      </c>
      <c r="E6" s="61" t="s">
        <v>215</v>
      </c>
      <c r="G6" s="141"/>
      <c r="H6" s="78" t="s">
        <v>215</v>
      </c>
      <c r="I6" s="141" t="str">
        <f>[1]Coefic.CEF!G2</f>
        <v>Observações:</v>
      </c>
      <c r="T6" s="1" t="s">
        <v>22</v>
      </c>
      <c r="U6" s="2" t="s">
        <v>11</v>
      </c>
      <c r="V6" s="3" t="s">
        <v>12</v>
      </c>
      <c r="W6" s="4" t="s">
        <v>13</v>
      </c>
      <c r="X6" s="63" t="s">
        <v>50</v>
      </c>
      <c r="Y6" s="5" t="s">
        <v>0</v>
      </c>
    </row>
    <row r="7" spans="1:25" ht="12.75" customHeight="1">
      <c r="A7" s="89" t="s">
        <v>117</v>
      </c>
      <c r="B7" s="90">
        <v>0.02</v>
      </c>
      <c r="C7" s="40">
        <f>$C$17*1.7</f>
        <v>1977.4570000000001</v>
      </c>
      <c r="D7" s="40">
        <f t="shared" ref="D7:D12" si="0">B7*C7</f>
        <v>39.549140000000001</v>
      </c>
      <c r="E7" s="41">
        <f t="shared" ref="E7:E12" si="1">B7*C7*$C$16</f>
        <v>119720.78365960001</v>
      </c>
      <c r="H7" s="41">
        <f t="shared" ref="H7:H12" si="2">B7*C7*$H$16</f>
        <v>78646.233329800016</v>
      </c>
      <c r="I7" s="192" t="s">
        <v>39</v>
      </c>
      <c r="J7" s="193"/>
      <c r="K7" s="193"/>
      <c r="L7" s="193"/>
      <c r="M7" s="193"/>
      <c r="N7" s="193"/>
      <c r="O7" s="193"/>
      <c r="P7" s="193"/>
      <c r="Q7" s="193"/>
      <c r="R7" s="39">
        <v>0.02</v>
      </c>
      <c r="T7" s="1" t="s">
        <v>51</v>
      </c>
      <c r="U7" s="7" t="s">
        <v>52</v>
      </c>
      <c r="V7" s="3"/>
      <c r="W7" s="4"/>
      <c r="X7" s="63"/>
      <c r="Y7" s="5"/>
    </row>
    <row r="8" spans="1:25" ht="15">
      <c r="A8" s="89" t="s">
        <v>118</v>
      </c>
      <c r="B8" s="90">
        <f>R8</f>
        <v>5.9999999999999993E-3</v>
      </c>
      <c r="C8" s="40">
        <f t="shared" ref="C8:C12" si="3">$C$17*1.7</f>
        <v>1977.4570000000001</v>
      </c>
      <c r="D8" s="40">
        <f t="shared" si="0"/>
        <v>11.864742</v>
      </c>
      <c r="E8" s="41">
        <f t="shared" si="1"/>
        <v>35916.235097880002</v>
      </c>
      <c r="H8" s="41">
        <f t="shared" si="2"/>
        <v>23593.869998940001</v>
      </c>
      <c r="I8" s="192" t="s">
        <v>38</v>
      </c>
      <c r="J8" s="193"/>
      <c r="K8" s="193"/>
      <c r="L8" s="193"/>
      <c r="M8" s="193"/>
      <c r="N8" s="193"/>
      <c r="O8" s="193"/>
      <c r="P8" s="193"/>
      <c r="Q8" s="193"/>
      <c r="R8" s="39">
        <f>0.0012+0.0048</f>
        <v>5.9999999999999993E-3</v>
      </c>
      <c r="T8" s="11" t="s">
        <v>1</v>
      </c>
      <c r="U8" s="132" t="s">
        <v>113</v>
      </c>
      <c r="V8" s="8" t="s">
        <v>14</v>
      </c>
      <c r="W8" s="9">
        <v>1</v>
      </c>
      <c r="X8" s="12">
        <f>0.25*I20+K40</f>
        <v>29918.558332450004</v>
      </c>
      <c r="Y8" s="13">
        <f>W8*X8</f>
        <v>29918.558332450004</v>
      </c>
    </row>
    <row r="9" spans="1:25" ht="15">
      <c r="A9" s="36" t="s">
        <v>28</v>
      </c>
      <c r="B9" s="90">
        <v>1.0800000000000001E-2</v>
      </c>
      <c r="C9" s="40">
        <f t="shared" si="3"/>
        <v>1977.4570000000001</v>
      </c>
      <c r="D9" s="40">
        <f t="shared" si="0"/>
        <v>21.356535600000001</v>
      </c>
      <c r="E9" s="41">
        <f t="shared" si="1"/>
        <v>64649.223176184008</v>
      </c>
      <c r="H9" s="41">
        <f t="shared" si="2"/>
        <v>42468.965998092004</v>
      </c>
      <c r="I9" s="192" t="s">
        <v>40</v>
      </c>
      <c r="J9" s="193"/>
      <c r="K9" s="193"/>
      <c r="L9" s="193"/>
      <c r="M9" s="193"/>
      <c r="N9" s="193"/>
      <c r="O9" s="193"/>
      <c r="P9" s="193"/>
      <c r="Q9" s="193"/>
      <c r="R9" s="39">
        <f>0.0037+0.0009+0.0004+0.001+0.001+0.0024+0.0004+0.0005+0.0005</f>
        <v>1.0800000000000001E-2</v>
      </c>
      <c r="T9" s="11" t="s">
        <v>2</v>
      </c>
      <c r="U9" s="132" t="s">
        <v>53</v>
      </c>
      <c r="V9" s="8" t="s">
        <v>14</v>
      </c>
      <c r="W9" s="9">
        <v>1</v>
      </c>
      <c r="X9" s="12">
        <f>(0.25*I20)/2</f>
        <v>9830.779166225002</v>
      </c>
      <c r="Y9" s="13">
        <f t="shared" ref="Y9:Y17" si="4">W9*X9</f>
        <v>9830.779166225002</v>
      </c>
    </row>
    <row r="10" spans="1:25" ht="15">
      <c r="A10" s="36" t="s">
        <v>29</v>
      </c>
      <c r="B10" s="90">
        <f>R10</f>
        <v>6.4999999999999997E-3</v>
      </c>
      <c r="C10" s="40">
        <f t="shared" si="3"/>
        <v>1977.4570000000001</v>
      </c>
      <c r="D10" s="40">
        <f t="shared" si="0"/>
        <v>12.8534705</v>
      </c>
      <c r="E10" s="41">
        <f t="shared" si="1"/>
        <v>38909.254689370006</v>
      </c>
      <c r="H10" s="41">
        <f t="shared" si="2"/>
        <v>25560.025832185001</v>
      </c>
      <c r="I10" s="192" t="s">
        <v>119</v>
      </c>
      <c r="J10" s="192"/>
      <c r="K10" s="192"/>
      <c r="L10" s="192"/>
      <c r="M10" s="192"/>
      <c r="N10" s="192"/>
      <c r="O10" s="192"/>
      <c r="P10" s="192"/>
      <c r="Q10" s="192"/>
      <c r="R10" s="39">
        <v>6.4999999999999997E-3</v>
      </c>
      <c r="T10" s="11" t="s">
        <v>3</v>
      </c>
      <c r="U10" s="132" t="s">
        <v>54</v>
      </c>
      <c r="V10" s="8" t="s">
        <v>14</v>
      </c>
      <c r="W10" s="9">
        <v>1</v>
      </c>
      <c r="X10" s="12">
        <f>0.08*I20</f>
        <v>6291.6986663840016</v>
      </c>
      <c r="Y10" s="13">
        <f t="shared" si="4"/>
        <v>6291.6986663840016</v>
      </c>
    </row>
    <row r="11" spans="1:25" ht="15">
      <c r="A11" s="36" t="s">
        <v>30</v>
      </c>
      <c r="B11" s="90">
        <v>4.7000000000000002E-3</v>
      </c>
      <c r="C11" s="40">
        <f t="shared" si="3"/>
        <v>1977.4570000000001</v>
      </c>
      <c r="D11" s="40">
        <f t="shared" si="0"/>
        <v>9.2940479000000007</v>
      </c>
      <c r="E11" s="41">
        <f t="shared" si="1"/>
        <v>28134.384160006004</v>
      </c>
      <c r="H11" s="41">
        <f>B11*C11*$H$17</f>
        <v>21728.669831603962</v>
      </c>
      <c r="I11" s="192" t="s">
        <v>41</v>
      </c>
      <c r="J11" s="192"/>
      <c r="K11" s="192"/>
      <c r="L11" s="192"/>
      <c r="M11" s="192"/>
      <c r="N11" s="192"/>
      <c r="O11" s="192"/>
      <c r="P11" s="192"/>
      <c r="Q11" s="192"/>
      <c r="R11" s="39">
        <f>0.001+0.001+0.002+0.0007</f>
        <v>4.7000000000000002E-3</v>
      </c>
      <c r="T11" s="11" t="s">
        <v>4</v>
      </c>
      <c r="U11" s="132" t="s">
        <v>55</v>
      </c>
      <c r="V11" s="8" t="s">
        <v>14</v>
      </c>
      <c r="W11" s="9">
        <v>1</v>
      </c>
      <c r="X11" s="12">
        <f>(0.075*I21)+(0.075*I21)</f>
        <v>3539.0804998409999</v>
      </c>
      <c r="Y11" s="13">
        <f t="shared" si="4"/>
        <v>3539.0804998409999</v>
      </c>
    </row>
    <row r="12" spans="1:25" ht="15">
      <c r="A12" s="36" t="s">
        <v>31</v>
      </c>
      <c r="B12" s="90">
        <v>4.0000000000000001E-3</v>
      </c>
      <c r="C12" s="40">
        <f t="shared" si="3"/>
        <v>1977.4570000000001</v>
      </c>
      <c r="D12" s="40">
        <f t="shared" si="0"/>
        <v>7.909828000000001</v>
      </c>
      <c r="E12" s="41">
        <f t="shared" si="1"/>
        <v>23944.156731920004</v>
      </c>
      <c r="H12" s="41">
        <f t="shared" si="2"/>
        <v>15729.246665960003</v>
      </c>
      <c r="I12" s="192" t="s">
        <v>42</v>
      </c>
      <c r="J12" s="192"/>
      <c r="K12" s="192"/>
      <c r="L12" s="192"/>
      <c r="M12" s="192"/>
      <c r="N12" s="192"/>
      <c r="O12" s="192"/>
      <c r="P12" s="192"/>
      <c r="Q12" s="192"/>
      <c r="R12" s="39">
        <v>4.0000000000000001E-3</v>
      </c>
      <c r="T12" s="11" t="s">
        <v>15</v>
      </c>
      <c r="U12" s="132" t="s">
        <v>56</v>
      </c>
      <c r="V12" s="8" t="s">
        <v>14</v>
      </c>
      <c r="W12" s="9">
        <v>1</v>
      </c>
      <c r="X12" s="12">
        <f>0.15*I24</f>
        <v>3259.3004747405944</v>
      </c>
      <c r="Y12" s="13">
        <f t="shared" si="4"/>
        <v>3259.3004747405944</v>
      </c>
    </row>
    <row r="13" spans="1:25" ht="30">
      <c r="D13" s="42">
        <f>SUM(D7:D12)</f>
        <v>102.827764</v>
      </c>
      <c r="E13" s="42">
        <f>SUM(E7:E12)</f>
        <v>311274.03751496004</v>
      </c>
      <c r="H13" s="42">
        <f>SUM(H7:H12)</f>
        <v>207727.01165658099</v>
      </c>
      <c r="I13" s="139"/>
      <c r="T13" s="11" t="s">
        <v>16</v>
      </c>
      <c r="U13" s="132" t="s">
        <v>114</v>
      </c>
      <c r="V13" s="8" t="s">
        <v>14</v>
      </c>
      <c r="W13" s="9">
        <v>1</v>
      </c>
      <c r="X13" s="12">
        <f>0.2*I22</f>
        <v>8493.7931996184016</v>
      </c>
      <c r="Y13" s="13">
        <f t="shared" si="4"/>
        <v>8493.7931996184016</v>
      </c>
    </row>
    <row r="14" spans="1:25" ht="30">
      <c r="E14" s="41">
        <f>E13/C16</f>
        <v>102.827764</v>
      </c>
      <c r="H14" s="41">
        <f>H13/C16</f>
        <v>68.62154101117919</v>
      </c>
      <c r="T14" s="11" t="s">
        <v>36</v>
      </c>
      <c r="U14" s="132" t="s">
        <v>132</v>
      </c>
      <c r="V14" s="8" t="s">
        <v>14</v>
      </c>
      <c r="W14" s="9">
        <v>1</v>
      </c>
      <c r="X14" s="12">
        <f>0.05*I22</f>
        <v>2123.4482999046004</v>
      </c>
      <c r="Y14" s="13">
        <f t="shared" si="4"/>
        <v>2123.4482999046004</v>
      </c>
    </row>
    <row r="15" spans="1:25" ht="30">
      <c r="E15" s="43">
        <f>D13/1200</f>
        <v>8.5689803333333328E-2</v>
      </c>
      <c r="H15" s="43">
        <f>H14/1200</f>
        <v>5.7184617509315992E-2</v>
      </c>
      <c r="I15" s="43">
        <f>H14/1840</f>
        <v>3.729431576694521E-2</v>
      </c>
      <c r="T15" s="11" t="s">
        <v>85</v>
      </c>
      <c r="U15" s="133" t="s">
        <v>108</v>
      </c>
      <c r="V15" s="15" t="s">
        <v>14</v>
      </c>
      <c r="W15" s="9">
        <v>1</v>
      </c>
      <c r="X15" s="12">
        <f>0.4*I23</f>
        <v>10224.010332874001</v>
      </c>
      <c r="Y15" s="13">
        <f t="shared" si="4"/>
        <v>10224.010332874001</v>
      </c>
    </row>
    <row r="16" spans="1:25" ht="30">
      <c r="A16" s="206" t="s">
        <v>44</v>
      </c>
      <c r="B16" s="206"/>
      <c r="C16" s="62">
        <f>B5</f>
        <v>3027.1400000000003</v>
      </c>
      <c r="G16" s="142" t="s">
        <v>45</v>
      </c>
      <c r="H16" s="45">
        <f>(300+(500*0.83)+(1000*0.66)+(C16-1800)*0.5)</f>
        <v>1988.5700000000002</v>
      </c>
      <c r="I16" s="40">
        <f>H16/C16</f>
        <v>0.65691378661046396</v>
      </c>
      <c r="T16" s="11" t="s">
        <v>86</v>
      </c>
      <c r="U16" s="132" t="s">
        <v>57</v>
      </c>
      <c r="V16" s="8" t="s">
        <v>14</v>
      </c>
      <c r="W16" s="9">
        <v>1</v>
      </c>
      <c r="X16" s="12">
        <f>0.15*I24</f>
        <v>3259.3004747405944</v>
      </c>
      <c r="Y16" s="13">
        <f t="shared" si="4"/>
        <v>3259.3004747405944</v>
      </c>
    </row>
    <row r="17" spans="1:25" ht="15">
      <c r="A17" s="142" t="s">
        <v>149</v>
      </c>
      <c r="B17" s="46">
        <v>41487</v>
      </c>
      <c r="C17" s="59">
        <v>1163.21</v>
      </c>
      <c r="G17" s="142" t="s">
        <v>48</v>
      </c>
      <c r="H17" s="45">
        <f>(500+(1000*0.83)+(C16-1500)*0.66)</f>
        <v>2337.9124000000002</v>
      </c>
      <c r="I17" s="40">
        <f>H17/C16</f>
        <v>0.7723172367317005</v>
      </c>
      <c r="T17" s="11" t="s">
        <v>58</v>
      </c>
      <c r="U17" s="132" t="s">
        <v>59</v>
      </c>
      <c r="V17" s="8" t="s">
        <v>14</v>
      </c>
      <c r="W17" s="9">
        <v>1</v>
      </c>
      <c r="X17" s="12">
        <f>0.05*I22</f>
        <v>2123.4482999046004</v>
      </c>
      <c r="Y17" s="13">
        <f t="shared" si="4"/>
        <v>2123.4482999046004</v>
      </c>
    </row>
    <row r="18" spans="1:25" ht="15">
      <c r="A18" s="78" t="s">
        <v>213</v>
      </c>
      <c r="T18" s="11"/>
      <c r="U18" s="14"/>
      <c r="V18" s="8"/>
      <c r="W18" s="9"/>
      <c r="X18" s="12"/>
      <c r="Y18" s="13"/>
    </row>
    <row r="19" spans="1:25" ht="16.5" thickBot="1">
      <c r="A19" s="78"/>
      <c r="T19" s="11"/>
      <c r="U19" s="64" t="s">
        <v>17</v>
      </c>
      <c r="V19" s="8"/>
      <c r="W19" s="9"/>
      <c r="X19" s="16"/>
      <c r="Y19" s="17">
        <f>SUM(Y8:Y18)</f>
        <v>79063.417746682811</v>
      </c>
    </row>
    <row r="20" spans="1:25" ht="15">
      <c r="H20" s="60" t="s">
        <v>27</v>
      </c>
      <c r="I20" s="47">
        <f t="shared" ref="I20:I25" si="5">H7</f>
        <v>78646.233329800016</v>
      </c>
      <c r="T20" s="18"/>
      <c r="U20" s="19"/>
      <c r="V20" s="20"/>
      <c r="W20" s="21"/>
      <c r="X20" s="22"/>
      <c r="Y20" s="23"/>
    </row>
    <row r="21" spans="1:25" ht="15">
      <c r="C21" s="36">
        <f>23000*0.0005</f>
        <v>11.5</v>
      </c>
      <c r="H21" s="48" t="s">
        <v>32</v>
      </c>
      <c r="I21" s="49">
        <f t="shared" si="5"/>
        <v>23593.869998940001</v>
      </c>
      <c r="T21" s="18"/>
      <c r="U21" s="19"/>
      <c r="V21" s="20"/>
      <c r="W21" s="24"/>
      <c r="X21" s="22"/>
      <c r="Y21" s="25"/>
    </row>
    <row r="22" spans="1:25" ht="15.75">
      <c r="A22" s="79"/>
      <c r="B22" s="79"/>
      <c r="C22" s="79"/>
      <c r="D22" s="79"/>
      <c r="E22" s="79"/>
      <c r="F22" s="79"/>
      <c r="H22" s="48" t="s">
        <v>33</v>
      </c>
      <c r="I22" s="49">
        <f t="shared" si="5"/>
        <v>42468.965998092004</v>
      </c>
      <c r="L22" s="89"/>
      <c r="T22" s="87" t="s">
        <v>60</v>
      </c>
      <c r="U22" s="65" t="s">
        <v>61</v>
      </c>
      <c r="V22" s="20"/>
      <c r="W22" s="24"/>
      <c r="X22" s="22"/>
      <c r="Y22" s="25"/>
    </row>
    <row r="23" spans="1:25" ht="15">
      <c r="A23" s="80"/>
      <c r="B23" s="81"/>
      <c r="C23" s="81"/>
      <c r="D23" s="80"/>
      <c r="E23" s="81"/>
      <c r="F23" s="79"/>
      <c r="H23" s="50" t="s">
        <v>29</v>
      </c>
      <c r="I23" s="51">
        <f t="shared" si="5"/>
        <v>25560.025832185001</v>
      </c>
      <c r="J23" s="52"/>
      <c r="T23" s="11" t="s">
        <v>5</v>
      </c>
      <c r="U23" s="132" t="s">
        <v>62</v>
      </c>
      <c r="V23" s="8" t="s">
        <v>14</v>
      </c>
      <c r="W23" s="9">
        <v>1</v>
      </c>
      <c r="X23" s="12">
        <f>0.1*I20+0.05*I20</f>
        <v>11796.934999470002</v>
      </c>
      <c r="Y23" s="13">
        <f>W23*X23</f>
        <v>11796.934999470002</v>
      </c>
    </row>
    <row r="24" spans="1:25" ht="15">
      <c r="A24" s="79"/>
      <c r="B24" s="82"/>
      <c r="C24" s="83"/>
      <c r="D24" s="83"/>
      <c r="E24" s="84"/>
      <c r="F24" s="79"/>
      <c r="H24" s="48" t="s">
        <v>30</v>
      </c>
      <c r="I24" s="49">
        <f t="shared" si="5"/>
        <v>21728.669831603962</v>
      </c>
      <c r="J24" s="41"/>
      <c r="T24" s="11" t="s">
        <v>6</v>
      </c>
      <c r="U24" s="132" t="s">
        <v>63</v>
      </c>
      <c r="V24" s="8" t="s">
        <v>14</v>
      </c>
      <c r="W24" s="9">
        <v>1</v>
      </c>
      <c r="X24" s="12">
        <f>0.15*I22</f>
        <v>6370.3448997138003</v>
      </c>
      <c r="Y24" s="13">
        <f t="shared" ref="Y24:Y25" si="6">W24*X24</f>
        <v>6370.3448997138003</v>
      </c>
    </row>
    <row r="25" spans="1:25" ht="15">
      <c r="A25" s="79"/>
      <c r="B25" s="82"/>
      <c r="C25" s="83"/>
      <c r="D25" s="83"/>
      <c r="E25" s="84"/>
      <c r="F25" s="79"/>
      <c r="H25" s="53" t="s">
        <v>34</v>
      </c>
      <c r="I25" s="49">
        <f t="shared" si="5"/>
        <v>15729.246665960003</v>
      </c>
      <c r="J25" s="41"/>
      <c r="T25" s="11" t="s">
        <v>7</v>
      </c>
      <c r="U25" s="132" t="s">
        <v>64</v>
      </c>
      <c r="V25" s="8" t="s">
        <v>14</v>
      </c>
      <c r="W25" s="9">
        <v>1</v>
      </c>
      <c r="X25" s="12">
        <f>0.15*I24</f>
        <v>3259.3004747405944</v>
      </c>
      <c r="Y25" s="13">
        <f t="shared" si="6"/>
        <v>3259.3004747405944</v>
      </c>
    </row>
    <row r="26" spans="1:25" ht="15">
      <c r="A26" s="79"/>
      <c r="B26" s="82"/>
      <c r="C26" s="83"/>
      <c r="D26" s="83"/>
      <c r="E26" s="84"/>
      <c r="F26" s="79"/>
      <c r="H26" s="54"/>
      <c r="I26" s="55"/>
      <c r="J26" s="41"/>
      <c r="T26" s="11"/>
      <c r="U26" s="14"/>
      <c r="V26" s="8"/>
      <c r="W26" s="9"/>
      <c r="X26" s="12"/>
      <c r="Y26" s="13"/>
    </row>
    <row r="27" spans="1:25" ht="16.5" thickBot="1">
      <c r="A27" s="79"/>
      <c r="B27" s="82"/>
      <c r="C27" s="83"/>
      <c r="D27" s="83"/>
      <c r="E27" s="84"/>
      <c r="F27" s="79"/>
      <c r="H27" s="56"/>
      <c r="I27" s="57">
        <f>SUM(I20:I25)</f>
        <v>207727.01165658099</v>
      </c>
      <c r="J27" s="41"/>
      <c r="T27" s="11"/>
      <c r="U27" s="64" t="s">
        <v>17</v>
      </c>
      <c r="V27" s="8"/>
      <c r="W27" s="9"/>
      <c r="X27" s="16"/>
      <c r="Y27" s="17">
        <f>SUM(Y23:Y26)</f>
        <v>21426.580373924397</v>
      </c>
    </row>
    <row r="28" spans="1:25" ht="15.75">
      <c r="A28" s="79"/>
      <c r="B28" s="82"/>
      <c r="C28" s="83"/>
      <c r="D28" s="83"/>
      <c r="E28" s="84"/>
      <c r="F28" s="79"/>
      <c r="I28" s="41"/>
      <c r="J28" s="41"/>
      <c r="T28" s="11"/>
      <c r="U28" s="14"/>
      <c r="V28" s="8"/>
      <c r="W28" s="9"/>
      <c r="X28" s="26"/>
      <c r="Y28" s="10"/>
    </row>
    <row r="29" spans="1:25" ht="15.75">
      <c r="A29" s="79"/>
      <c r="B29" s="82"/>
      <c r="C29" s="83"/>
      <c r="D29" s="83"/>
      <c r="E29" s="84"/>
      <c r="F29" s="79"/>
      <c r="H29" s="142" t="s">
        <v>49</v>
      </c>
      <c r="I29" s="42">
        <f>I27/C16</f>
        <v>68.62154101117919</v>
      </c>
      <c r="J29" s="41"/>
      <c r="T29" s="6">
        <v>3</v>
      </c>
      <c r="U29" s="65" t="s">
        <v>65</v>
      </c>
      <c r="V29" s="8"/>
      <c r="W29" s="9"/>
      <c r="X29" s="22"/>
      <c r="Y29" s="23"/>
    </row>
    <row r="30" spans="1:25" ht="15">
      <c r="A30" s="79"/>
      <c r="B30" s="188"/>
      <c r="C30" s="188"/>
      <c r="D30" s="85"/>
      <c r="E30" s="86"/>
      <c r="F30" s="79"/>
      <c r="T30" s="11" t="s">
        <v>8</v>
      </c>
      <c r="U30" s="132" t="s">
        <v>115</v>
      </c>
      <c r="V30" s="8" t="s">
        <v>14</v>
      </c>
      <c r="W30" s="9">
        <v>1</v>
      </c>
      <c r="X30" s="12">
        <f>0.255*I20</f>
        <v>20054.789499099003</v>
      </c>
      <c r="Y30" s="13">
        <f>W30*X30</f>
        <v>20054.789499099003</v>
      </c>
    </row>
    <row r="31" spans="1:25" ht="15">
      <c r="C31" s="188"/>
      <c r="D31" s="188"/>
      <c r="E31" s="41"/>
      <c r="T31" s="11" t="s">
        <v>9</v>
      </c>
      <c r="U31" s="132" t="s">
        <v>66</v>
      </c>
      <c r="V31" s="8" t="s">
        <v>14</v>
      </c>
      <c r="W31" s="9">
        <v>1</v>
      </c>
      <c r="X31" s="12">
        <f>0.04*I$20</f>
        <v>3145.8493331920008</v>
      </c>
      <c r="Y31" s="13">
        <f t="shared" ref="Y31:Y53" si="7">W31*X31</f>
        <v>3145.8493331920008</v>
      </c>
    </row>
    <row r="32" spans="1:25" ht="15">
      <c r="C32" s="188"/>
      <c r="D32" s="188"/>
      <c r="E32" s="43"/>
      <c r="I32" s="189"/>
      <c r="J32" s="189"/>
      <c r="K32" s="189"/>
      <c r="T32" s="11" t="s">
        <v>18</v>
      </c>
      <c r="U32" s="132" t="s">
        <v>67</v>
      </c>
      <c r="V32" s="8" t="s">
        <v>14</v>
      </c>
      <c r="W32" s="9">
        <v>1</v>
      </c>
      <c r="X32" s="12">
        <f t="shared" ref="X32" si="8">0.04*I$20</f>
        <v>3145.8493331920008</v>
      </c>
      <c r="Y32" s="13">
        <f t="shared" si="7"/>
        <v>3145.8493331920008</v>
      </c>
    </row>
    <row r="33" spans="1:25" ht="15">
      <c r="A33" s="190" t="s">
        <v>46</v>
      </c>
      <c r="B33" s="190"/>
      <c r="C33" s="190"/>
      <c r="D33" s="190"/>
      <c r="E33" s="190"/>
      <c r="F33" s="190"/>
      <c r="G33" s="190"/>
      <c r="H33" s="190"/>
      <c r="I33" s="190"/>
      <c r="T33" s="11" t="s">
        <v>37</v>
      </c>
      <c r="U33" s="132" t="s">
        <v>68</v>
      </c>
      <c r="V33" s="8" t="s">
        <v>14</v>
      </c>
      <c r="W33" s="9">
        <v>1</v>
      </c>
      <c r="X33" s="12">
        <f>0.06*I$20</f>
        <v>4718.7739997880008</v>
      </c>
      <c r="Y33" s="13">
        <f t="shared" si="7"/>
        <v>4718.7739997880008</v>
      </c>
    </row>
    <row r="34" spans="1:25" ht="15">
      <c r="A34" s="191" t="s">
        <v>150</v>
      </c>
      <c r="B34" s="191"/>
      <c r="C34" s="191"/>
      <c r="D34" s="191"/>
      <c r="E34" s="191"/>
      <c r="F34" s="191"/>
      <c r="G34" s="191"/>
      <c r="H34" s="191"/>
      <c r="I34" s="191"/>
      <c r="T34" s="11" t="s">
        <v>87</v>
      </c>
      <c r="U34" s="132" t="s">
        <v>69</v>
      </c>
      <c r="V34" s="8" t="s">
        <v>14</v>
      </c>
      <c r="W34" s="9">
        <v>1</v>
      </c>
      <c r="X34" s="12">
        <f>0.075*I$20</f>
        <v>5898.4674997350012</v>
      </c>
      <c r="Y34" s="13">
        <f t="shared" si="7"/>
        <v>5898.4674997350012</v>
      </c>
    </row>
    <row r="35" spans="1:25" ht="15">
      <c r="T35" s="11" t="s">
        <v>88</v>
      </c>
      <c r="U35" s="132" t="s">
        <v>131</v>
      </c>
      <c r="V35" s="8" t="s">
        <v>14</v>
      </c>
      <c r="W35" s="9">
        <v>1</v>
      </c>
      <c r="X35" s="12">
        <f>0.05*I$20</f>
        <v>3932.3116664900008</v>
      </c>
      <c r="Y35" s="13">
        <f t="shared" si="7"/>
        <v>3932.3116664900008</v>
      </c>
    </row>
    <row r="36" spans="1:25" ht="15">
      <c r="T36" s="11" t="s">
        <v>89</v>
      </c>
      <c r="U36" s="132" t="s">
        <v>70</v>
      </c>
      <c r="V36" s="8" t="s">
        <v>14</v>
      </c>
      <c r="W36" s="9">
        <v>1</v>
      </c>
      <c r="X36" s="12">
        <f>0.3*I21</f>
        <v>7078.1609996819998</v>
      </c>
      <c r="Y36" s="13">
        <f t="shared" si="7"/>
        <v>7078.1609996819998</v>
      </c>
    </row>
    <row r="37" spans="1:25" ht="15">
      <c r="A37" s="89" t="s">
        <v>106</v>
      </c>
      <c r="T37" s="11" t="s">
        <v>90</v>
      </c>
      <c r="U37" s="132" t="s">
        <v>71</v>
      </c>
      <c r="V37" s="8" t="s">
        <v>14</v>
      </c>
      <c r="W37" s="9">
        <v>1</v>
      </c>
      <c r="X37" s="12">
        <f>0.3*I21</f>
        <v>7078.1609996819998</v>
      </c>
      <c r="Y37" s="13">
        <f t="shared" si="7"/>
        <v>7078.1609996819998</v>
      </c>
    </row>
    <row r="38" spans="1:25" ht="15">
      <c r="T38" s="11" t="s">
        <v>91</v>
      </c>
      <c r="U38" s="132" t="s">
        <v>72</v>
      </c>
      <c r="V38" s="8" t="s">
        <v>14</v>
      </c>
      <c r="W38" s="9">
        <v>1</v>
      </c>
      <c r="X38" s="12">
        <f>0.15*I$24</f>
        <v>3259.3004747405944</v>
      </c>
      <c r="Y38" s="13">
        <f t="shared" si="7"/>
        <v>3259.3004747405944</v>
      </c>
    </row>
    <row r="39" spans="1:25" ht="15">
      <c r="A39" s="89" t="s">
        <v>234</v>
      </c>
      <c r="G39" s="91" t="s">
        <v>121</v>
      </c>
      <c r="H39" s="91" t="s">
        <v>120</v>
      </c>
      <c r="T39" s="11" t="s">
        <v>92</v>
      </c>
      <c r="U39" s="132" t="s">
        <v>73</v>
      </c>
      <c r="V39" s="8" t="s">
        <v>14</v>
      </c>
      <c r="W39" s="9">
        <v>1</v>
      </c>
      <c r="X39" s="12">
        <f t="shared" ref="X39" si="9">0.15*I$24</f>
        <v>3259.3004747405944</v>
      </c>
      <c r="Y39" s="13">
        <f t="shared" si="7"/>
        <v>3259.3004747405944</v>
      </c>
    </row>
    <row r="40" spans="1:25" ht="26.25" customHeight="1">
      <c r="A40" s="205" t="s">
        <v>107</v>
      </c>
      <c r="B40" s="205"/>
      <c r="C40" s="205"/>
      <c r="D40" s="205"/>
      <c r="E40" s="205"/>
      <c r="G40" s="91">
        <v>0.34</v>
      </c>
      <c r="H40" s="92">
        <v>10800</v>
      </c>
      <c r="I40" s="40">
        <f>G40*H40</f>
        <v>3672.0000000000005</v>
      </c>
      <c r="J40" s="112">
        <f>D86</f>
        <v>6585</v>
      </c>
      <c r="K40" s="111">
        <f>J40+I40</f>
        <v>10257</v>
      </c>
      <c r="T40" s="11" t="s">
        <v>93</v>
      </c>
      <c r="U40" s="132" t="s">
        <v>74</v>
      </c>
      <c r="V40" s="8" t="s">
        <v>14</v>
      </c>
      <c r="W40" s="9">
        <v>1</v>
      </c>
      <c r="X40" s="12">
        <f>0.1*I$24</f>
        <v>2172.8669831603961</v>
      </c>
      <c r="Y40" s="13">
        <f t="shared" si="7"/>
        <v>2172.8669831603961</v>
      </c>
    </row>
    <row r="41" spans="1:25" ht="15">
      <c r="T41" s="11" t="s">
        <v>94</v>
      </c>
      <c r="U41" s="132" t="s">
        <v>75</v>
      </c>
      <c r="V41" s="8" t="s">
        <v>14</v>
      </c>
      <c r="W41" s="9">
        <v>1</v>
      </c>
      <c r="X41" s="12">
        <f>0.05*I$24</f>
        <v>1086.4334915801981</v>
      </c>
      <c r="Y41" s="13">
        <f t="shared" si="7"/>
        <v>1086.4334915801981</v>
      </c>
    </row>
    <row r="42" spans="1:25" ht="15">
      <c r="I42" s="41">
        <f>I27+I40</f>
        <v>211399.01165658099</v>
      </c>
      <c r="T42" s="11" t="s">
        <v>95</v>
      </c>
      <c r="U42" s="132" t="s">
        <v>116</v>
      </c>
      <c r="V42" s="8" t="s">
        <v>14</v>
      </c>
      <c r="W42" s="9">
        <v>1</v>
      </c>
      <c r="X42" s="12">
        <f>0.2*I$22</f>
        <v>8493.7931996184016</v>
      </c>
      <c r="Y42" s="13">
        <f t="shared" si="7"/>
        <v>8493.7931996184016</v>
      </c>
    </row>
    <row r="43" spans="1:25" ht="15">
      <c r="T43" s="11" t="s">
        <v>96</v>
      </c>
      <c r="U43" s="132" t="s">
        <v>76</v>
      </c>
      <c r="V43" s="8" t="s">
        <v>14</v>
      </c>
      <c r="W43" s="9">
        <v>1</v>
      </c>
      <c r="X43" s="12">
        <f>0.1*I$22</f>
        <v>4246.8965998092008</v>
      </c>
      <c r="Y43" s="13">
        <f t="shared" si="7"/>
        <v>4246.8965998092008</v>
      </c>
    </row>
    <row r="44" spans="1:25" ht="15">
      <c r="A44" s="203" t="s">
        <v>171</v>
      </c>
      <c r="B44" s="204"/>
      <c r="C44" s="204"/>
      <c r="D44" s="204"/>
      <c r="E44" s="204"/>
      <c r="F44" s="204"/>
      <c r="G44" s="204"/>
      <c r="H44" s="204"/>
      <c r="I44" s="204"/>
      <c r="T44" s="11" t="s">
        <v>97</v>
      </c>
      <c r="U44" s="132" t="s">
        <v>77</v>
      </c>
      <c r="V44" s="8" t="s">
        <v>14</v>
      </c>
      <c r="W44" s="9">
        <v>1</v>
      </c>
      <c r="X44" s="12">
        <f>0.05*I$22</f>
        <v>2123.4482999046004</v>
      </c>
      <c r="Y44" s="13">
        <f t="shared" si="7"/>
        <v>2123.4482999046004</v>
      </c>
    </row>
    <row r="45" spans="1:25" ht="30">
      <c r="A45"/>
      <c r="B45"/>
      <c r="C45"/>
      <c r="D45"/>
      <c r="E45"/>
      <c r="F45"/>
      <c r="G45"/>
      <c r="H45"/>
      <c r="I45"/>
      <c r="T45" s="11" t="s">
        <v>98</v>
      </c>
      <c r="U45" s="132" t="s">
        <v>129</v>
      </c>
      <c r="V45" s="15" t="s">
        <v>14</v>
      </c>
      <c r="W45" s="9">
        <v>1</v>
      </c>
      <c r="X45" s="12">
        <f>0.1*I$22</f>
        <v>4246.8965998092008</v>
      </c>
      <c r="Y45" s="13">
        <f t="shared" si="7"/>
        <v>4246.8965998092008</v>
      </c>
    </row>
    <row r="46" spans="1:25" ht="30">
      <c r="A46" t="s">
        <v>172</v>
      </c>
      <c r="B46"/>
      <c r="C46"/>
      <c r="D46"/>
      <c r="E46"/>
      <c r="F46"/>
      <c r="G46"/>
      <c r="H46"/>
      <c r="I46"/>
      <c r="T46" s="11" t="s">
        <v>99</v>
      </c>
      <c r="U46" s="132" t="s">
        <v>109</v>
      </c>
      <c r="V46" s="8" t="s">
        <v>14</v>
      </c>
      <c r="W46" s="9">
        <v>1</v>
      </c>
      <c r="X46" s="12">
        <f>0.6*I23</f>
        <v>15336.015499311001</v>
      </c>
      <c r="Y46" s="13">
        <f t="shared" si="7"/>
        <v>15336.015499311001</v>
      </c>
    </row>
    <row r="47" spans="1:25" ht="15">
      <c r="A47" t="s">
        <v>173</v>
      </c>
      <c r="B47"/>
      <c r="C47"/>
      <c r="D47"/>
      <c r="E47"/>
      <c r="F47"/>
      <c r="G47"/>
      <c r="H47"/>
      <c r="I47"/>
      <c r="T47" s="11" t="s">
        <v>100</v>
      </c>
      <c r="U47" s="132" t="s">
        <v>78</v>
      </c>
      <c r="V47" s="8" t="s">
        <v>14</v>
      </c>
      <c r="W47" s="9">
        <v>1</v>
      </c>
      <c r="X47" s="12">
        <f>0.1*I24</f>
        <v>2172.8669831603961</v>
      </c>
      <c r="Y47" s="13">
        <f t="shared" si="7"/>
        <v>2172.8669831603961</v>
      </c>
    </row>
    <row r="48" spans="1:25" ht="15">
      <c r="A48" t="s">
        <v>174</v>
      </c>
      <c r="B48"/>
      <c r="C48"/>
      <c r="D48"/>
      <c r="E48"/>
      <c r="F48"/>
      <c r="G48"/>
      <c r="H48"/>
      <c r="I48"/>
      <c r="T48" s="11" t="s">
        <v>101</v>
      </c>
      <c r="U48" s="132" t="s">
        <v>79</v>
      </c>
      <c r="V48" s="8" t="s">
        <v>14</v>
      </c>
      <c r="W48" s="9">
        <v>1</v>
      </c>
      <c r="X48" s="12">
        <f>0.06*I$22</f>
        <v>2548.1379598855201</v>
      </c>
      <c r="Y48" s="13">
        <f t="shared" si="7"/>
        <v>2548.1379598855201</v>
      </c>
    </row>
    <row r="49" spans="1:25" ht="15">
      <c r="A49" t="s">
        <v>175</v>
      </c>
      <c r="B49"/>
      <c r="C49"/>
      <c r="D49"/>
      <c r="E49"/>
      <c r="F49"/>
      <c r="G49"/>
      <c r="H49"/>
      <c r="I49"/>
      <c r="T49" s="11" t="s">
        <v>102</v>
      </c>
      <c r="U49" s="132" t="s">
        <v>80</v>
      </c>
      <c r="V49" s="8" t="s">
        <v>14</v>
      </c>
      <c r="W49" s="9">
        <v>1</v>
      </c>
      <c r="X49" s="12">
        <f>0.04*I$22</f>
        <v>1698.7586399236802</v>
      </c>
      <c r="Y49" s="13">
        <f t="shared" si="7"/>
        <v>1698.7586399236802</v>
      </c>
    </row>
    <row r="50" spans="1:25" ht="15">
      <c r="A50" t="s">
        <v>176</v>
      </c>
      <c r="B50"/>
      <c r="C50"/>
      <c r="D50"/>
      <c r="E50"/>
      <c r="F50"/>
      <c r="G50"/>
      <c r="H50"/>
      <c r="I50"/>
      <c r="T50" s="11" t="s">
        <v>103</v>
      </c>
      <c r="U50" s="132" t="s">
        <v>81</v>
      </c>
      <c r="V50" s="8" t="s">
        <v>14</v>
      </c>
      <c r="W50" s="9">
        <v>1</v>
      </c>
      <c r="X50" s="12">
        <f>0.3*I$25</f>
        <v>4718.7739997880008</v>
      </c>
      <c r="Y50" s="13">
        <f t="shared" si="7"/>
        <v>4718.7739997880008</v>
      </c>
    </row>
    <row r="51" spans="1:25" ht="15">
      <c r="A51" t="s">
        <v>177</v>
      </c>
      <c r="B51"/>
      <c r="C51"/>
      <c r="D51"/>
      <c r="E51"/>
      <c r="F51"/>
      <c r="G51"/>
      <c r="H51"/>
      <c r="I51"/>
      <c r="T51" s="11" t="s">
        <v>104</v>
      </c>
      <c r="U51" s="132" t="s">
        <v>110</v>
      </c>
      <c r="V51" s="8" t="s">
        <v>14</v>
      </c>
      <c r="W51" s="9">
        <v>1</v>
      </c>
      <c r="X51" s="12">
        <f t="shared" ref="X51:X53" si="10">0.3*I$25</f>
        <v>4718.7739997880008</v>
      </c>
      <c r="Y51" s="13">
        <f t="shared" si="7"/>
        <v>4718.7739997880008</v>
      </c>
    </row>
    <row r="52" spans="1:25" ht="15">
      <c r="A52" t="s">
        <v>178</v>
      </c>
      <c r="B52"/>
      <c r="C52"/>
      <c r="D52"/>
      <c r="E52"/>
      <c r="F52"/>
      <c r="G52"/>
      <c r="H52"/>
      <c r="I52"/>
      <c r="T52" s="11" t="s">
        <v>105</v>
      </c>
      <c r="U52" s="132" t="s">
        <v>82</v>
      </c>
      <c r="V52" s="8" t="s">
        <v>14</v>
      </c>
      <c r="W52" s="9">
        <v>1</v>
      </c>
      <c r="X52" s="12">
        <f>0.1*I$25</f>
        <v>1572.9246665960004</v>
      </c>
      <c r="Y52" s="13">
        <f t="shared" si="7"/>
        <v>1572.9246665960004</v>
      </c>
    </row>
    <row r="53" spans="1:25" ht="45">
      <c r="A53" t="s">
        <v>179</v>
      </c>
      <c r="B53"/>
      <c r="C53"/>
      <c r="D53"/>
      <c r="E53"/>
      <c r="F53"/>
      <c r="G53"/>
      <c r="H53"/>
      <c r="I53"/>
      <c r="T53" s="11" t="s">
        <v>130</v>
      </c>
      <c r="U53" s="132" t="s">
        <v>128</v>
      </c>
      <c r="V53" s="15" t="s">
        <v>14</v>
      </c>
      <c r="W53" s="9">
        <v>1</v>
      </c>
      <c r="X53" s="12">
        <f t="shared" si="10"/>
        <v>4718.7739997880008</v>
      </c>
      <c r="Y53" s="13">
        <f t="shared" si="7"/>
        <v>4718.7739997880008</v>
      </c>
    </row>
    <row r="54" spans="1:25" ht="15">
      <c r="A54" t="s">
        <v>180</v>
      </c>
      <c r="B54"/>
      <c r="C54"/>
      <c r="D54"/>
      <c r="E54"/>
      <c r="F54"/>
      <c r="G54"/>
      <c r="H54"/>
      <c r="I54"/>
      <c r="T54" s="67"/>
      <c r="U54" s="14"/>
      <c r="V54" s="68"/>
      <c r="W54" s="69"/>
      <c r="X54" s="70"/>
      <c r="Y54" s="71"/>
    </row>
    <row r="55" spans="1:25" ht="15.75">
      <c r="A55" t="s">
        <v>181</v>
      </c>
      <c r="B55"/>
      <c r="C55"/>
      <c r="D55"/>
      <c r="E55"/>
      <c r="F55"/>
      <c r="G55"/>
      <c r="H55"/>
      <c r="I55"/>
      <c r="T55" s="72"/>
      <c r="U55" s="73" t="s">
        <v>17</v>
      </c>
      <c r="V55" s="74"/>
      <c r="W55" s="75"/>
      <c r="X55" s="76"/>
      <c r="Y55" s="77">
        <f>SUM(Y30:Y54)</f>
        <v>121426.32520246376</v>
      </c>
    </row>
    <row r="56" spans="1:25" ht="15">
      <c r="A56" t="s">
        <v>182</v>
      </c>
      <c r="B56"/>
      <c r="C56"/>
      <c r="D56"/>
      <c r="E56"/>
      <c r="F56"/>
      <c r="G56"/>
      <c r="H56"/>
      <c r="I56"/>
      <c r="T56" s="27"/>
      <c r="U56" s="19"/>
      <c r="V56" s="20"/>
      <c r="W56" s="24"/>
      <c r="X56" s="21"/>
      <c r="Y56" s="28"/>
    </row>
    <row r="57" spans="1:25" ht="15.75">
      <c r="A57" t="s">
        <v>183</v>
      </c>
      <c r="B57"/>
      <c r="C57"/>
      <c r="D57"/>
      <c r="E57"/>
      <c r="F57"/>
      <c r="G57"/>
      <c r="H57"/>
      <c r="I57"/>
      <c r="T57" s="27"/>
      <c r="U57" s="29" t="s">
        <v>19</v>
      </c>
      <c r="V57" s="20"/>
      <c r="W57" s="24"/>
      <c r="X57" s="21"/>
      <c r="Y57" s="17">
        <f>+Y19+Y27+Y55</f>
        <v>221916.32332307097</v>
      </c>
    </row>
    <row r="58" spans="1:25" ht="15.75">
      <c r="A58" t="s">
        <v>184</v>
      </c>
      <c r="B58"/>
      <c r="C58"/>
      <c r="D58"/>
      <c r="E58"/>
      <c r="F58"/>
      <c r="G58"/>
      <c r="H58"/>
      <c r="I58"/>
      <c r="T58" s="27"/>
      <c r="U58" s="29" t="s">
        <v>20</v>
      </c>
      <c r="V58" s="20" t="s">
        <v>10</v>
      </c>
      <c r="W58" s="88">
        <v>20.49</v>
      </c>
      <c r="X58" s="21"/>
      <c r="Y58" s="17">
        <f>Y57*W58/100</f>
        <v>45470.654648897238</v>
      </c>
    </row>
    <row r="59" spans="1:25" ht="16.5" thickBot="1">
      <c r="A59" t="s">
        <v>185</v>
      </c>
      <c r="B59"/>
      <c r="C59"/>
      <c r="D59"/>
      <c r="E59"/>
      <c r="F59"/>
      <c r="G59"/>
      <c r="H59"/>
      <c r="I59"/>
      <c r="T59" s="30"/>
      <c r="U59" s="31" t="s">
        <v>21</v>
      </c>
      <c r="V59" s="32"/>
      <c r="W59" s="33"/>
      <c r="X59" s="34"/>
      <c r="Y59" s="35">
        <f>Y57+Y58</f>
        <v>267386.97797196824</v>
      </c>
    </row>
    <row r="60" spans="1:25">
      <c r="A60" t="s">
        <v>186</v>
      </c>
      <c r="B60"/>
      <c r="C60"/>
      <c r="D60"/>
      <c r="E60"/>
      <c r="F60"/>
      <c r="G60"/>
      <c r="H60"/>
      <c r="I60"/>
    </row>
    <row r="61" spans="1:25">
      <c r="A61" t="s">
        <v>187</v>
      </c>
      <c r="B61"/>
      <c r="C61"/>
      <c r="D61"/>
      <c r="E61"/>
      <c r="F61"/>
      <c r="G61"/>
      <c r="H61"/>
      <c r="I61"/>
    </row>
    <row r="62" spans="1:25">
      <c r="A62"/>
      <c r="B62"/>
      <c r="C62"/>
      <c r="D62"/>
      <c r="E62"/>
      <c r="F62"/>
      <c r="G62"/>
      <c r="H62"/>
      <c r="I62"/>
    </row>
    <row r="63" spans="1:25">
      <c r="A63"/>
      <c r="B63"/>
      <c r="C63"/>
      <c r="D63"/>
      <c r="E63"/>
      <c r="F63"/>
      <c r="G63"/>
      <c r="H63"/>
      <c r="I63"/>
    </row>
    <row r="64" spans="1:25">
      <c r="A64" s="108" t="s">
        <v>198</v>
      </c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188</v>
      </c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 t="s">
        <v>189</v>
      </c>
      <c r="B68"/>
      <c r="C68" s="94"/>
      <c r="D68" s="94" t="s">
        <v>191</v>
      </c>
      <c r="E68"/>
      <c r="F68"/>
      <c r="G68"/>
      <c r="H68"/>
      <c r="I68"/>
    </row>
    <row r="69" spans="1:9">
      <c r="A69" t="s">
        <v>192</v>
      </c>
      <c r="B69"/>
      <c r="C69" s="94"/>
      <c r="D69" s="94"/>
      <c r="E69"/>
      <c r="F69"/>
      <c r="G69"/>
      <c r="H69"/>
      <c r="I69"/>
    </row>
    <row r="70" spans="1:9">
      <c r="A70" s="108" t="s">
        <v>201</v>
      </c>
      <c r="B70"/>
      <c r="C70"/>
      <c r="D70"/>
      <c r="E70"/>
      <c r="F70"/>
      <c r="G70"/>
      <c r="H70"/>
      <c r="I70"/>
    </row>
    <row r="71" spans="1:9">
      <c r="A71" t="s">
        <v>193</v>
      </c>
      <c r="B71"/>
      <c r="C71" s="104"/>
      <c r="D71">
        <v>42.5</v>
      </c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 s="104"/>
      <c r="D73"/>
      <c r="E73"/>
      <c r="F73"/>
      <c r="G73"/>
      <c r="H73"/>
      <c r="I73"/>
    </row>
    <row r="74" spans="1:9">
      <c r="A74"/>
      <c r="B74"/>
      <c r="C74" s="104"/>
      <c r="D74"/>
      <c r="E74"/>
      <c r="F74"/>
      <c r="G74"/>
      <c r="H74"/>
      <c r="I74"/>
    </row>
    <row r="75" spans="1:9">
      <c r="A75"/>
      <c r="B75"/>
      <c r="C75" s="104"/>
      <c r="D75"/>
      <c r="E75"/>
      <c r="F75"/>
      <c r="G75"/>
      <c r="H75"/>
      <c r="I75"/>
    </row>
    <row r="76" spans="1:9">
      <c r="A76"/>
      <c r="B76"/>
      <c r="C76" s="104"/>
      <c r="D76"/>
      <c r="E76"/>
      <c r="F76"/>
      <c r="G76"/>
      <c r="H76"/>
      <c r="I76"/>
    </row>
    <row r="77" spans="1:9">
      <c r="A77"/>
      <c r="B77"/>
      <c r="C77" s="104"/>
      <c r="D77"/>
      <c r="E77"/>
      <c r="F77"/>
      <c r="G77"/>
      <c r="H77"/>
      <c r="I77"/>
    </row>
    <row r="78" spans="1:9">
      <c r="A78" t="s">
        <v>194</v>
      </c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 s="108" t="s">
        <v>199</v>
      </c>
      <c r="B80"/>
      <c r="C80"/>
      <c r="D80" s="105">
        <f>D71*120</f>
        <v>5100</v>
      </c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 t="s">
        <v>195</v>
      </c>
      <c r="B82"/>
      <c r="C82" s="104"/>
      <c r="D82" s="104">
        <v>495</v>
      </c>
      <c r="E82" s="104"/>
      <c r="F82"/>
      <c r="G82"/>
      <c r="H82"/>
      <c r="I82"/>
    </row>
    <row r="83" spans="1:9">
      <c r="A83"/>
      <c r="B83"/>
      <c r="C83" s="104"/>
      <c r="D83"/>
      <c r="E83"/>
      <c r="F83"/>
      <c r="G83"/>
      <c r="H83"/>
      <c r="I83"/>
    </row>
    <row r="84" spans="1:9">
      <c r="A84" t="s">
        <v>196</v>
      </c>
      <c r="B84"/>
      <c r="C84" s="104"/>
      <c r="D84">
        <f>D82*3</f>
        <v>1485</v>
      </c>
      <c r="E84"/>
      <c r="F84"/>
      <c r="G84"/>
      <c r="H84"/>
      <c r="I84"/>
    </row>
    <row r="85" spans="1:9">
      <c r="A85"/>
      <c r="B85"/>
      <c r="C85" s="104"/>
      <c r="D85"/>
      <c r="E85"/>
      <c r="F85"/>
      <c r="G85"/>
      <c r="H85"/>
      <c r="I85"/>
    </row>
    <row r="86" spans="1:9">
      <c r="A86"/>
      <c r="B86"/>
      <c r="C86" s="104"/>
      <c r="D86" s="110">
        <f>D80+D84</f>
        <v>6585</v>
      </c>
      <c r="E86"/>
      <c r="F86"/>
      <c r="G86"/>
      <c r="H86"/>
      <c r="I86"/>
    </row>
    <row r="87" spans="1:9">
      <c r="A87"/>
      <c r="B87"/>
      <c r="C87" s="106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 s="107"/>
      <c r="E92"/>
      <c r="F92"/>
      <c r="G92"/>
      <c r="H92"/>
      <c r="I92"/>
    </row>
  </sheetData>
  <mergeCells count="21">
    <mergeCell ref="A34:I34"/>
    <mergeCell ref="A40:E40"/>
    <mergeCell ref="A44:I44"/>
    <mergeCell ref="A16:B16"/>
    <mergeCell ref="B30:C30"/>
    <mergeCell ref="C31:D31"/>
    <mergeCell ref="C32:D32"/>
    <mergeCell ref="I32:K32"/>
    <mergeCell ref="A33:I33"/>
    <mergeCell ref="I12:Q12"/>
    <mergeCell ref="T2:Y2"/>
    <mergeCell ref="T3:Y3"/>
    <mergeCell ref="T4:W4"/>
    <mergeCell ref="X4:Y4"/>
    <mergeCell ref="T5:W5"/>
    <mergeCell ref="X5:Y5"/>
    <mergeCell ref="I7:Q7"/>
    <mergeCell ref="I8:Q8"/>
    <mergeCell ref="I9:Q9"/>
    <mergeCell ref="I10:Q10"/>
    <mergeCell ref="I11:Q11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4" max="30" man="1"/>
    <brk id="10" max="1048575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2"/>
  <sheetViews>
    <sheetView topLeftCell="A22" workbookViewId="0">
      <selection activeCell="H41" sqref="H41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140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2451.42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>
      <c r="A3" s="89" t="s">
        <v>212</v>
      </c>
      <c r="B3" s="103">
        <v>512.72</v>
      </c>
      <c r="C3" s="36">
        <v>0</v>
      </c>
      <c r="T3" s="172" t="s">
        <v>84</v>
      </c>
      <c r="U3" s="173"/>
      <c r="V3" s="173"/>
      <c r="W3" s="173"/>
      <c r="X3" s="173"/>
      <c r="Y3" s="174"/>
    </row>
    <row r="4" spans="1:25" ht="15.75">
      <c r="A4" s="89" t="s">
        <v>147</v>
      </c>
      <c r="B4" s="103">
        <v>63</v>
      </c>
      <c r="C4" s="36">
        <v>63</v>
      </c>
      <c r="T4" s="175" t="s">
        <v>111</v>
      </c>
      <c r="U4" s="176"/>
      <c r="V4" s="176"/>
      <c r="W4" s="176"/>
      <c r="X4" s="177" t="s">
        <v>112</v>
      </c>
      <c r="Y4" s="178"/>
    </row>
    <row r="5" spans="1:25" ht="15.75">
      <c r="A5" s="89"/>
      <c r="B5" s="103">
        <f>SUM(B2:B4)</f>
        <v>3027.1400000000003</v>
      </c>
      <c r="C5" s="103">
        <f>SUM(C2:C4)</f>
        <v>1554.42</v>
      </c>
      <c r="D5" s="141" t="s">
        <v>23</v>
      </c>
      <c r="E5" s="141" t="s">
        <v>24</v>
      </c>
      <c r="H5" s="141" t="s">
        <v>24</v>
      </c>
      <c r="T5" s="179" t="s">
        <v>35</v>
      </c>
      <c r="U5" s="180"/>
      <c r="V5" s="180"/>
      <c r="W5" s="181"/>
      <c r="X5" s="182" t="s">
        <v>216</v>
      </c>
      <c r="Y5" s="183"/>
    </row>
    <row r="6" spans="1:25" ht="25.5">
      <c r="A6" s="141" t="s">
        <v>25</v>
      </c>
      <c r="B6" s="141" t="s">
        <v>26</v>
      </c>
      <c r="C6" s="143" t="s">
        <v>214</v>
      </c>
      <c r="D6" s="61" t="s">
        <v>43</v>
      </c>
      <c r="E6" s="61" t="s">
        <v>215</v>
      </c>
      <c r="G6" s="141"/>
      <c r="H6" s="78" t="s">
        <v>215</v>
      </c>
      <c r="I6" s="141" t="str">
        <f>[1]Coefic.CEF!G2</f>
        <v>Observações:</v>
      </c>
      <c r="T6" s="1" t="s">
        <v>22</v>
      </c>
      <c r="U6" s="2" t="s">
        <v>11</v>
      </c>
      <c r="V6" s="3" t="s">
        <v>12</v>
      </c>
      <c r="W6" s="4" t="s">
        <v>13</v>
      </c>
      <c r="X6" s="63" t="s">
        <v>50</v>
      </c>
      <c r="Y6" s="5" t="s">
        <v>0</v>
      </c>
    </row>
    <row r="7" spans="1:25" ht="12.75" customHeight="1">
      <c r="A7" s="89" t="s">
        <v>117</v>
      </c>
      <c r="B7" s="90">
        <v>0.02</v>
      </c>
      <c r="C7" s="40">
        <f>$C$17*1.7</f>
        <v>1977.4570000000001</v>
      </c>
      <c r="D7" s="40">
        <f t="shared" ref="D7:D12" si="0">B7*C7</f>
        <v>39.549140000000001</v>
      </c>
      <c r="E7" s="41">
        <f t="shared" ref="E7:E12" si="1">B7*C7*$C$16</f>
        <v>119720.78365960001</v>
      </c>
      <c r="H7" s="41">
        <f t="shared" ref="H7:H12" si="2">B7*C7*$H$16</f>
        <v>78646.233329800016</v>
      </c>
      <c r="I7" s="192" t="s">
        <v>39</v>
      </c>
      <c r="J7" s="193"/>
      <c r="K7" s="193"/>
      <c r="L7" s="193"/>
      <c r="M7" s="193"/>
      <c r="N7" s="193"/>
      <c r="O7" s="193"/>
      <c r="P7" s="193"/>
      <c r="Q7" s="193"/>
      <c r="R7" s="39">
        <v>0.02</v>
      </c>
      <c r="T7" s="1" t="s">
        <v>51</v>
      </c>
      <c r="U7" s="7" t="s">
        <v>52</v>
      </c>
      <c r="V7" s="3"/>
      <c r="W7" s="4"/>
      <c r="X7" s="63"/>
      <c r="Y7" s="5"/>
    </row>
    <row r="8" spans="1:25" ht="15">
      <c r="A8" s="89" t="s">
        <v>118</v>
      </c>
      <c r="B8" s="90">
        <f>R8</f>
        <v>5.9999999999999993E-3</v>
      </c>
      <c r="C8" s="40">
        <f t="shared" ref="C8:C12" si="3">$C$17*1.7</f>
        <v>1977.4570000000001</v>
      </c>
      <c r="D8" s="40">
        <f t="shared" si="0"/>
        <v>11.864742</v>
      </c>
      <c r="E8" s="41">
        <f t="shared" si="1"/>
        <v>35916.235097880002</v>
      </c>
      <c r="H8" s="41">
        <f t="shared" si="2"/>
        <v>23593.869998940001</v>
      </c>
      <c r="I8" s="192" t="s">
        <v>38</v>
      </c>
      <c r="J8" s="193"/>
      <c r="K8" s="193"/>
      <c r="L8" s="193"/>
      <c r="M8" s="193"/>
      <c r="N8" s="193"/>
      <c r="O8" s="193"/>
      <c r="P8" s="193"/>
      <c r="Q8" s="193"/>
      <c r="R8" s="39">
        <f>0.0012+0.0048</f>
        <v>5.9999999999999993E-3</v>
      </c>
      <c r="T8" s="11" t="s">
        <v>1</v>
      </c>
      <c r="U8" s="132" t="s">
        <v>113</v>
      </c>
      <c r="V8" s="8" t="s">
        <v>14</v>
      </c>
      <c r="W8" s="9">
        <v>0</v>
      </c>
      <c r="X8" s="12">
        <f>0.25*I20+K40</f>
        <v>29374.364532450003</v>
      </c>
      <c r="Y8" s="13">
        <f>W8*X8</f>
        <v>0</v>
      </c>
    </row>
    <row r="9" spans="1:25" ht="15">
      <c r="A9" s="36" t="s">
        <v>28</v>
      </c>
      <c r="B9" s="90">
        <v>1.0800000000000001E-2</v>
      </c>
      <c r="C9" s="40">
        <f t="shared" si="3"/>
        <v>1977.4570000000001</v>
      </c>
      <c r="D9" s="40">
        <f t="shared" si="0"/>
        <v>21.356535600000001</v>
      </c>
      <c r="E9" s="41">
        <f t="shared" si="1"/>
        <v>64649.223176184008</v>
      </c>
      <c r="H9" s="41">
        <f t="shared" si="2"/>
        <v>42468.965998092004</v>
      </c>
      <c r="I9" s="192" t="s">
        <v>40</v>
      </c>
      <c r="J9" s="193"/>
      <c r="K9" s="193"/>
      <c r="L9" s="193"/>
      <c r="M9" s="193"/>
      <c r="N9" s="193"/>
      <c r="O9" s="193"/>
      <c r="P9" s="193"/>
      <c r="Q9" s="193"/>
      <c r="R9" s="39">
        <f>0.0037+0.0009+0.0004+0.001+0.001+0.0024+0.0004+0.0005+0.0005</f>
        <v>1.0800000000000001E-2</v>
      </c>
      <c r="T9" s="11" t="s">
        <v>2</v>
      </c>
      <c r="U9" s="132" t="s">
        <v>53</v>
      </c>
      <c r="V9" s="8" t="s">
        <v>14</v>
      </c>
      <c r="W9" s="9">
        <v>1</v>
      </c>
      <c r="X9" s="12">
        <f>(0.25*I20)/2</f>
        <v>9830.779166225002</v>
      </c>
      <c r="Y9" s="13">
        <f t="shared" ref="Y9:Y17" si="4">W9*X9</f>
        <v>9830.779166225002</v>
      </c>
    </row>
    <row r="10" spans="1:25" ht="15">
      <c r="A10" s="36" t="s">
        <v>29</v>
      </c>
      <c r="B10" s="90">
        <f>R10</f>
        <v>6.4999999999999997E-3</v>
      </c>
      <c r="C10" s="40">
        <f t="shared" si="3"/>
        <v>1977.4570000000001</v>
      </c>
      <c r="D10" s="40">
        <f t="shared" si="0"/>
        <v>12.8534705</v>
      </c>
      <c r="E10" s="41">
        <f t="shared" si="1"/>
        <v>38909.254689370006</v>
      </c>
      <c r="H10" s="41">
        <f t="shared" si="2"/>
        <v>25560.025832185001</v>
      </c>
      <c r="I10" s="192" t="s">
        <v>119</v>
      </c>
      <c r="J10" s="192"/>
      <c r="K10" s="192"/>
      <c r="L10" s="192"/>
      <c r="M10" s="192"/>
      <c r="N10" s="192"/>
      <c r="O10" s="192"/>
      <c r="P10" s="192"/>
      <c r="Q10" s="192"/>
      <c r="R10" s="39">
        <v>6.4999999999999997E-3</v>
      </c>
      <c r="T10" s="11" t="s">
        <v>3</v>
      </c>
      <c r="U10" s="132" t="s">
        <v>54</v>
      </c>
      <c r="V10" s="8" t="s">
        <v>14</v>
      </c>
      <c r="W10" s="9">
        <v>1</v>
      </c>
      <c r="X10" s="12">
        <f>0.08*I20</f>
        <v>6291.6986663840016</v>
      </c>
      <c r="Y10" s="13">
        <f t="shared" si="4"/>
        <v>6291.6986663840016</v>
      </c>
    </row>
    <row r="11" spans="1:25" ht="15">
      <c r="A11" s="36" t="s">
        <v>30</v>
      </c>
      <c r="B11" s="90">
        <v>4.7000000000000002E-3</v>
      </c>
      <c r="C11" s="40">
        <f t="shared" si="3"/>
        <v>1977.4570000000001</v>
      </c>
      <c r="D11" s="40">
        <f t="shared" si="0"/>
        <v>9.2940479000000007</v>
      </c>
      <c r="E11" s="41">
        <f t="shared" si="1"/>
        <v>28134.384160006004</v>
      </c>
      <c r="H11" s="41">
        <f>B11*C11*$H$17</f>
        <v>21728.669831603962</v>
      </c>
      <c r="I11" s="192" t="s">
        <v>41</v>
      </c>
      <c r="J11" s="192"/>
      <c r="K11" s="192"/>
      <c r="L11" s="192"/>
      <c r="M11" s="192"/>
      <c r="N11" s="192"/>
      <c r="O11" s="192"/>
      <c r="P11" s="192"/>
      <c r="Q11" s="192"/>
      <c r="R11" s="39">
        <f>0.001+0.001+0.002+0.0007</f>
        <v>4.7000000000000002E-3</v>
      </c>
      <c r="T11" s="11" t="s">
        <v>4</v>
      </c>
      <c r="U11" s="132" t="s">
        <v>55</v>
      </c>
      <c r="V11" s="8" t="s">
        <v>14</v>
      </c>
      <c r="W11" s="9">
        <v>1</v>
      </c>
      <c r="X11" s="12">
        <f>(0.075*I21)+(0.075*I21)</f>
        <v>3539.0804998409999</v>
      </c>
      <c r="Y11" s="13">
        <f t="shared" si="4"/>
        <v>3539.0804998409999</v>
      </c>
    </row>
    <row r="12" spans="1:25" ht="15">
      <c r="A12" s="36" t="s">
        <v>31</v>
      </c>
      <c r="B12" s="90">
        <v>4.0000000000000001E-3</v>
      </c>
      <c r="C12" s="40">
        <f t="shared" si="3"/>
        <v>1977.4570000000001</v>
      </c>
      <c r="D12" s="40">
        <f t="shared" si="0"/>
        <v>7.909828000000001</v>
      </c>
      <c r="E12" s="41">
        <f t="shared" si="1"/>
        <v>23944.156731920004</v>
      </c>
      <c r="H12" s="41">
        <f t="shared" si="2"/>
        <v>15729.246665960003</v>
      </c>
      <c r="I12" s="192" t="s">
        <v>42</v>
      </c>
      <c r="J12" s="192"/>
      <c r="K12" s="192"/>
      <c r="L12" s="192"/>
      <c r="M12" s="192"/>
      <c r="N12" s="192"/>
      <c r="O12" s="192"/>
      <c r="P12" s="192"/>
      <c r="Q12" s="192"/>
      <c r="R12" s="39">
        <v>4.0000000000000001E-3</v>
      </c>
      <c r="T12" s="11" t="s">
        <v>15</v>
      </c>
      <c r="U12" s="132" t="s">
        <v>56</v>
      </c>
      <c r="V12" s="8" t="s">
        <v>14</v>
      </c>
      <c r="W12" s="9">
        <v>1</v>
      </c>
      <c r="X12" s="12">
        <f>0.15*I24</f>
        <v>3259.3004747405944</v>
      </c>
      <c r="Y12" s="13">
        <f t="shared" si="4"/>
        <v>3259.3004747405944</v>
      </c>
    </row>
    <row r="13" spans="1:25" ht="30">
      <c r="D13" s="42">
        <f>SUM(D7:D12)</f>
        <v>102.827764</v>
      </c>
      <c r="E13" s="42">
        <f>SUM(E7:E12)</f>
        <v>311274.03751496004</v>
      </c>
      <c r="H13" s="42">
        <f>SUM(H7:H12)</f>
        <v>207727.01165658099</v>
      </c>
      <c r="I13" s="139"/>
      <c r="T13" s="11" t="s">
        <v>16</v>
      </c>
      <c r="U13" s="132" t="s">
        <v>114</v>
      </c>
      <c r="V13" s="8" t="s">
        <v>14</v>
      </c>
      <c r="W13" s="9">
        <v>1</v>
      </c>
      <c r="X13" s="12">
        <f>0.2*I22</f>
        <v>8493.7931996184016</v>
      </c>
      <c r="Y13" s="13">
        <f t="shared" si="4"/>
        <v>8493.7931996184016</v>
      </c>
    </row>
    <row r="14" spans="1:25" ht="30">
      <c r="E14" s="41">
        <f>E13/C16</f>
        <v>102.827764</v>
      </c>
      <c r="H14" s="41">
        <f>H13/C16</f>
        <v>68.62154101117919</v>
      </c>
      <c r="T14" s="11" t="s">
        <v>36</v>
      </c>
      <c r="U14" s="132" t="s">
        <v>132</v>
      </c>
      <c r="V14" s="8" t="s">
        <v>14</v>
      </c>
      <c r="W14" s="9">
        <v>1</v>
      </c>
      <c r="X14" s="12">
        <f>0.05*I22</f>
        <v>2123.4482999046004</v>
      </c>
      <c r="Y14" s="13">
        <f t="shared" si="4"/>
        <v>2123.4482999046004</v>
      </c>
    </row>
    <row r="15" spans="1:25" ht="30">
      <c r="E15" s="43">
        <f>D13/1200</f>
        <v>8.5689803333333328E-2</v>
      </c>
      <c r="H15" s="43">
        <f>H14/1200</f>
        <v>5.7184617509315992E-2</v>
      </c>
      <c r="I15" s="43">
        <f>H14/1840</f>
        <v>3.729431576694521E-2</v>
      </c>
      <c r="T15" s="11" t="s">
        <v>85</v>
      </c>
      <c r="U15" s="133" t="s">
        <v>108</v>
      </c>
      <c r="V15" s="15" t="s">
        <v>14</v>
      </c>
      <c r="W15" s="9">
        <v>1</v>
      </c>
      <c r="X15" s="12">
        <f>0.4*I23</f>
        <v>10224.010332874001</v>
      </c>
      <c r="Y15" s="13">
        <f t="shared" si="4"/>
        <v>10224.010332874001</v>
      </c>
    </row>
    <row r="16" spans="1:25" ht="30">
      <c r="A16" s="206" t="s">
        <v>44</v>
      </c>
      <c r="B16" s="206"/>
      <c r="C16" s="62">
        <f>B5</f>
        <v>3027.1400000000003</v>
      </c>
      <c r="G16" s="142" t="s">
        <v>45</v>
      </c>
      <c r="H16" s="45">
        <f>(300+(500*0.83)+(1000*0.66)+(C16-1800)*0.5)</f>
        <v>1988.5700000000002</v>
      </c>
      <c r="I16" s="40">
        <f>H16/C16</f>
        <v>0.65691378661046396</v>
      </c>
      <c r="T16" s="11" t="s">
        <v>86</v>
      </c>
      <c r="U16" s="132" t="s">
        <v>57</v>
      </c>
      <c r="V16" s="8" t="s">
        <v>14</v>
      </c>
      <c r="W16" s="9">
        <v>1</v>
      </c>
      <c r="X16" s="12">
        <f>0.15*I24</f>
        <v>3259.3004747405944</v>
      </c>
      <c r="Y16" s="13">
        <f t="shared" si="4"/>
        <v>3259.3004747405944</v>
      </c>
    </row>
    <row r="17" spans="1:25" ht="15">
      <c r="A17" s="142" t="s">
        <v>149</v>
      </c>
      <c r="B17" s="46">
        <v>41487</v>
      </c>
      <c r="C17" s="59">
        <v>1163.21</v>
      </c>
      <c r="G17" s="142" t="s">
        <v>48</v>
      </c>
      <c r="H17" s="45">
        <f>(500+(1000*0.83)+(C16-1500)*0.66)</f>
        <v>2337.9124000000002</v>
      </c>
      <c r="I17" s="40">
        <f>H17/C16</f>
        <v>0.7723172367317005</v>
      </c>
      <c r="T17" s="11" t="s">
        <v>58</v>
      </c>
      <c r="U17" s="132" t="s">
        <v>59</v>
      </c>
      <c r="V17" s="8" t="s">
        <v>14</v>
      </c>
      <c r="W17" s="9">
        <v>1</v>
      </c>
      <c r="X17" s="12">
        <f>0.05*I22</f>
        <v>2123.4482999046004</v>
      </c>
      <c r="Y17" s="13">
        <f t="shared" si="4"/>
        <v>2123.4482999046004</v>
      </c>
    </row>
    <row r="18" spans="1:25" ht="15">
      <c r="A18" s="78" t="s">
        <v>213</v>
      </c>
      <c r="T18" s="11"/>
      <c r="U18" s="14"/>
      <c r="V18" s="8"/>
      <c r="W18" s="9"/>
      <c r="X18" s="12"/>
      <c r="Y18" s="13"/>
    </row>
    <row r="19" spans="1:25" ht="16.5" thickBot="1">
      <c r="A19" s="78"/>
      <c r="T19" s="11"/>
      <c r="U19" s="64" t="s">
        <v>17</v>
      </c>
      <c r="V19" s="8"/>
      <c r="W19" s="9"/>
      <c r="X19" s="16"/>
      <c r="Y19" s="17">
        <f>SUM(Y8:Y18)</f>
        <v>49144.859414232793</v>
      </c>
    </row>
    <row r="20" spans="1:25" ht="15">
      <c r="H20" s="60" t="s">
        <v>27</v>
      </c>
      <c r="I20" s="47">
        <f t="shared" ref="I20:I25" si="5">H7</f>
        <v>78646.233329800016</v>
      </c>
      <c r="T20" s="18"/>
      <c r="U20" s="19"/>
      <c r="V20" s="20"/>
      <c r="W20" s="21"/>
      <c r="X20" s="22"/>
      <c r="Y20" s="23"/>
    </row>
    <row r="21" spans="1:25" ht="15">
      <c r="C21" s="36">
        <f>23000*0.0005</f>
        <v>11.5</v>
      </c>
      <c r="H21" s="48" t="s">
        <v>32</v>
      </c>
      <c r="I21" s="49">
        <f t="shared" si="5"/>
        <v>23593.869998940001</v>
      </c>
      <c r="T21" s="18"/>
      <c r="U21" s="19"/>
      <c r="V21" s="20"/>
      <c r="W21" s="24"/>
      <c r="X21" s="22"/>
      <c r="Y21" s="25"/>
    </row>
    <row r="22" spans="1:25" ht="15.75">
      <c r="A22" s="79"/>
      <c r="B22" s="79"/>
      <c r="C22" s="79"/>
      <c r="D22" s="79"/>
      <c r="E22" s="79"/>
      <c r="F22" s="79"/>
      <c r="H22" s="48" t="s">
        <v>33</v>
      </c>
      <c r="I22" s="49">
        <f t="shared" si="5"/>
        <v>42468.965998092004</v>
      </c>
      <c r="L22" s="89"/>
      <c r="T22" s="87" t="s">
        <v>60</v>
      </c>
      <c r="U22" s="65" t="s">
        <v>61</v>
      </c>
      <c r="V22" s="20"/>
      <c r="W22" s="24"/>
      <c r="X22" s="22"/>
      <c r="Y22" s="25"/>
    </row>
    <row r="23" spans="1:25" ht="15">
      <c r="A23" s="80"/>
      <c r="B23" s="81"/>
      <c r="C23" s="81"/>
      <c r="D23" s="80"/>
      <c r="E23" s="81"/>
      <c r="F23" s="79"/>
      <c r="H23" s="50" t="s">
        <v>29</v>
      </c>
      <c r="I23" s="51">
        <f t="shared" si="5"/>
        <v>25560.025832185001</v>
      </c>
      <c r="J23" s="52"/>
      <c r="T23" s="11" t="s">
        <v>5</v>
      </c>
      <c r="U23" s="132" t="s">
        <v>62</v>
      </c>
      <c r="V23" s="8" t="s">
        <v>14</v>
      </c>
      <c r="W23" s="9">
        <v>1</v>
      </c>
      <c r="X23" s="12">
        <f>0.1*I20+0.05*I20</f>
        <v>11796.934999470002</v>
      </c>
      <c r="Y23" s="13">
        <f>W23*X23</f>
        <v>11796.934999470002</v>
      </c>
    </row>
    <row r="24" spans="1:25" ht="15">
      <c r="A24" s="79"/>
      <c r="B24" s="82"/>
      <c r="C24" s="83"/>
      <c r="D24" s="83"/>
      <c r="E24" s="84"/>
      <c r="F24" s="79"/>
      <c r="H24" s="48" t="s">
        <v>30</v>
      </c>
      <c r="I24" s="49">
        <f t="shared" si="5"/>
        <v>21728.669831603962</v>
      </c>
      <c r="J24" s="41"/>
      <c r="T24" s="11" t="s">
        <v>6</v>
      </c>
      <c r="U24" s="132" t="s">
        <v>63</v>
      </c>
      <c r="V24" s="8" t="s">
        <v>14</v>
      </c>
      <c r="W24" s="9">
        <v>1</v>
      </c>
      <c r="X24" s="12">
        <f>0.15*I22</f>
        <v>6370.3448997138003</v>
      </c>
      <c r="Y24" s="13">
        <f t="shared" ref="Y24:Y25" si="6">W24*X24</f>
        <v>6370.3448997138003</v>
      </c>
    </row>
    <row r="25" spans="1:25" ht="15">
      <c r="A25" s="79"/>
      <c r="B25" s="82"/>
      <c r="C25" s="83"/>
      <c r="D25" s="83"/>
      <c r="E25" s="84"/>
      <c r="F25" s="79"/>
      <c r="H25" s="53" t="s">
        <v>34</v>
      </c>
      <c r="I25" s="49">
        <f t="shared" si="5"/>
        <v>15729.246665960003</v>
      </c>
      <c r="J25" s="41"/>
      <c r="T25" s="11" t="s">
        <v>7</v>
      </c>
      <c r="U25" s="132" t="s">
        <v>64</v>
      </c>
      <c r="V25" s="8" t="s">
        <v>14</v>
      </c>
      <c r="W25" s="9">
        <v>1</v>
      </c>
      <c r="X25" s="12">
        <f>0.15*I24</f>
        <v>3259.3004747405944</v>
      </c>
      <c r="Y25" s="13">
        <f t="shared" si="6"/>
        <v>3259.3004747405944</v>
      </c>
    </row>
    <row r="26" spans="1:25" ht="15">
      <c r="A26" s="79"/>
      <c r="B26" s="82"/>
      <c r="C26" s="83"/>
      <c r="D26" s="83"/>
      <c r="E26" s="84"/>
      <c r="F26" s="79"/>
      <c r="H26" s="54"/>
      <c r="I26" s="55"/>
      <c r="J26" s="41"/>
      <c r="T26" s="11"/>
      <c r="U26" s="14"/>
      <c r="V26" s="8"/>
      <c r="W26" s="9"/>
      <c r="X26" s="12"/>
      <c r="Y26" s="13"/>
    </row>
    <row r="27" spans="1:25" ht="16.5" thickBot="1">
      <c r="A27" s="79"/>
      <c r="B27" s="82"/>
      <c r="C27" s="83"/>
      <c r="D27" s="83"/>
      <c r="E27" s="84"/>
      <c r="F27" s="79"/>
      <c r="H27" s="56"/>
      <c r="I27" s="57">
        <f>SUM(I20:I25)</f>
        <v>207727.01165658099</v>
      </c>
      <c r="J27" s="41"/>
      <c r="T27" s="11"/>
      <c r="U27" s="64" t="s">
        <v>17</v>
      </c>
      <c r="V27" s="8"/>
      <c r="W27" s="9"/>
      <c r="X27" s="16"/>
      <c r="Y27" s="17">
        <f>SUM(Y23:Y26)</f>
        <v>21426.580373924397</v>
      </c>
    </row>
    <row r="28" spans="1:25" ht="15.75">
      <c r="A28" s="79"/>
      <c r="B28" s="82"/>
      <c r="C28" s="83"/>
      <c r="D28" s="83"/>
      <c r="E28" s="84"/>
      <c r="F28" s="79"/>
      <c r="I28" s="41"/>
      <c r="J28" s="41"/>
      <c r="T28" s="11"/>
      <c r="U28" s="14"/>
      <c r="V28" s="8"/>
      <c r="W28" s="9"/>
      <c r="X28" s="26"/>
      <c r="Y28" s="10"/>
    </row>
    <row r="29" spans="1:25" ht="15.75">
      <c r="A29" s="79"/>
      <c r="B29" s="82"/>
      <c r="C29" s="83"/>
      <c r="D29" s="83"/>
      <c r="E29" s="84"/>
      <c r="F29" s="79"/>
      <c r="H29" s="142" t="s">
        <v>49</v>
      </c>
      <c r="I29" s="42">
        <f>I27/C16</f>
        <v>68.62154101117919</v>
      </c>
      <c r="J29" s="41"/>
      <c r="T29" s="6">
        <v>3</v>
      </c>
      <c r="U29" s="65" t="s">
        <v>65</v>
      </c>
      <c r="V29" s="8"/>
      <c r="W29" s="9"/>
      <c r="X29" s="22"/>
      <c r="Y29" s="23"/>
    </row>
    <row r="30" spans="1:25" ht="15">
      <c r="A30" s="79"/>
      <c r="B30" s="188"/>
      <c r="C30" s="188"/>
      <c r="D30" s="85"/>
      <c r="E30" s="86"/>
      <c r="F30" s="79"/>
      <c r="T30" s="11" t="s">
        <v>8</v>
      </c>
      <c r="U30" s="132" t="s">
        <v>115</v>
      </c>
      <c r="V30" s="8" t="s">
        <v>14</v>
      </c>
      <c r="W30" s="9">
        <v>1</v>
      </c>
      <c r="X30" s="12">
        <f>0.255*I20</f>
        <v>20054.789499099003</v>
      </c>
      <c r="Y30" s="13">
        <f>W30*X30</f>
        <v>20054.789499099003</v>
      </c>
    </row>
    <row r="31" spans="1:25" ht="15">
      <c r="C31" s="188"/>
      <c r="D31" s="188"/>
      <c r="E31" s="41"/>
      <c r="T31" s="11" t="s">
        <v>9</v>
      </c>
      <c r="U31" s="132" t="s">
        <v>66</v>
      </c>
      <c r="V31" s="8" t="s">
        <v>14</v>
      </c>
      <c r="W31" s="9">
        <v>1</v>
      </c>
      <c r="X31" s="12">
        <f>0.04*I$20</f>
        <v>3145.8493331920008</v>
      </c>
      <c r="Y31" s="13">
        <f t="shared" ref="Y31:Y53" si="7">W31*X31</f>
        <v>3145.8493331920008</v>
      </c>
    </row>
    <row r="32" spans="1:25" ht="15">
      <c r="C32" s="188"/>
      <c r="D32" s="188"/>
      <c r="E32" s="43"/>
      <c r="I32" s="189"/>
      <c r="J32" s="189"/>
      <c r="K32" s="189"/>
      <c r="T32" s="11" t="s">
        <v>18</v>
      </c>
      <c r="U32" s="132" t="s">
        <v>67</v>
      </c>
      <c r="V32" s="8" t="s">
        <v>14</v>
      </c>
      <c r="W32" s="9">
        <v>1</v>
      </c>
      <c r="X32" s="12">
        <f t="shared" ref="X32" si="8">0.04*I$20</f>
        <v>3145.8493331920008</v>
      </c>
      <c r="Y32" s="13">
        <f t="shared" si="7"/>
        <v>3145.8493331920008</v>
      </c>
    </row>
    <row r="33" spans="1:25" ht="15">
      <c r="A33" s="190" t="s">
        <v>46</v>
      </c>
      <c r="B33" s="190"/>
      <c r="C33" s="190"/>
      <c r="D33" s="190"/>
      <c r="E33" s="190"/>
      <c r="F33" s="190"/>
      <c r="G33" s="190"/>
      <c r="H33" s="190"/>
      <c r="I33" s="190"/>
      <c r="T33" s="11" t="s">
        <v>37</v>
      </c>
      <c r="U33" s="132" t="s">
        <v>68</v>
      </c>
      <c r="V33" s="8" t="s">
        <v>14</v>
      </c>
      <c r="W33" s="9">
        <v>1</v>
      </c>
      <c r="X33" s="12">
        <f>0.06*I$20</f>
        <v>4718.7739997880008</v>
      </c>
      <c r="Y33" s="13">
        <f t="shared" si="7"/>
        <v>4718.7739997880008</v>
      </c>
    </row>
    <row r="34" spans="1:25" ht="15">
      <c r="A34" s="191" t="s">
        <v>150</v>
      </c>
      <c r="B34" s="191"/>
      <c r="C34" s="191"/>
      <c r="D34" s="191"/>
      <c r="E34" s="191"/>
      <c r="F34" s="191"/>
      <c r="G34" s="191"/>
      <c r="H34" s="191"/>
      <c r="I34" s="191"/>
      <c r="T34" s="11" t="s">
        <v>87</v>
      </c>
      <c r="U34" s="132" t="s">
        <v>69</v>
      </c>
      <c r="V34" s="8" t="s">
        <v>14</v>
      </c>
      <c r="W34" s="9">
        <v>1</v>
      </c>
      <c r="X34" s="12">
        <f>0.075*I$20</f>
        <v>5898.4674997350012</v>
      </c>
      <c r="Y34" s="13">
        <f t="shared" si="7"/>
        <v>5898.4674997350012</v>
      </c>
    </row>
    <row r="35" spans="1:25" ht="15">
      <c r="T35" s="11" t="s">
        <v>88</v>
      </c>
      <c r="U35" s="132" t="s">
        <v>131</v>
      </c>
      <c r="V35" s="8" t="s">
        <v>14</v>
      </c>
      <c r="W35" s="9">
        <v>1</v>
      </c>
      <c r="X35" s="12">
        <f>0.05*I$20</f>
        <v>3932.3116664900008</v>
      </c>
      <c r="Y35" s="13">
        <f t="shared" si="7"/>
        <v>3932.3116664900008</v>
      </c>
    </row>
    <row r="36" spans="1:25" ht="15">
      <c r="T36" s="11" t="s">
        <v>89</v>
      </c>
      <c r="U36" s="132" t="s">
        <v>70</v>
      </c>
      <c r="V36" s="8" t="s">
        <v>14</v>
      </c>
      <c r="W36" s="9">
        <v>1</v>
      </c>
      <c r="X36" s="12">
        <f>0.3*I21</f>
        <v>7078.1609996819998</v>
      </c>
      <c r="Y36" s="13">
        <f t="shared" si="7"/>
        <v>7078.1609996819998</v>
      </c>
    </row>
    <row r="37" spans="1:25" ht="15">
      <c r="A37" s="89" t="s">
        <v>106</v>
      </c>
      <c r="T37" s="11" t="s">
        <v>90</v>
      </c>
      <c r="U37" s="132" t="s">
        <v>71</v>
      </c>
      <c r="V37" s="8" t="s">
        <v>14</v>
      </c>
      <c r="W37" s="9">
        <v>1</v>
      </c>
      <c r="X37" s="12">
        <f>0.3*I21</f>
        <v>7078.1609996819998</v>
      </c>
      <c r="Y37" s="13">
        <f t="shared" si="7"/>
        <v>7078.1609996819998</v>
      </c>
    </row>
    <row r="38" spans="1:25" ht="15">
      <c r="T38" s="11" t="s">
        <v>91</v>
      </c>
      <c r="U38" s="132" t="s">
        <v>72</v>
      </c>
      <c r="V38" s="8" t="s">
        <v>14</v>
      </c>
      <c r="W38" s="9">
        <v>1</v>
      </c>
      <c r="X38" s="12">
        <f>0.15*I$24</f>
        <v>3259.3004747405944</v>
      </c>
      <c r="Y38" s="13">
        <f t="shared" si="7"/>
        <v>3259.3004747405944</v>
      </c>
    </row>
    <row r="39" spans="1:25" ht="15">
      <c r="A39" s="89" t="s">
        <v>234</v>
      </c>
      <c r="G39" s="91" t="s">
        <v>121</v>
      </c>
      <c r="H39" s="91" t="s">
        <v>120</v>
      </c>
      <c r="T39" s="11" t="s">
        <v>92</v>
      </c>
      <c r="U39" s="132" t="s">
        <v>73</v>
      </c>
      <c r="V39" s="8" t="s">
        <v>14</v>
      </c>
      <c r="W39" s="9">
        <v>1</v>
      </c>
      <c r="X39" s="12">
        <f t="shared" ref="X39" si="9">0.15*I$24</f>
        <v>3259.3004747405944</v>
      </c>
      <c r="Y39" s="13">
        <f t="shared" si="7"/>
        <v>3259.3004747405944</v>
      </c>
    </row>
    <row r="40" spans="1:25" ht="26.25" customHeight="1">
      <c r="A40" s="205" t="s">
        <v>107</v>
      </c>
      <c r="B40" s="205"/>
      <c r="C40" s="205"/>
      <c r="D40" s="205"/>
      <c r="E40" s="205"/>
      <c r="G40" s="91">
        <v>0.34</v>
      </c>
      <c r="H40" s="92">
        <v>9199.43</v>
      </c>
      <c r="I40" s="40">
        <f>G40*H40</f>
        <v>3127.8062000000004</v>
      </c>
      <c r="J40" s="112">
        <f>D86</f>
        <v>6585</v>
      </c>
      <c r="K40" s="111">
        <f>J40+I40</f>
        <v>9712.8062000000009</v>
      </c>
      <c r="T40" s="11" t="s">
        <v>93</v>
      </c>
      <c r="U40" s="132" t="s">
        <v>74</v>
      </c>
      <c r="V40" s="8" t="s">
        <v>14</v>
      </c>
      <c r="W40" s="9">
        <v>1</v>
      </c>
      <c r="X40" s="12">
        <f>0.1*I$24</f>
        <v>2172.8669831603961</v>
      </c>
      <c r="Y40" s="13">
        <f t="shared" si="7"/>
        <v>2172.8669831603961</v>
      </c>
    </row>
    <row r="41" spans="1:25" ht="15">
      <c r="T41" s="11" t="s">
        <v>94</v>
      </c>
      <c r="U41" s="132" t="s">
        <v>75</v>
      </c>
      <c r="V41" s="8" t="s">
        <v>14</v>
      </c>
      <c r="W41" s="9">
        <v>1</v>
      </c>
      <c r="X41" s="12">
        <f>0.05*I$24</f>
        <v>1086.4334915801981</v>
      </c>
      <c r="Y41" s="13">
        <f t="shared" si="7"/>
        <v>1086.4334915801981</v>
      </c>
    </row>
    <row r="42" spans="1:25" ht="15">
      <c r="I42" s="41">
        <f>I27+I40</f>
        <v>210854.81785658098</v>
      </c>
      <c r="T42" s="11" t="s">
        <v>95</v>
      </c>
      <c r="U42" s="132" t="s">
        <v>116</v>
      </c>
      <c r="V42" s="8" t="s">
        <v>14</v>
      </c>
      <c r="W42" s="9">
        <v>1</v>
      </c>
      <c r="X42" s="12">
        <f>0.2*I$22</f>
        <v>8493.7931996184016</v>
      </c>
      <c r="Y42" s="13">
        <f t="shared" si="7"/>
        <v>8493.7931996184016</v>
      </c>
    </row>
    <row r="43" spans="1:25" ht="15">
      <c r="T43" s="11" t="s">
        <v>96</v>
      </c>
      <c r="U43" s="132" t="s">
        <v>76</v>
      </c>
      <c r="V43" s="8" t="s">
        <v>14</v>
      </c>
      <c r="W43" s="9">
        <v>1</v>
      </c>
      <c r="X43" s="12">
        <f>0.1*I$22</f>
        <v>4246.8965998092008</v>
      </c>
      <c r="Y43" s="13">
        <f t="shared" si="7"/>
        <v>4246.8965998092008</v>
      </c>
    </row>
    <row r="44" spans="1:25" ht="15">
      <c r="A44" s="203" t="s">
        <v>171</v>
      </c>
      <c r="B44" s="204"/>
      <c r="C44" s="204"/>
      <c r="D44" s="204"/>
      <c r="E44" s="204"/>
      <c r="F44" s="204"/>
      <c r="G44" s="204"/>
      <c r="H44" s="204"/>
      <c r="I44" s="204"/>
      <c r="T44" s="11" t="s">
        <v>97</v>
      </c>
      <c r="U44" s="132" t="s">
        <v>77</v>
      </c>
      <c r="V44" s="8" t="s">
        <v>14</v>
      </c>
      <c r="W44" s="9">
        <v>1</v>
      </c>
      <c r="X44" s="12">
        <f>0.05*I$22</f>
        <v>2123.4482999046004</v>
      </c>
      <c r="Y44" s="13">
        <f t="shared" si="7"/>
        <v>2123.4482999046004</v>
      </c>
    </row>
    <row r="45" spans="1:25" ht="30">
      <c r="A45"/>
      <c r="B45"/>
      <c r="C45"/>
      <c r="D45"/>
      <c r="E45"/>
      <c r="F45"/>
      <c r="G45"/>
      <c r="H45"/>
      <c r="I45"/>
      <c r="T45" s="11" t="s">
        <v>98</v>
      </c>
      <c r="U45" s="132" t="s">
        <v>129</v>
      </c>
      <c r="V45" s="15" t="s">
        <v>14</v>
      </c>
      <c r="W45" s="9">
        <v>1</v>
      </c>
      <c r="X45" s="12">
        <f>0.1*I$22</f>
        <v>4246.8965998092008</v>
      </c>
      <c r="Y45" s="13">
        <f t="shared" si="7"/>
        <v>4246.8965998092008</v>
      </c>
    </row>
    <row r="46" spans="1:25" ht="30">
      <c r="A46" t="s">
        <v>172</v>
      </c>
      <c r="B46"/>
      <c r="C46"/>
      <c r="D46"/>
      <c r="E46"/>
      <c r="F46"/>
      <c r="G46"/>
      <c r="H46"/>
      <c r="I46"/>
      <c r="T46" s="11" t="s">
        <v>99</v>
      </c>
      <c r="U46" s="132" t="s">
        <v>109</v>
      </c>
      <c r="V46" s="8" t="s">
        <v>14</v>
      </c>
      <c r="W46" s="9">
        <v>1</v>
      </c>
      <c r="X46" s="12">
        <f>0.6*I23</f>
        <v>15336.015499311001</v>
      </c>
      <c r="Y46" s="13">
        <f t="shared" si="7"/>
        <v>15336.015499311001</v>
      </c>
    </row>
    <row r="47" spans="1:25" ht="15">
      <c r="A47" t="s">
        <v>173</v>
      </c>
      <c r="B47"/>
      <c r="C47"/>
      <c r="D47"/>
      <c r="E47"/>
      <c r="F47"/>
      <c r="G47"/>
      <c r="H47"/>
      <c r="I47"/>
      <c r="T47" s="11" t="s">
        <v>100</v>
      </c>
      <c r="U47" s="132" t="s">
        <v>78</v>
      </c>
      <c r="V47" s="8" t="s">
        <v>14</v>
      </c>
      <c r="W47" s="9">
        <v>1</v>
      </c>
      <c r="X47" s="12">
        <f>0.1*I24</f>
        <v>2172.8669831603961</v>
      </c>
      <c r="Y47" s="13">
        <f t="shared" si="7"/>
        <v>2172.8669831603961</v>
      </c>
    </row>
    <row r="48" spans="1:25" ht="15">
      <c r="A48" t="s">
        <v>174</v>
      </c>
      <c r="B48"/>
      <c r="C48"/>
      <c r="D48"/>
      <c r="E48"/>
      <c r="F48"/>
      <c r="G48"/>
      <c r="H48"/>
      <c r="I48"/>
      <c r="T48" s="11" t="s">
        <v>101</v>
      </c>
      <c r="U48" s="132" t="s">
        <v>79</v>
      </c>
      <c r="V48" s="8" t="s">
        <v>14</v>
      </c>
      <c r="W48" s="9">
        <v>1</v>
      </c>
      <c r="X48" s="12">
        <f>0.06*I$22</f>
        <v>2548.1379598855201</v>
      </c>
      <c r="Y48" s="13">
        <f t="shared" si="7"/>
        <v>2548.1379598855201</v>
      </c>
    </row>
    <row r="49" spans="1:25" ht="15">
      <c r="A49" t="s">
        <v>175</v>
      </c>
      <c r="B49"/>
      <c r="C49"/>
      <c r="D49"/>
      <c r="E49"/>
      <c r="F49"/>
      <c r="G49"/>
      <c r="H49"/>
      <c r="I49"/>
      <c r="T49" s="11" t="s">
        <v>102</v>
      </c>
      <c r="U49" s="132" t="s">
        <v>80</v>
      </c>
      <c r="V49" s="8" t="s">
        <v>14</v>
      </c>
      <c r="W49" s="9">
        <v>1</v>
      </c>
      <c r="X49" s="12">
        <f>0.04*I$22</f>
        <v>1698.7586399236802</v>
      </c>
      <c r="Y49" s="13">
        <f t="shared" si="7"/>
        <v>1698.7586399236802</v>
      </c>
    </row>
    <row r="50" spans="1:25" ht="15">
      <c r="A50" t="s">
        <v>176</v>
      </c>
      <c r="B50"/>
      <c r="C50"/>
      <c r="D50"/>
      <c r="E50"/>
      <c r="F50"/>
      <c r="G50"/>
      <c r="H50"/>
      <c r="I50"/>
      <c r="T50" s="11" t="s">
        <v>103</v>
      </c>
      <c r="U50" s="132" t="s">
        <v>81</v>
      </c>
      <c r="V50" s="8" t="s">
        <v>14</v>
      </c>
      <c r="W50" s="9">
        <v>1</v>
      </c>
      <c r="X50" s="12">
        <f>0.3*I$25</f>
        <v>4718.7739997880008</v>
      </c>
      <c r="Y50" s="13">
        <f t="shared" si="7"/>
        <v>4718.7739997880008</v>
      </c>
    </row>
    <row r="51" spans="1:25" ht="15">
      <c r="A51" t="s">
        <v>177</v>
      </c>
      <c r="B51"/>
      <c r="C51"/>
      <c r="D51"/>
      <c r="E51"/>
      <c r="F51"/>
      <c r="G51"/>
      <c r="H51"/>
      <c r="I51"/>
      <c r="T51" s="11" t="s">
        <v>104</v>
      </c>
      <c r="U51" s="132" t="s">
        <v>110</v>
      </c>
      <c r="V51" s="8" t="s">
        <v>14</v>
      </c>
      <c r="W51" s="9">
        <v>1</v>
      </c>
      <c r="X51" s="12">
        <f t="shared" ref="X51:X53" si="10">0.3*I$25</f>
        <v>4718.7739997880008</v>
      </c>
      <c r="Y51" s="13">
        <f t="shared" si="7"/>
        <v>4718.7739997880008</v>
      </c>
    </row>
    <row r="52" spans="1:25" ht="15">
      <c r="A52" t="s">
        <v>178</v>
      </c>
      <c r="B52"/>
      <c r="C52"/>
      <c r="D52"/>
      <c r="E52"/>
      <c r="F52"/>
      <c r="G52"/>
      <c r="H52"/>
      <c r="I52"/>
      <c r="T52" s="11" t="s">
        <v>105</v>
      </c>
      <c r="U52" s="132" t="s">
        <v>82</v>
      </c>
      <c r="V52" s="8" t="s">
        <v>14</v>
      </c>
      <c r="W52" s="9">
        <v>1</v>
      </c>
      <c r="X52" s="12">
        <f>0.1*I$25</f>
        <v>1572.9246665960004</v>
      </c>
      <c r="Y52" s="13">
        <f t="shared" si="7"/>
        <v>1572.9246665960004</v>
      </c>
    </row>
    <row r="53" spans="1:25" ht="45">
      <c r="A53" t="s">
        <v>179</v>
      </c>
      <c r="B53"/>
      <c r="C53"/>
      <c r="D53"/>
      <c r="E53"/>
      <c r="F53"/>
      <c r="G53"/>
      <c r="H53"/>
      <c r="I53"/>
      <c r="T53" s="11" t="s">
        <v>130</v>
      </c>
      <c r="U53" s="132" t="s">
        <v>128</v>
      </c>
      <c r="V53" s="15" t="s">
        <v>14</v>
      </c>
      <c r="W53" s="9">
        <v>1</v>
      </c>
      <c r="X53" s="12">
        <f t="shared" si="10"/>
        <v>4718.7739997880008</v>
      </c>
      <c r="Y53" s="13">
        <f t="shared" si="7"/>
        <v>4718.7739997880008</v>
      </c>
    </row>
    <row r="54" spans="1:25" ht="15">
      <c r="A54" t="s">
        <v>180</v>
      </c>
      <c r="B54"/>
      <c r="C54"/>
      <c r="D54"/>
      <c r="E54"/>
      <c r="F54"/>
      <c r="G54"/>
      <c r="H54"/>
      <c r="I54"/>
      <c r="T54" s="67"/>
      <c r="U54" s="14"/>
      <c r="V54" s="68"/>
      <c r="W54" s="69"/>
      <c r="X54" s="70"/>
      <c r="Y54" s="71"/>
    </row>
    <row r="55" spans="1:25" ht="15.75">
      <c r="A55" t="s">
        <v>181</v>
      </c>
      <c r="B55"/>
      <c r="C55"/>
      <c r="D55"/>
      <c r="E55"/>
      <c r="F55"/>
      <c r="G55"/>
      <c r="H55"/>
      <c r="I55"/>
      <c r="T55" s="72"/>
      <c r="U55" s="73" t="s">
        <v>17</v>
      </c>
      <c r="V55" s="74"/>
      <c r="W55" s="75"/>
      <c r="X55" s="76"/>
      <c r="Y55" s="77">
        <f>SUM(Y30:Y54)</f>
        <v>121426.32520246376</v>
      </c>
    </row>
    <row r="56" spans="1:25" ht="15">
      <c r="A56" t="s">
        <v>182</v>
      </c>
      <c r="B56"/>
      <c r="C56"/>
      <c r="D56"/>
      <c r="E56"/>
      <c r="F56"/>
      <c r="G56"/>
      <c r="H56"/>
      <c r="I56"/>
      <c r="T56" s="27"/>
      <c r="U56" s="19"/>
      <c r="V56" s="20"/>
      <c r="W56" s="24"/>
      <c r="X56" s="21"/>
      <c r="Y56" s="28"/>
    </row>
    <row r="57" spans="1:25" ht="15.75">
      <c r="A57" t="s">
        <v>183</v>
      </c>
      <c r="B57"/>
      <c r="C57"/>
      <c r="D57"/>
      <c r="E57"/>
      <c r="F57"/>
      <c r="G57"/>
      <c r="H57"/>
      <c r="I57"/>
      <c r="T57" s="27"/>
      <c r="U57" s="29" t="s">
        <v>19</v>
      </c>
      <c r="V57" s="20"/>
      <c r="W57" s="24"/>
      <c r="X57" s="21"/>
      <c r="Y57" s="17">
        <f>+Y19+Y27+Y55</f>
        <v>191997.76499062096</v>
      </c>
    </row>
    <row r="58" spans="1:25" ht="15.75">
      <c r="A58" t="s">
        <v>184</v>
      </c>
      <c r="B58"/>
      <c r="C58"/>
      <c r="D58"/>
      <c r="E58"/>
      <c r="F58"/>
      <c r="G58"/>
      <c r="H58"/>
      <c r="I58"/>
      <c r="T58" s="27"/>
      <c r="U58" s="29" t="s">
        <v>20</v>
      </c>
      <c r="V58" s="20" t="s">
        <v>10</v>
      </c>
      <c r="W58" s="88">
        <v>20.49</v>
      </c>
      <c r="X58" s="21"/>
      <c r="Y58" s="17">
        <f>Y57*W58/100</f>
        <v>39340.342046578226</v>
      </c>
    </row>
    <row r="59" spans="1:25" ht="16.5" thickBot="1">
      <c r="A59" t="s">
        <v>185</v>
      </c>
      <c r="B59"/>
      <c r="C59"/>
      <c r="D59"/>
      <c r="E59"/>
      <c r="F59"/>
      <c r="G59"/>
      <c r="H59"/>
      <c r="I59"/>
      <c r="T59" s="30"/>
      <c r="U59" s="31" t="s">
        <v>21</v>
      </c>
      <c r="V59" s="32"/>
      <c r="W59" s="33"/>
      <c r="X59" s="34"/>
      <c r="Y59" s="35">
        <f>Y57+Y58</f>
        <v>231338.1070371992</v>
      </c>
    </row>
    <row r="60" spans="1:25">
      <c r="A60" t="s">
        <v>186</v>
      </c>
      <c r="B60"/>
      <c r="C60"/>
      <c r="D60"/>
      <c r="E60"/>
      <c r="F60"/>
      <c r="G60"/>
      <c r="H60"/>
      <c r="I60"/>
    </row>
    <row r="61" spans="1:25">
      <c r="A61" t="s">
        <v>187</v>
      </c>
      <c r="B61"/>
      <c r="C61"/>
      <c r="D61"/>
      <c r="E61"/>
      <c r="F61"/>
      <c r="G61"/>
      <c r="H61"/>
      <c r="I61"/>
    </row>
    <row r="62" spans="1:25">
      <c r="A62"/>
      <c r="B62"/>
      <c r="C62"/>
      <c r="D62"/>
      <c r="E62"/>
      <c r="F62"/>
      <c r="G62"/>
      <c r="H62"/>
      <c r="I62"/>
    </row>
    <row r="63" spans="1:25">
      <c r="A63"/>
      <c r="B63"/>
      <c r="C63"/>
      <c r="D63"/>
      <c r="E63"/>
      <c r="F63"/>
      <c r="G63"/>
      <c r="H63"/>
      <c r="I63"/>
    </row>
    <row r="64" spans="1:25">
      <c r="A64" s="108" t="s">
        <v>198</v>
      </c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188</v>
      </c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 t="s">
        <v>189</v>
      </c>
      <c r="B68"/>
      <c r="C68" s="94"/>
      <c r="D68" s="94" t="s">
        <v>191</v>
      </c>
      <c r="E68"/>
      <c r="F68"/>
      <c r="G68"/>
      <c r="H68"/>
      <c r="I68"/>
    </row>
    <row r="69" spans="1:9">
      <c r="A69" t="s">
        <v>192</v>
      </c>
      <c r="B69"/>
      <c r="C69" s="94"/>
      <c r="D69" s="94"/>
      <c r="E69"/>
      <c r="F69"/>
      <c r="G69"/>
      <c r="H69"/>
      <c r="I69"/>
    </row>
    <row r="70" spans="1:9">
      <c r="A70" s="108" t="s">
        <v>201</v>
      </c>
      <c r="B70"/>
      <c r="C70"/>
      <c r="D70"/>
      <c r="E70"/>
      <c r="F70"/>
      <c r="G70"/>
      <c r="H70"/>
      <c r="I70"/>
    </row>
    <row r="71" spans="1:9">
      <c r="A71" t="s">
        <v>193</v>
      </c>
      <c r="B71"/>
      <c r="C71" s="104"/>
      <c r="D71">
        <v>42.5</v>
      </c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 s="104"/>
      <c r="D73"/>
      <c r="E73"/>
      <c r="F73"/>
      <c r="G73"/>
      <c r="H73"/>
      <c r="I73"/>
    </row>
    <row r="74" spans="1:9">
      <c r="A74"/>
      <c r="B74"/>
      <c r="C74" s="104"/>
      <c r="D74"/>
      <c r="E74"/>
      <c r="F74"/>
      <c r="G74"/>
      <c r="H74"/>
      <c r="I74"/>
    </row>
    <row r="75" spans="1:9">
      <c r="A75"/>
      <c r="B75"/>
      <c r="C75" s="104"/>
      <c r="D75"/>
      <c r="E75"/>
      <c r="F75"/>
      <c r="G75"/>
      <c r="H75"/>
      <c r="I75"/>
    </row>
    <row r="76" spans="1:9">
      <c r="A76"/>
      <c r="B76"/>
      <c r="C76" s="104"/>
      <c r="D76"/>
      <c r="E76"/>
      <c r="F76"/>
      <c r="G76"/>
      <c r="H76"/>
      <c r="I76"/>
    </row>
    <row r="77" spans="1:9">
      <c r="A77"/>
      <c r="B77"/>
      <c r="C77" s="104"/>
      <c r="D77"/>
      <c r="E77"/>
      <c r="F77"/>
      <c r="G77"/>
      <c r="H77"/>
      <c r="I77"/>
    </row>
    <row r="78" spans="1:9">
      <c r="A78" t="s">
        <v>194</v>
      </c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 s="108" t="s">
        <v>199</v>
      </c>
      <c r="B80"/>
      <c r="C80"/>
      <c r="D80" s="105">
        <f>D71*120</f>
        <v>5100</v>
      </c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 t="s">
        <v>195</v>
      </c>
      <c r="B82"/>
      <c r="C82" s="104"/>
      <c r="D82" s="104">
        <v>495</v>
      </c>
      <c r="E82" s="104"/>
      <c r="F82"/>
      <c r="G82"/>
      <c r="H82"/>
      <c r="I82"/>
    </row>
    <row r="83" spans="1:9">
      <c r="A83"/>
      <c r="B83"/>
      <c r="C83" s="104"/>
      <c r="D83"/>
      <c r="E83"/>
      <c r="F83"/>
      <c r="G83"/>
      <c r="H83"/>
      <c r="I83"/>
    </row>
    <row r="84" spans="1:9">
      <c r="A84" t="s">
        <v>196</v>
      </c>
      <c r="B84"/>
      <c r="C84" s="104"/>
      <c r="D84">
        <f>D82*3</f>
        <v>1485</v>
      </c>
      <c r="E84"/>
      <c r="F84"/>
      <c r="G84"/>
      <c r="H84"/>
      <c r="I84"/>
    </row>
    <row r="85" spans="1:9">
      <c r="A85"/>
      <c r="B85"/>
      <c r="C85" s="104"/>
      <c r="D85"/>
      <c r="E85"/>
      <c r="F85"/>
      <c r="G85"/>
      <c r="H85"/>
      <c r="I85"/>
    </row>
    <row r="86" spans="1:9">
      <c r="A86"/>
      <c r="B86"/>
      <c r="C86" s="104"/>
      <c r="D86" s="110">
        <f>D80+D84</f>
        <v>6585</v>
      </c>
      <c r="E86"/>
      <c r="F86"/>
      <c r="G86"/>
      <c r="H86"/>
      <c r="I86"/>
    </row>
    <row r="87" spans="1:9">
      <c r="A87"/>
      <c r="B87"/>
      <c r="C87" s="106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 s="107"/>
      <c r="E92"/>
      <c r="F92"/>
      <c r="G92"/>
      <c r="H92"/>
      <c r="I92"/>
    </row>
  </sheetData>
  <mergeCells count="21">
    <mergeCell ref="A34:I34"/>
    <mergeCell ref="A40:E40"/>
    <mergeCell ref="A44:I44"/>
    <mergeCell ref="A16:B16"/>
    <mergeCell ref="B30:C30"/>
    <mergeCell ref="C31:D31"/>
    <mergeCell ref="C32:D32"/>
    <mergeCell ref="I32:K32"/>
    <mergeCell ref="A33:I33"/>
    <mergeCell ref="I12:Q12"/>
    <mergeCell ref="T2:Y2"/>
    <mergeCell ref="T3:Y3"/>
    <mergeCell ref="T4:W4"/>
    <mergeCell ref="X4:Y4"/>
    <mergeCell ref="T5:W5"/>
    <mergeCell ref="X5:Y5"/>
    <mergeCell ref="I7:Q7"/>
    <mergeCell ref="I8:Q8"/>
    <mergeCell ref="I9:Q9"/>
    <mergeCell ref="I10:Q10"/>
    <mergeCell ref="I11:Q11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4" max="30" man="1"/>
    <brk id="10" max="1048575" man="1"/>
  </col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2"/>
  <sheetViews>
    <sheetView topLeftCell="A22" workbookViewId="0">
      <selection activeCell="K40" sqref="K40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140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2451.42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>
      <c r="A3" s="89" t="s">
        <v>212</v>
      </c>
      <c r="B3" s="103">
        <v>512.72</v>
      </c>
      <c r="C3" s="36">
        <v>0</v>
      </c>
      <c r="T3" s="172" t="s">
        <v>84</v>
      </c>
      <c r="U3" s="173"/>
      <c r="V3" s="173"/>
      <c r="W3" s="173"/>
      <c r="X3" s="173"/>
      <c r="Y3" s="174"/>
    </row>
    <row r="4" spans="1:25" ht="15.75">
      <c r="A4" s="89" t="s">
        <v>147</v>
      </c>
      <c r="B4" s="103">
        <v>63</v>
      </c>
      <c r="C4" s="36">
        <v>63</v>
      </c>
      <c r="T4" s="175" t="s">
        <v>111</v>
      </c>
      <c r="U4" s="176"/>
      <c r="V4" s="176"/>
      <c r="W4" s="176"/>
      <c r="X4" s="177" t="s">
        <v>112</v>
      </c>
      <c r="Y4" s="178"/>
    </row>
    <row r="5" spans="1:25" ht="15.75">
      <c r="A5" s="89"/>
      <c r="B5" s="103">
        <f>SUM(B2:B4)</f>
        <v>3027.1400000000003</v>
      </c>
      <c r="C5" s="103">
        <f>SUM(C2:C4)</f>
        <v>1554.42</v>
      </c>
      <c r="D5" s="141" t="s">
        <v>23</v>
      </c>
      <c r="E5" s="141" t="s">
        <v>24</v>
      </c>
      <c r="H5" s="141" t="s">
        <v>24</v>
      </c>
      <c r="T5" s="179" t="s">
        <v>35</v>
      </c>
      <c r="U5" s="180"/>
      <c r="V5" s="180"/>
      <c r="W5" s="181"/>
      <c r="X5" s="182" t="s">
        <v>216</v>
      </c>
      <c r="Y5" s="183"/>
    </row>
    <row r="6" spans="1:25" ht="25.5">
      <c r="A6" s="141" t="s">
        <v>25</v>
      </c>
      <c r="B6" s="141" t="s">
        <v>26</v>
      </c>
      <c r="C6" s="143" t="s">
        <v>214</v>
      </c>
      <c r="D6" s="61" t="s">
        <v>43</v>
      </c>
      <c r="E6" s="61" t="s">
        <v>215</v>
      </c>
      <c r="G6" s="141"/>
      <c r="H6" s="78" t="s">
        <v>215</v>
      </c>
      <c r="I6" s="141" t="str">
        <f>[1]Coefic.CEF!G2</f>
        <v>Observações:</v>
      </c>
      <c r="T6" s="1" t="s">
        <v>22</v>
      </c>
      <c r="U6" s="2" t="s">
        <v>11</v>
      </c>
      <c r="V6" s="3" t="s">
        <v>12</v>
      </c>
      <c r="W6" s="4" t="s">
        <v>13</v>
      </c>
      <c r="X6" s="63" t="s">
        <v>50</v>
      </c>
      <c r="Y6" s="5" t="s">
        <v>0</v>
      </c>
    </row>
    <row r="7" spans="1:25" ht="12.75" customHeight="1">
      <c r="A7" s="89" t="s">
        <v>117</v>
      </c>
      <c r="B7" s="90">
        <v>0.02</v>
      </c>
      <c r="C7" s="40">
        <f>$C$17*1.7</f>
        <v>1977.4570000000001</v>
      </c>
      <c r="D7" s="40">
        <f t="shared" ref="D7:D12" si="0">B7*C7</f>
        <v>39.549140000000001</v>
      </c>
      <c r="E7" s="41">
        <f t="shared" ref="E7:E12" si="1">B7*C7*$C$16</f>
        <v>119720.78365960001</v>
      </c>
      <c r="H7" s="41">
        <f t="shared" ref="H7:H12" si="2">B7*C7*$H$16</f>
        <v>78646.233329800016</v>
      </c>
      <c r="I7" s="192" t="s">
        <v>39</v>
      </c>
      <c r="J7" s="193"/>
      <c r="K7" s="193"/>
      <c r="L7" s="193"/>
      <c r="M7" s="193"/>
      <c r="N7" s="193"/>
      <c r="O7" s="193"/>
      <c r="P7" s="193"/>
      <c r="Q7" s="193"/>
      <c r="R7" s="39">
        <v>0.02</v>
      </c>
      <c r="T7" s="1" t="s">
        <v>51</v>
      </c>
      <c r="U7" s="7" t="s">
        <v>52</v>
      </c>
      <c r="V7" s="3"/>
      <c r="W7" s="4"/>
      <c r="X7" s="63"/>
      <c r="Y7" s="5"/>
    </row>
    <row r="8" spans="1:25" ht="15">
      <c r="A8" s="89" t="s">
        <v>118</v>
      </c>
      <c r="B8" s="90">
        <f>R8</f>
        <v>5.9999999999999993E-3</v>
      </c>
      <c r="C8" s="40">
        <f t="shared" ref="C8:C12" si="3">$C$17*1.7</f>
        <v>1977.4570000000001</v>
      </c>
      <c r="D8" s="40">
        <f t="shared" si="0"/>
        <v>11.864742</v>
      </c>
      <c r="E8" s="41">
        <f t="shared" si="1"/>
        <v>35916.235097880002</v>
      </c>
      <c r="H8" s="41">
        <f t="shared" si="2"/>
        <v>23593.869998940001</v>
      </c>
      <c r="I8" s="192" t="s">
        <v>38</v>
      </c>
      <c r="J8" s="193"/>
      <c r="K8" s="193"/>
      <c r="L8" s="193"/>
      <c r="M8" s="193"/>
      <c r="N8" s="193"/>
      <c r="O8" s="193"/>
      <c r="P8" s="193"/>
      <c r="Q8" s="193"/>
      <c r="R8" s="39">
        <f>0.0012+0.0048</f>
        <v>5.9999999999999993E-3</v>
      </c>
      <c r="T8" s="11" t="s">
        <v>1</v>
      </c>
      <c r="U8" s="132" t="s">
        <v>113</v>
      </c>
      <c r="V8" s="8" t="s">
        <v>14</v>
      </c>
      <c r="W8" s="9">
        <v>0</v>
      </c>
      <c r="X8" s="12">
        <f>0.25*I20+K40</f>
        <v>33155.768332450003</v>
      </c>
      <c r="Y8" s="13">
        <f>W8*X8</f>
        <v>0</v>
      </c>
    </row>
    <row r="9" spans="1:25" ht="15">
      <c r="A9" s="36" t="s">
        <v>28</v>
      </c>
      <c r="B9" s="90">
        <v>1.0800000000000001E-2</v>
      </c>
      <c r="C9" s="40">
        <f t="shared" si="3"/>
        <v>1977.4570000000001</v>
      </c>
      <c r="D9" s="40">
        <f t="shared" si="0"/>
        <v>21.356535600000001</v>
      </c>
      <c r="E9" s="41">
        <f t="shared" si="1"/>
        <v>64649.223176184008</v>
      </c>
      <c r="H9" s="41">
        <f t="shared" si="2"/>
        <v>42468.965998092004</v>
      </c>
      <c r="I9" s="192" t="s">
        <v>40</v>
      </c>
      <c r="J9" s="193"/>
      <c r="K9" s="193"/>
      <c r="L9" s="193"/>
      <c r="M9" s="193"/>
      <c r="N9" s="193"/>
      <c r="O9" s="193"/>
      <c r="P9" s="193"/>
      <c r="Q9" s="193"/>
      <c r="R9" s="39">
        <f>0.0037+0.0009+0.0004+0.001+0.001+0.0024+0.0004+0.0005+0.0005</f>
        <v>1.0800000000000001E-2</v>
      </c>
      <c r="T9" s="11" t="s">
        <v>2</v>
      </c>
      <c r="U9" s="132" t="s">
        <v>53</v>
      </c>
      <c r="V9" s="8" t="s">
        <v>14</v>
      </c>
      <c r="W9" s="9">
        <v>1</v>
      </c>
      <c r="X9" s="12">
        <f>(0.25*I20)/2</f>
        <v>9830.779166225002</v>
      </c>
      <c r="Y9" s="13">
        <f t="shared" ref="Y9:Y17" si="4">W9*X9</f>
        <v>9830.779166225002</v>
      </c>
    </row>
    <row r="10" spans="1:25" ht="15">
      <c r="A10" s="36" t="s">
        <v>29</v>
      </c>
      <c r="B10" s="90">
        <f>R10</f>
        <v>6.4999999999999997E-3</v>
      </c>
      <c r="C10" s="40">
        <f t="shared" si="3"/>
        <v>1977.4570000000001</v>
      </c>
      <c r="D10" s="40">
        <f t="shared" si="0"/>
        <v>12.8534705</v>
      </c>
      <c r="E10" s="41">
        <f t="shared" si="1"/>
        <v>38909.254689370006</v>
      </c>
      <c r="H10" s="41">
        <f t="shared" si="2"/>
        <v>25560.025832185001</v>
      </c>
      <c r="I10" s="192" t="s">
        <v>119</v>
      </c>
      <c r="J10" s="192"/>
      <c r="K10" s="192"/>
      <c r="L10" s="192"/>
      <c r="M10" s="192"/>
      <c r="N10" s="192"/>
      <c r="O10" s="192"/>
      <c r="P10" s="192"/>
      <c r="Q10" s="192"/>
      <c r="R10" s="39">
        <v>6.4999999999999997E-3</v>
      </c>
      <c r="T10" s="11" t="s">
        <v>3</v>
      </c>
      <c r="U10" s="132" t="s">
        <v>54</v>
      </c>
      <c r="V10" s="8" t="s">
        <v>14</v>
      </c>
      <c r="W10" s="9">
        <v>1</v>
      </c>
      <c r="X10" s="12">
        <f>0.08*I20</f>
        <v>6291.6986663840016</v>
      </c>
      <c r="Y10" s="13">
        <f t="shared" si="4"/>
        <v>6291.6986663840016</v>
      </c>
    </row>
    <row r="11" spans="1:25" ht="15">
      <c r="A11" s="36" t="s">
        <v>30</v>
      </c>
      <c r="B11" s="90">
        <v>4.7000000000000002E-3</v>
      </c>
      <c r="C11" s="40">
        <f t="shared" si="3"/>
        <v>1977.4570000000001</v>
      </c>
      <c r="D11" s="40">
        <f t="shared" si="0"/>
        <v>9.2940479000000007</v>
      </c>
      <c r="E11" s="41">
        <f t="shared" si="1"/>
        <v>28134.384160006004</v>
      </c>
      <c r="H11" s="41">
        <f>B11*C11*$H$17</f>
        <v>21728.669831603962</v>
      </c>
      <c r="I11" s="192" t="s">
        <v>41</v>
      </c>
      <c r="J11" s="192"/>
      <c r="K11" s="192"/>
      <c r="L11" s="192"/>
      <c r="M11" s="192"/>
      <c r="N11" s="192"/>
      <c r="O11" s="192"/>
      <c r="P11" s="192"/>
      <c r="Q11" s="192"/>
      <c r="R11" s="39">
        <f>0.001+0.001+0.002+0.0007</f>
        <v>4.7000000000000002E-3</v>
      </c>
      <c r="T11" s="11" t="s">
        <v>4</v>
      </c>
      <c r="U11" s="132" t="s">
        <v>55</v>
      </c>
      <c r="V11" s="8" t="s">
        <v>14</v>
      </c>
      <c r="W11" s="9">
        <v>1</v>
      </c>
      <c r="X11" s="12">
        <f>(0.075*I21)+(0.075*I21)</f>
        <v>3539.0804998409999</v>
      </c>
      <c r="Y11" s="13">
        <f t="shared" si="4"/>
        <v>3539.0804998409999</v>
      </c>
    </row>
    <row r="12" spans="1:25" ht="15">
      <c r="A12" s="36" t="s">
        <v>31</v>
      </c>
      <c r="B12" s="90">
        <v>4.0000000000000001E-3</v>
      </c>
      <c r="C12" s="40">
        <f t="shared" si="3"/>
        <v>1977.4570000000001</v>
      </c>
      <c r="D12" s="40">
        <f t="shared" si="0"/>
        <v>7.909828000000001</v>
      </c>
      <c r="E12" s="41">
        <f t="shared" si="1"/>
        <v>23944.156731920004</v>
      </c>
      <c r="H12" s="41">
        <f t="shared" si="2"/>
        <v>15729.246665960003</v>
      </c>
      <c r="I12" s="192" t="s">
        <v>42</v>
      </c>
      <c r="J12" s="192"/>
      <c r="K12" s="192"/>
      <c r="L12" s="192"/>
      <c r="M12" s="192"/>
      <c r="N12" s="192"/>
      <c r="O12" s="192"/>
      <c r="P12" s="192"/>
      <c r="Q12" s="192"/>
      <c r="R12" s="39">
        <v>4.0000000000000001E-3</v>
      </c>
      <c r="T12" s="11" t="s">
        <v>15</v>
      </c>
      <c r="U12" s="132" t="s">
        <v>56</v>
      </c>
      <c r="V12" s="8" t="s">
        <v>14</v>
      </c>
      <c r="W12" s="9">
        <v>1</v>
      </c>
      <c r="X12" s="12">
        <f>0.15*I24</f>
        <v>3259.3004747405944</v>
      </c>
      <c r="Y12" s="13">
        <f t="shared" si="4"/>
        <v>3259.3004747405944</v>
      </c>
    </row>
    <row r="13" spans="1:25" ht="30">
      <c r="D13" s="42">
        <f>SUM(D7:D12)</f>
        <v>102.827764</v>
      </c>
      <c r="E13" s="42">
        <f>SUM(E7:E12)</f>
        <v>311274.03751496004</v>
      </c>
      <c r="H13" s="42">
        <f>SUM(H7:H12)</f>
        <v>207727.01165658099</v>
      </c>
      <c r="I13" s="139"/>
      <c r="T13" s="11" t="s">
        <v>16</v>
      </c>
      <c r="U13" s="132" t="s">
        <v>114</v>
      </c>
      <c r="V13" s="8" t="s">
        <v>14</v>
      </c>
      <c r="W13" s="9">
        <v>1</v>
      </c>
      <c r="X13" s="12">
        <f>0.2*I22</f>
        <v>8493.7931996184016</v>
      </c>
      <c r="Y13" s="13">
        <f t="shared" si="4"/>
        <v>8493.7931996184016</v>
      </c>
    </row>
    <row r="14" spans="1:25" ht="30">
      <c r="E14" s="41">
        <f>E13/C16</f>
        <v>102.827764</v>
      </c>
      <c r="H14" s="41">
        <f>H13/C16</f>
        <v>68.62154101117919</v>
      </c>
      <c r="T14" s="11" t="s">
        <v>36</v>
      </c>
      <c r="U14" s="132" t="s">
        <v>132</v>
      </c>
      <c r="V14" s="8" t="s">
        <v>14</v>
      </c>
      <c r="W14" s="9">
        <v>1</v>
      </c>
      <c r="X14" s="12">
        <f>0.05*I22</f>
        <v>2123.4482999046004</v>
      </c>
      <c r="Y14" s="13">
        <f t="shared" si="4"/>
        <v>2123.4482999046004</v>
      </c>
    </row>
    <row r="15" spans="1:25" ht="30">
      <c r="E15" s="43">
        <f>D13/1200</f>
        <v>8.5689803333333328E-2</v>
      </c>
      <c r="H15" s="43">
        <f>H14/1200</f>
        <v>5.7184617509315992E-2</v>
      </c>
      <c r="I15" s="43">
        <f>H14/1840</f>
        <v>3.729431576694521E-2</v>
      </c>
      <c r="T15" s="11" t="s">
        <v>85</v>
      </c>
      <c r="U15" s="133" t="s">
        <v>108</v>
      </c>
      <c r="V15" s="15" t="s">
        <v>14</v>
      </c>
      <c r="W15" s="9">
        <v>1</v>
      </c>
      <c r="X15" s="12">
        <f>0.4*I23</f>
        <v>10224.010332874001</v>
      </c>
      <c r="Y15" s="13">
        <f t="shared" si="4"/>
        <v>10224.010332874001</v>
      </c>
    </row>
    <row r="16" spans="1:25" ht="30">
      <c r="A16" s="206" t="s">
        <v>44</v>
      </c>
      <c r="B16" s="206"/>
      <c r="C16" s="62">
        <f>B5</f>
        <v>3027.1400000000003</v>
      </c>
      <c r="G16" s="142" t="s">
        <v>45</v>
      </c>
      <c r="H16" s="45">
        <f>(300+(500*0.83)+(1000*0.66)+(C16-1800)*0.5)</f>
        <v>1988.5700000000002</v>
      </c>
      <c r="I16" s="40">
        <f>H16/C16</f>
        <v>0.65691378661046396</v>
      </c>
      <c r="T16" s="11" t="s">
        <v>86</v>
      </c>
      <c r="U16" s="132" t="s">
        <v>57</v>
      </c>
      <c r="V16" s="8" t="s">
        <v>14</v>
      </c>
      <c r="W16" s="9">
        <v>1</v>
      </c>
      <c r="X16" s="12">
        <f>0.15*I24</f>
        <v>3259.3004747405944</v>
      </c>
      <c r="Y16" s="13">
        <f t="shared" si="4"/>
        <v>3259.3004747405944</v>
      </c>
    </row>
    <row r="17" spans="1:25" ht="15">
      <c r="A17" s="142" t="s">
        <v>149</v>
      </c>
      <c r="B17" s="46">
        <v>41487</v>
      </c>
      <c r="C17" s="59">
        <v>1163.21</v>
      </c>
      <c r="G17" s="142" t="s">
        <v>48</v>
      </c>
      <c r="H17" s="45">
        <f>(500+(1000*0.83)+(C16-1500)*0.66)</f>
        <v>2337.9124000000002</v>
      </c>
      <c r="I17" s="40">
        <f>H17/C16</f>
        <v>0.7723172367317005</v>
      </c>
      <c r="T17" s="11" t="s">
        <v>58</v>
      </c>
      <c r="U17" s="132" t="s">
        <v>59</v>
      </c>
      <c r="V17" s="8" t="s">
        <v>14</v>
      </c>
      <c r="W17" s="9">
        <v>1</v>
      </c>
      <c r="X17" s="12">
        <f>0.05*I22</f>
        <v>2123.4482999046004</v>
      </c>
      <c r="Y17" s="13">
        <f t="shared" si="4"/>
        <v>2123.4482999046004</v>
      </c>
    </row>
    <row r="18" spans="1:25" ht="15">
      <c r="A18" s="78" t="s">
        <v>213</v>
      </c>
      <c r="T18" s="11"/>
      <c r="U18" s="14"/>
      <c r="V18" s="8"/>
      <c r="W18" s="9"/>
      <c r="X18" s="12"/>
      <c r="Y18" s="13"/>
    </row>
    <row r="19" spans="1:25" ht="16.5" thickBot="1">
      <c r="A19" s="78"/>
      <c r="T19" s="11"/>
      <c r="U19" s="64" t="s">
        <v>17</v>
      </c>
      <c r="V19" s="8"/>
      <c r="W19" s="9"/>
      <c r="X19" s="16"/>
      <c r="Y19" s="17">
        <f>SUM(Y8:Y18)</f>
        <v>49144.859414232793</v>
      </c>
    </row>
    <row r="20" spans="1:25" ht="15">
      <c r="H20" s="60" t="s">
        <v>27</v>
      </c>
      <c r="I20" s="47">
        <f t="shared" ref="I20:I25" si="5">H7</f>
        <v>78646.233329800016</v>
      </c>
      <c r="T20" s="18"/>
      <c r="U20" s="19"/>
      <c r="V20" s="20"/>
      <c r="W20" s="21"/>
      <c r="X20" s="22"/>
      <c r="Y20" s="23"/>
    </row>
    <row r="21" spans="1:25" ht="15">
      <c r="C21" s="36">
        <f>23000*0.0005</f>
        <v>11.5</v>
      </c>
      <c r="H21" s="48" t="s">
        <v>32</v>
      </c>
      <c r="I21" s="49">
        <f t="shared" si="5"/>
        <v>23593.869998940001</v>
      </c>
      <c r="T21" s="18"/>
      <c r="U21" s="19"/>
      <c r="V21" s="20"/>
      <c r="W21" s="24"/>
      <c r="X21" s="22"/>
      <c r="Y21" s="25"/>
    </row>
    <row r="22" spans="1:25" ht="15.75">
      <c r="A22" s="79"/>
      <c r="B22" s="79"/>
      <c r="C22" s="79"/>
      <c r="D22" s="79"/>
      <c r="E22" s="79"/>
      <c r="F22" s="79"/>
      <c r="H22" s="48" t="s">
        <v>33</v>
      </c>
      <c r="I22" s="49">
        <f t="shared" si="5"/>
        <v>42468.965998092004</v>
      </c>
      <c r="L22" s="89"/>
      <c r="T22" s="87" t="s">
        <v>60</v>
      </c>
      <c r="U22" s="65" t="s">
        <v>61</v>
      </c>
      <c r="V22" s="20"/>
      <c r="W22" s="24"/>
      <c r="X22" s="22"/>
      <c r="Y22" s="25"/>
    </row>
    <row r="23" spans="1:25" ht="15">
      <c r="A23" s="80"/>
      <c r="B23" s="81"/>
      <c r="C23" s="81"/>
      <c r="D23" s="80"/>
      <c r="E23" s="81"/>
      <c r="F23" s="79"/>
      <c r="H23" s="50" t="s">
        <v>29</v>
      </c>
      <c r="I23" s="51">
        <f t="shared" si="5"/>
        <v>25560.025832185001</v>
      </c>
      <c r="J23" s="52"/>
      <c r="T23" s="11" t="s">
        <v>5</v>
      </c>
      <c r="U23" s="132" t="s">
        <v>62</v>
      </c>
      <c r="V23" s="8" t="s">
        <v>14</v>
      </c>
      <c r="W23" s="9">
        <v>1</v>
      </c>
      <c r="X23" s="12">
        <f>0.1*I20+0.05*I20</f>
        <v>11796.934999470002</v>
      </c>
      <c r="Y23" s="13">
        <f>W23*X23</f>
        <v>11796.934999470002</v>
      </c>
    </row>
    <row r="24" spans="1:25" ht="15">
      <c r="A24" s="79"/>
      <c r="B24" s="82"/>
      <c r="C24" s="83"/>
      <c r="D24" s="83"/>
      <c r="E24" s="84"/>
      <c r="F24" s="79"/>
      <c r="H24" s="48" t="s">
        <v>30</v>
      </c>
      <c r="I24" s="49">
        <f t="shared" si="5"/>
        <v>21728.669831603962</v>
      </c>
      <c r="J24" s="41"/>
      <c r="T24" s="11" t="s">
        <v>6</v>
      </c>
      <c r="U24" s="132" t="s">
        <v>63</v>
      </c>
      <c r="V24" s="8" t="s">
        <v>14</v>
      </c>
      <c r="W24" s="9">
        <v>1</v>
      </c>
      <c r="X24" s="12">
        <f>0.15*I22</f>
        <v>6370.3448997138003</v>
      </c>
      <c r="Y24" s="13">
        <f t="shared" ref="Y24:Y25" si="6">W24*X24</f>
        <v>6370.3448997138003</v>
      </c>
    </row>
    <row r="25" spans="1:25" ht="15">
      <c r="A25" s="79"/>
      <c r="B25" s="82"/>
      <c r="C25" s="83"/>
      <c r="D25" s="83"/>
      <c r="E25" s="84"/>
      <c r="F25" s="79"/>
      <c r="H25" s="53" t="s">
        <v>34</v>
      </c>
      <c r="I25" s="49">
        <f t="shared" si="5"/>
        <v>15729.246665960003</v>
      </c>
      <c r="J25" s="41"/>
      <c r="T25" s="11" t="s">
        <v>7</v>
      </c>
      <c r="U25" s="132" t="s">
        <v>64</v>
      </c>
      <c r="V25" s="8" t="s">
        <v>14</v>
      </c>
      <c r="W25" s="9">
        <v>1</v>
      </c>
      <c r="X25" s="12">
        <f>0.15*I24</f>
        <v>3259.3004747405944</v>
      </c>
      <c r="Y25" s="13">
        <f t="shared" si="6"/>
        <v>3259.3004747405944</v>
      </c>
    </row>
    <row r="26" spans="1:25" ht="15">
      <c r="A26" s="79"/>
      <c r="B26" s="82"/>
      <c r="C26" s="83"/>
      <c r="D26" s="83"/>
      <c r="E26" s="84"/>
      <c r="F26" s="79"/>
      <c r="H26" s="54"/>
      <c r="I26" s="55"/>
      <c r="J26" s="41"/>
      <c r="T26" s="11"/>
      <c r="U26" s="14"/>
      <c r="V26" s="8"/>
      <c r="W26" s="9"/>
      <c r="X26" s="12"/>
      <c r="Y26" s="13"/>
    </row>
    <row r="27" spans="1:25" ht="16.5" thickBot="1">
      <c r="A27" s="79"/>
      <c r="B27" s="82"/>
      <c r="C27" s="83"/>
      <c r="D27" s="83"/>
      <c r="E27" s="84"/>
      <c r="F27" s="79"/>
      <c r="H27" s="56"/>
      <c r="I27" s="57">
        <f>SUM(I20:I25)</f>
        <v>207727.01165658099</v>
      </c>
      <c r="J27" s="41"/>
      <c r="T27" s="11"/>
      <c r="U27" s="64" t="s">
        <v>17</v>
      </c>
      <c r="V27" s="8"/>
      <c r="W27" s="9"/>
      <c r="X27" s="16"/>
      <c r="Y27" s="17">
        <f>SUM(Y23:Y26)</f>
        <v>21426.580373924397</v>
      </c>
    </row>
    <row r="28" spans="1:25" ht="15.75">
      <c r="A28" s="79"/>
      <c r="B28" s="82"/>
      <c r="C28" s="83"/>
      <c r="D28" s="83"/>
      <c r="E28" s="84"/>
      <c r="F28" s="79"/>
      <c r="I28" s="41"/>
      <c r="J28" s="41"/>
      <c r="T28" s="11"/>
      <c r="U28" s="14"/>
      <c r="V28" s="8"/>
      <c r="W28" s="9"/>
      <c r="X28" s="26"/>
      <c r="Y28" s="10"/>
    </row>
    <row r="29" spans="1:25" ht="15.75">
      <c r="A29" s="79"/>
      <c r="B29" s="82"/>
      <c r="C29" s="83"/>
      <c r="D29" s="83"/>
      <c r="E29" s="84"/>
      <c r="F29" s="79"/>
      <c r="H29" s="142" t="s">
        <v>49</v>
      </c>
      <c r="I29" s="42">
        <f>I27/C16</f>
        <v>68.62154101117919</v>
      </c>
      <c r="J29" s="41"/>
      <c r="T29" s="6">
        <v>3</v>
      </c>
      <c r="U29" s="65" t="s">
        <v>65</v>
      </c>
      <c r="V29" s="8"/>
      <c r="W29" s="9"/>
      <c r="X29" s="22"/>
      <c r="Y29" s="23"/>
    </row>
    <row r="30" spans="1:25" ht="15">
      <c r="A30" s="79"/>
      <c r="B30" s="188"/>
      <c r="C30" s="188"/>
      <c r="D30" s="85"/>
      <c r="E30" s="86"/>
      <c r="F30" s="79"/>
      <c r="T30" s="11" t="s">
        <v>8</v>
      </c>
      <c r="U30" s="132" t="s">
        <v>115</v>
      </c>
      <c r="V30" s="8" t="s">
        <v>14</v>
      </c>
      <c r="W30" s="9">
        <v>1</v>
      </c>
      <c r="X30" s="12">
        <f>0.255*I20</f>
        <v>20054.789499099003</v>
      </c>
      <c r="Y30" s="13">
        <f>W30*X30</f>
        <v>20054.789499099003</v>
      </c>
    </row>
    <row r="31" spans="1:25" ht="15">
      <c r="C31" s="188"/>
      <c r="D31" s="188"/>
      <c r="E31" s="41"/>
      <c r="T31" s="11" t="s">
        <v>9</v>
      </c>
      <c r="U31" s="132" t="s">
        <v>66</v>
      </c>
      <c r="V31" s="8" t="s">
        <v>14</v>
      </c>
      <c r="W31" s="9">
        <v>1</v>
      </c>
      <c r="X31" s="12">
        <f>0.04*I$20</f>
        <v>3145.8493331920008</v>
      </c>
      <c r="Y31" s="13">
        <f t="shared" ref="Y31:Y53" si="7">W31*X31</f>
        <v>3145.8493331920008</v>
      </c>
    </row>
    <row r="32" spans="1:25" ht="15">
      <c r="C32" s="188"/>
      <c r="D32" s="188"/>
      <c r="E32" s="43"/>
      <c r="I32" s="189"/>
      <c r="J32" s="189"/>
      <c r="K32" s="189"/>
      <c r="T32" s="11" t="s">
        <v>18</v>
      </c>
      <c r="U32" s="132" t="s">
        <v>67</v>
      </c>
      <c r="V32" s="8" t="s">
        <v>14</v>
      </c>
      <c r="W32" s="9">
        <v>1</v>
      </c>
      <c r="X32" s="12">
        <f t="shared" ref="X32" si="8">0.04*I$20</f>
        <v>3145.8493331920008</v>
      </c>
      <c r="Y32" s="13">
        <f t="shared" si="7"/>
        <v>3145.8493331920008</v>
      </c>
    </row>
    <row r="33" spans="1:25" ht="15">
      <c r="A33" s="190" t="s">
        <v>46</v>
      </c>
      <c r="B33" s="190"/>
      <c r="C33" s="190"/>
      <c r="D33" s="190"/>
      <c r="E33" s="190"/>
      <c r="F33" s="190"/>
      <c r="G33" s="190"/>
      <c r="H33" s="190"/>
      <c r="I33" s="190"/>
      <c r="T33" s="11" t="s">
        <v>37</v>
      </c>
      <c r="U33" s="132" t="s">
        <v>68</v>
      </c>
      <c r="V33" s="8" t="s">
        <v>14</v>
      </c>
      <c r="W33" s="9">
        <v>1</v>
      </c>
      <c r="X33" s="12">
        <f>0.06*I$20</f>
        <v>4718.7739997880008</v>
      </c>
      <c r="Y33" s="13">
        <f t="shared" si="7"/>
        <v>4718.7739997880008</v>
      </c>
    </row>
    <row r="34" spans="1:25" ht="15">
      <c r="A34" s="191" t="s">
        <v>150</v>
      </c>
      <c r="B34" s="191"/>
      <c r="C34" s="191"/>
      <c r="D34" s="191"/>
      <c r="E34" s="191"/>
      <c r="F34" s="191"/>
      <c r="G34" s="191"/>
      <c r="H34" s="191"/>
      <c r="I34" s="191"/>
      <c r="T34" s="11" t="s">
        <v>87</v>
      </c>
      <c r="U34" s="132" t="s">
        <v>69</v>
      </c>
      <c r="V34" s="8" t="s">
        <v>14</v>
      </c>
      <c r="W34" s="9">
        <v>1</v>
      </c>
      <c r="X34" s="12">
        <f>0.075*I$20</f>
        <v>5898.4674997350012</v>
      </c>
      <c r="Y34" s="13">
        <f t="shared" si="7"/>
        <v>5898.4674997350012</v>
      </c>
    </row>
    <row r="35" spans="1:25" ht="15">
      <c r="T35" s="11" t="s">
        <v>88</v>
      </c>
      <c r="U35" s="132" t="s">
        <v>131</v>
      </c>
      <c r="V35" s="8" t="s">
        <v>14</v>
      </c>
      <c r="W35" s="9">
        <v>1</v>
      </c>
      <c r="X35" s="12">
        <f>0.05*I$20</f>
        <v>3932.3116664900008</v>
      </c>
      <c r="Y35" s="13">
        <f t="shared" si="7"/>
        <v>3932.3116664900008</v>
      </c>
    </row>
    <row r="36" spans="1:25" ht="15">
      <c r="T36" s="11" t="s">
        <v>89</v>
      </c>
      <c r="U36" s="132" t="s">
        <v>70</v>
      </c>
      <c r="V36" s="8" t="s">
        <v>14</v>
      </c>
      <c r="W36" s="9">
        <v>1</v>
      </c>
      <c r="X36" s="12">
        <f>0.3*I21</f>
        <v>7078.1609996819998</v>
      </c>
      <c r="Y36" s="13">
        <f t="shared" si="7"/>
        <v>7078.1609996819998</v>
      </c>
    </row>
    <row r="37" spans="1:25" ht="15">
      <c r="A37" s="89" t="s">
        <v>106</v>
      </c>
      <c r="T37" s="11" t="s">
        <v>90</v>
      </c>
      <c r="U37" s="132" t="s">
        <v>71</v>
      </c>
      <c r="V37" s="8" t="s">
        <v>14</v>
      </c>
      <c r="W37" s="9">
        <v>1</v>
      </c>
      <c r="X37" s="12">
        <f>0.3*I21</f>
        <v>7078.1609996819998</v>
      </c>
      <c r="Y37" s="13">
        <f t="shared" si="7"/>
        <v>7078.1609996819998</v>
      </c>
    </row>
    <row r="38" spans="1:25" ht="15">
      <c r="T38" s="11" t="s">
        <v>91</v>
      </c>
      <c r="U38" s="132" t="s">
        <v>72</v>
      </c>
      <c r="V38" s="8" t="s">
        <v>14</v>
      </c>
      <c r="W38" s="9">
        <v>1</v>
      </c>
      <c r="X38" s="12">
        <f>0.15*I$24</f>
        <v>3259.3004747405944</v>
      </c>
      <c r="Y38" s="13">
        <f t="shared" si="7"/>
        <v>3259.3004747405944</v>
      </c>
    </row>
    <row r="39" spans="1:25" ht="15">
      <c r="A39" s="89" t="s">
        <v>211</v>
      </c>
      <c r="G39" s="91" t="s">
        <v>121</v>
      </c>
      <c r="H39" s="91" t="s">
        <v>120</v>
      </c>
      <c r="T39" s="11" t="s">
        <v>92</v>
      </c>
      <c r="U39" s="132" t="s">
        <v>73</v>
      </c>
      <c r="V39" s="8" t="s">
        <v>14</v>
      </c>
      <c r="W39" s="9">
        <v>1</v>
      </c>
      <c r="X39" s="12">
        <f t="shared" ref="X39" si="9">0.15*I$24</f>
        <v>3259.3004747405944</v>
      </c>
      <c r="Y39" s="13">
        <f t="shared" si="7"/>
        <v>3259.3004747405944</v>
      </c>
    </row>
    <row r="40" spans="1:25" ht="26.25" customHeight="1">
      <c r="A40" s="205" t="s">
        <v>107</v>
      </c>
      <c r="B40" s="205"/>
      <c r="C40" s="205"/>
      <c r="D40" s="205"/>
      <c r="E40" s="205"/>
      <c r="G40" s="91">
        <v>0.33</v>
      </c>
      <c r="H40" s="92">
        <v>20937</v>
      </c>
      <c r="I40" s="40">
        <f>G40*H40</f>
        <v>6909.21</v>
      </c>
      <c r="J40" s="112">
        <f>D86</f>
        <v>6585</v>
      </c>
      <c r="K40" s="111">
        <f>J40+I40</f>
        <v>13494.21</v>
      </c>
      <c r="T40" s="11" t="s">
        <v>93</v>
      </c>
      <c r="U40" s="132" t="s">
        <v>74</v>
      </c>
      <c r="V40" s="8" t="s">
        <v>14</v>
      </c>
      <c r="W40" s="9">
        <v>1</v>
      </c>
      <c r="X40" s="12">
        <f>0.1*I$24</f>
        <v>2172.8669831603961</v>
      </c>
      <c r="Y40" s="13">
        <f t="shared" si="7"/>
        <v>2172.8669831603961</v>
      </c>
    </row>
    <row r="41" spans="1:25" ht="15">
      <c r="T41" s="11" t="s">
        <v>94</v>
      </c>
      <c r="U41" s="132" t="s">
        <v>75</v>
      </c>
      <c r="V41" s="8" t="s">
        <v>14</v>
      </c>
      <c r="W41" s="9">
        <v>1</v>
      </c>
      <c r="X41" s="12">
        <f>0.05*I$24</f>
        <v>1086.4334915801981</v>
      </c>
      <c r="Y41" s="13">
        <f t="shared" si="7"/>
        <v>1086.4334915801981</v>
      </c>
    </row>
    <row r="42" spans="1:25" ht="15">
      <c r="I42" s="41">
        <f>I27+I40</f>
        <v>214636.22165658098</v>
      </c>
      <c r="T42" s="11" t="s">
        <v>95</v>
      </c>
      <c r="U42" s="132" t="s">
        <v>116</v>
      </c>
      <c r="V42" s="8" t="s">
        <v>14</v>
      </c>
      <c r="W42" s="9">
        <v>1</v>
      </c>
      <c r="X42" s="12">
        <f>0.2*I$22</f>
        <v>8493.7931996184016</v>
      </c>
      <c r="Y42" s="13">
        <f t="shared" si="7"/>
        <v>8493.7931996184016</v>
      </c>
    </row>
    <row r="43" spans="1:25" ht="15">
      <c r="T43" s="11" t="s">
        <v>96</v>
      </c>
      <c r="U43" s="132" t="s">
        <v>76</v>
      </c>
      <c r="V43" s="8" t="s">
        <v>14</v>
      </c>
      <c r="W43" s="9">
        <v>1</v>
      </c>
      <c r="X43" s="12">
        <f>0.1*I$22</f>
        <v>4246.8965998092008</v>
      </c>
      <c r="Y43" s="13">
        <f t="shared" si="7"/>
        <v>4246.8965998092008</v>
      </c>
    </row>
    <row r="44" spans="1:25" ht="15">
      <c r="A44" s="203" t="s">
        <v>171</v>
      </c>
      <c r="B44" s="204"/>
      <c r="C44" s="204"/>
      <c r="D44" s="204"/>
      <c r="E44" s="204"/>
      <c r="F44" s="204"/>
      <c r="G44" s="204"/>
      <c r="H44" s="204"/>
      <c r="I44" s="204"/>
      <c r="T44" s="11" t="s">
        <v>97</v>
      </c>
      <c r="U44" s="132" t="s">
        <v>77</v>
      </c>
      <c r="V44" s="8" t="s">
        <v>14</v>
      </c>
      <c r="W44" s="9">
        <v>1</v>
      </c>
      <c r="X44" s="12">
        <f>0.05*I$22</f>
        <v>2123.4482999046004</v>
      </c>
      <c r="Y44" s="13">
        <f t="shared" si="7"/>
        <v>2123.4482999046004</v>
      </c>
    </row>
    <row r="45" spans="1:25" ht="30">
      <c r="A45"/>
      <c r="B45"/>
      <c r="C45"/>
      <c r="D45"/>
      <c r="E45"/>
      <c r="F45"/>
      <c r="G45"/>
      <c r="H45"/>
      <c r="I45"/>
      <c r="T45" s="11" t="s">
        <v>98</v>
      </c>
      <c r="U45" s="132" t="s">
        <v>129</v>
      </c>
      <c r="V45" s="15" t="s">
        <v>14</v>
      </c>
      <c r="W45" s="9">
        <v>1</v>
      </c>
      <c r="X45" s="12">
        <f>0.1*I$22</f>
        <v>4246.8965998092008</v>
      </c>
      <c r="Y45" s="13">
        <f t="shared" si="7"/>
        <v>4246.8965998092008</v>
      </c>
    </row>
    <row r="46" spans="1:25" ht="30">
      <c r="A46" t="s">
        <v>172</v>
      </c>
      <c r="B46"/>
      <c r="C46"/>
      <c r="D46"/>
      <c r="E46"/>
      <c r="F46"/>
      <c r="G46"/>
      <c r="H46"/>
      <c r="I46"/>
      <c r="T46" s="11" t="s">
        <v>99</v>
      </c>
      <c r="U46" s="132" t="s">
        <v>109</v>
      </c>
      <c r="V46" s="8" t="s">
        <v>14</v>
      </c>
      <c r="W46" s="9">
        <v>1</v>
      </c>
      <c r="X46" s="12">
        <f>0.6*I23</f>
        <v>15336.015499311001</v>
      </c>
      <c r="Y46" s="13">
        <f t="shared" si="7"/>
        <v>15336.015499311001</v>
      </c>
    </row>
    <row r="47" spans="1:25" ht="15">
      <c r="A47" t="s">
        <v>173</v>
      </c>
      <c r="B47"/>
      <c r="C47"/>
      <c r="D47"/>
      <c r="E47"/>
      <c r="F47"/>
      <c r="G47"/>
      <c r="H47"/>
      <c r="I47"/>
      <c r="T47" s="11" t="s">
        <v>100</v>
      </c>
      <c r="U47" s="132" t="s">
        <v>78</v>
      </c>
      <c r="V47" s="8" t="s">
        <v>14</v>
      </c>
      <c r="W47" s="9">
        <v>1</v>
      </c>
      <c r="X47" s="12">
        <f>0.1*I24</f>
        <v>2172.8669831603961</v>
      </c>
      <c r="Y47" s="13">
        <f t="shared" si="7"/>
        <v>2172.8669831603961</v>
      </c>
    </row>
    <row r="48" spans="1:25" ht="15">
      <c r="A48" t="s">
        <v>174</v>
      </c>
      <c r="B48"/>
      <c r="C48"/>
      <c r="D48"/>
      <c r="E48"/>
      <c r="F48"/>
      <c r="G48"/>
      <c r="H48"/>
      <c r="I48"/>
      <c r="T48" s="11" t="s">
        <v>101</v>
      </c>
      <c r="U48" s="132" t="s">
        <v>79</v>
      </c>
      <c r="V48" s="8" t="s">
        <v>14</v>
      </c>
      <c r="W48" s="9">
        <v>1</v>
      </c>
      <c r="X48" s="12">
        <f>0.06*I$22</f>
        <v>2548.1379598855201</v>
      </c>
      <c r="Y48" s="13">
        <f t="shared" si="7"/>
        <v>2548.1379598855201</v>
      </c>
    </row>
    <row r="49" spans="1:25" ht="15">
      <c r="A49" t="s">
        <v>175</v>
      </c>
      <c r="B49"/>
      <c r="C49"/>
      <c r="D49"/>
      <c r="E49"/>
      <c r="F49"/>
      <c r="G49"/>
      <c r="H49"/>
      <c r="I49"/>
      <c r="T49" s="11" t="s">
        <v>102</v>
      </c>
      <c r="U49" s="132" t="s">
        <v>80</v>
      </c>
      <c r="V49" s="8" t="s">
        <v>14</v>
      </c>
      <c r="W49" s="9">
        <v>1</v>
      </c>
      <c r="X49" s="12">
        <f>0.04*I$22</f>
        <v>1698.7586399236802</v>
      </c>
      <c r="Y49" s="13">
        <f t="shared" si="7"/>
        <v>1698.7586399236802</v>
      </c>
    </row>
    <row r="50" spans="1:25" ht="15">
      <c r="A50" t="s">
        <v>176</v>
      </c>
      <c r="B50"/>
      <c r="C50"/>
      <c r="D50"/>
      <c r="E50"/>
      <c r="F50"/>
      <c r="G50"/>
      <c r="H50"/>
      <c r="I50"/>
      <c r="T50" s="11" t="s">
        <v>103</v>
      </c>
      <c r="U50" s="132" t="s">
        <v>81</v>
      </c>
      <c r="V50" s="8" t="s">
        <v>14</v>
      </c>
      <c r="W50" s="9">
        <v>1</v>
      </c>
      <c r="X50" s="12">
        <f>0.3*I$25</f>
        <v>4718.7739997880008</v>
      </c>
      <c r="Y50" s="13">
        <f t="shared" si="7"/>
        <v>4718.7739997880008</v>
      </c>
    </row>
    <row r="51" spans="1:25" ht="15">
      <c r="A51" t="s">
        <v>177</v>
      </c>
      <c r="B51"/>
      <c r="C51"/>
      <c r="D51"/>
      <c r="E51"/>
      <c r="F51"/>
      <c r="G51"/>
      <c r="H51"/>
      <c r="I51"/>
      <c r="T51" s="11" t="s">
        <v>104</v>
      </c>
      <c r="U51" s="132" t="s">
        <v>110</v>
      </c>
      <c r="V51" s="8" t="s">
        <v>14</v>
      </c>
      <c r="W51" s="9">
        <v>1</v>
      </c>
      <c r="X51" s="12">
        <f t="shared" ref="X51:X53" si="10">0.3*I$25</f>
        <v>4718.7739997880008</v>
      </c>
      <c r="Y51" s="13">
        <f t="shared" si="7"/>
        <v>4718.7739997880008</v>
      </c>
    </row>
    <row r="52" spans="1:25" ht="15">
      <c r="A52" t="s">
        <v>178</v>
      </c>
      <c r="B52"/>
      <c r="C52"/>
      <c r="D52"/>
      <c r="E52"/>
      <c r="F52"/>
      <c r="G52"/>
      <c r="H52"/>
      <c r="I52"/>
      <c r="T52" s="11" t="s">
        <v>105</v>
      </c>
      <c r="U52" s="132" t="s">
        <v>82</v>
      </c>
      <c r="V52" s="8" t="s">
        <v>14</v>
      </c>
      <c r="W52" s="9">
        <v>1</v>
      </c>
      <c r="X52" s="12">
        <f>0.1*I$25</f>
        <v>1572.9246665960004</v>
      </c>
      <c r="Y52" s="13">
        <f t="shared" si="7"/>
        <v>1572.9246665960004</v>
      </c>
    </row>
    <row r="53" spans="1:25" ht="45">
      <c r="A53" t="s">
        <v>179</v>
      </c>
      <c r="B53"/>
      <c r="C53"/>
      <c r="D53"/>
      <c r="E53"/>
      <c r="F53"/>
      <c r="G53"/>
      <c r="H53"/>
      <c r="I53"/>
      <c r="T53" s="11" t="s">
        <v>130</v>
      </c>
      <c r="U53" s="132" t="s">
        <v>128</v>
      </c>
      <c r="V53" s="15" t="s">
        <v>14</v>
      </c>
      <c r="W53" s="9">
        <v>1</v>
      </c>
      <c r="X53" s="12">
        <f t="shared" si="10"/>
        <v>4718.7739997880008</v>
      </c>
      <c r="Y53" s="13">
        <f t="shared" si="7"/>
        <v>4718.7739997880008</v>
      </c>
    </row>
    <row r="54" spans="1:25" ht="15">
      <c r="A54" t="s">
        <v>180</v>
      </c>
      <c r="B54"/>
      <c r="C54"/>
      <c r="D54"/>
      <c r="E54"/>
      <c r="F54"/>
      <c r="G54"/>
      <c r="H54"/>
      <c r="I54"/>
      <c r="T54" s="67"/>
      <c r="U54" s="14"/>
      <c r="V54" s="68"/>
      <c r="W54" s="69"/>
      <c r="X54" s="70"/>
      <c r="Y54" s="71"/>
    </row>
    <row r="55" spans="1:25" ht="15.75">
      <c r="A55" t="s">
        <v>181</v>
      </c>
      <c r="B55"/>
      <c r="C55"/>
      <c r="D55"/>
      <c r="E55"/>
      <c r="F55"/>
      <c r="G55"/>
      <c r="H55"/>
      <c r="I55"/>
      <c r="T55" s="72"/>
      <c r="U55" s="73" t="s">
        <v>17</v>
      </c>
      <c r="V55" s="74"/>
      <c r="W55" s="75"/>
      <c r="X55" s="76"/>
      <c r="Y55" s="77">
        <f>SUM(Y30:Y54)</f>
        <v>121426.32520246376</v>
      </c>
    </row>
    <row r="56" spans="1:25" ht="15">
      <c r="A56" t="s">
        <v>182</v>
      </c>
      <c r="B56"/>
      <c r="C56"/>
      <c r="D56"/>
      <c r="E56"/>
      <c r="F56"/>
      <c r="G56"/>
      <c r="H56"/>
      <c r="I56"/>
      <c r="T56" s="27"/>
      <c r="U56" s="19"/>
      <c r="V56" s="20"/>
      <c r="W56" s="24"/>
      <c r="X56" s="21"/>
      <c r="Y56" s="28"/>
    </row>
    <row r="57" spans="1:25" ht="15.75">
      <c r="A57" t="s">
        <v>183</v>
      </c>
      <c r="B57"/>
      <c r="C57"/>
      <c r="D57"/>
      <c r="E57"/>
      <c r="F57"/>
      <c r="G57"/>
      <c r="H57"/>
      <c r="I57"/>
      <c r="T57" s="27"/>
      <c r="U57" s="29" t="s">
        <v>19</v>
      </c>
      <c r="V57" s="20"/>
      <c r="W57" s="24"/>
      <c r="X57" s="21"/>
      <c r="Y57" s="17">
        <f>+Y19+Y27+Y55</f>
        <v>191997.76499062096</v>
      </c>
    </row>
    <row r="58" spans="1:25" ht="15.75">
      <c r="A58" t="s">
        <v>184</v>
      </c>
      <c r="B58"/>
      <c r="C58"/>
      <c r="D58"/>
      <c r="E58"/>
      <c r="F58"/>
      <c r="G58"/>
      <c r="H58"/>
      <c r="I58"/>
      <c r="T58" s="27"/>
      <c r="U58" s="29" t="s">
        <v>20</v>
      </c>
      <c r="V58" s="20" t="s">
        <v>10</v>
      </c>
      <c r="W58" s="88">
        <v>20.49</v>
      </c>
      <c r="X58" s="21"/>
      <c r="Y58" s="17">
        <f>Y57*W58/100</f>
        <v>39340.342046578226</v>
      </c>
    </row>
    <row r="59" spans="1:25" ht="16.5" thickBot="1">
      <c r="A59" t="s">
        <v>185</v>
      </c>
      <c r="B59"/>
      <c r="C59"/>
      <c r="D59"/>
      <c r="E59"/>
      <c r="F59"/>
      <c r="G59"/>
      <c r="H59"/>
      <c r="I59"/>
      <c r="T59" s="30"/>
      <c r="U59" s="31" t="s">
        <v>21</v>
      </c>
      <c r="V59" s="32"/>
      <c r="W59" s="33"/>
      <c r="X59" s="34"/>
      <c r="Y59" s="35">
        <f>Y57+Y58</f>
        <v>231338.1070371992</v>
      </c>
    </row>
    <row r="60" spans="1:25">
      <c r="A60" t="s">
        <v>186</v>
      </c>
      <c r="B60"/>
      <c r="C60"/>
      <c r="D60"/>
      <c r="E60"/>
      <c r="F60"/>
      <c r="G60"/>
      <c r="H60"/>
      <c r="I60"/>
    </row>
    <row r="61" spans="1:25">
      <c r="A61" t="s">
        <v>187</v>
      </c>
      <c r="B61"/>
      <c r="C61"/>
      <c r="D61"/>
      <c r="E61"/>
      <c r="F61"/>
      <c r="G61"/>
      <c r="H61"/>
      <c r="I61"/>
    </row>
    <row r="62" spans="1:25">
      <c r="A62"/>
      <c r="B62"/>
      <c r="C62"/>
      <c r="D62"/>
      <c r="E62"/>
      <c r="F62"/>
      <c r="G62"/>
      <c r="H62"/>
      <c r="I62"/>
    </row>
    <row r="63" spans="1:25">
      <c r="A63"/>
      <c r="B63"/>
      <c r="C63"/>
      <c r="D63"/>
      <c r="E63"/>
      <c r="F63"/>
      <c r="G63"/>
      <c r="H63"/>
      <c r="I63"/>
    </row>
    <row r="64" spans="1:25">
      <c r="A64" s="108" t="s">
        <v>198</v>
      </c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188</v>
      </c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 t="s">
        <v>189</v>
      </c>
      <c r="B68"/>
      <c r="C68" s="94"/>
      <c r="D68" s="94" t="s">
        <v>191</v>
      </c>
      <c r="E68"/>
      <c r="F68"/>
      <c r="G68"/>
      <c r="H68"/>
      <c r="I68"/>
    </row>
    <row r="69" spans="1:9">
      <c r="A69" t="s">
        <v>192</v>
      </c>
      <c r="B69"/>
      <c r="C69" s="94"/>
      <c r="D69" s="94"/>
      <c r="E69"/>
      <c r="F69"/>
      <c r="G69"/>
      <c r="H69"/>
      <c r="I69"/>
    </row>
    <row r="70" spans="1:9">
      <c r="A70" s="108" t="s">
        <v>201</v>
      </c>
      <c r="B70"/>
      <c r="C70"/>
      <c r="D70"/>
      <c r="E70"/>
      <c r="F70"/>
      <c r="G70"/>
      <c r="H70"/>
      <c r="I70"/>
    </row>
    <row r="71" spans="1:9">
      <c r="A71" t="s">
        <v>193</v>
      </c>
      <c r="B71"/>
      <c r="C71" s="104"/>
      <c r="D71">
        <v>42.5</v>
      </c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 s="104"/>
      <c r="D73"/>
      <c r="E73"/>
      <c r="F73"/>
      <c r="G73"/>
      <c r="H73"/>
      <c r="I73"/>
    </row>
    <row r="74" spans="1:9">
      <c r="A74"/>
      <c r="B74"/>
      <c r="C74" s="104"/>
      <c r="D74"/>
      <c r="E74"/>
      <c r="F74"/>
      <c r="G74"/>
      <c r="H74"/>
      <c r="I74"/>
    </row>
    <row r="75" spans="1:9">
      <c r="A75"/>
      <c r="B75"/>
      <c r="C75" s="104"/>
      <c r="D75"/>
      <c r="E75"/>
      <c r="F75"/>
      <c r="G75"/>
      <c r="H75"/>
      <c r="I75"/>
    </row>
    <row r="76" spans="1:9">
      <c r="A76"/>
      <c r="B76"/>
      <c r="C76" s="104"/>
      <c r="D76"/>
      <c r="E76"/>
      <c r="F76"/>
      <c r="G76"/>
      <c r="H76"/>
      <c r="I76"/>
    </row>
    <row r="77" spans="1:9">
      <c r="A77"/>
      <c r="B77"/>
      <c r="C77" s="104"/>
      <c r="D77"/>
      <c r="E77"/>
      <c r="F77"/>
      <c r="G77"/>
      <c r="H77"/>
      <c r="I77"/>
    </row>
    <row r="78" spans="1:9">
      <c r="A78" t="s">
        <v>194</v>
      </c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 s="108" t="s">
        <v>199</v>
      </c>
      <c r="B80"/>
      <c r="C80"/>
      <c r="D80" s="105">
        <f>D71*120</f>
        <v>5100</v>
      </c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 t="s">
        <v>195</v>
      </c>
      <c r="B82"/>
      <c r="C82" s="104"/>
      <c r="D82" s="104">
        <v>495</v>
      </c>
      <c r="E82" s="104"/>
      <c r="F82"/>
      <c r="G82"/>
      <c r="H82"/>
      <c r="I82"/>
    </row>
    <row r="83" spans="1:9">
      <c r="A83"/>
      <c r="B83"/>
      <c r="C83" s="104"/>
      <c r="D83"/>
      <c r="E83"/>
      <c r="F83"/>
      <c r="G83"/>
      <c r="H83"/>
      <c r="I83"/>
    </row>
    <row r="84" spans="1:9">
      <c r="A84" t="s">
        <v>196</v>
      </c>
      <c r="B84"/>
      <c r="C84" s="104"/>
      <c r="D84">
        <f>D82*3</f>
        <v>1485</v>
      </c>
      <c r="E84"/>
      <c r="F84"/>
      <c r="G84"/>
      <c r="H84"/>
      <c r="I84"/>
    </row>
    <row r="85" spans="1:9">
      <c r="A85"/>
      <c r="B85"/>
      <c r="C85" s="104"/>
      <c r="D85"/>
      <c r="E85"/>
      <c r="F85"/>
      <c r="G85"/>
      <c r="H85"/>
      <c r="I85"/>
    </row>
    <row r="86" spans="1:9">
      <c r="A86"/>
      <c r="B86"/>
      <c r="C86" s="104"/>
      <c r="D86" s="110">
        <f>D80+D84</f>
        <v>6585</v>
      </c>
      <c r="E86"/>
      <c r="F86"/>
      <c r="G86"/>
      <c r="H86"/>
      <c r="I86"/>
    </row>
    <row r="87" spans="1:9">
      <c r="A87"/>
      <c r="B87"/>
      <c r="C87" s="106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 s="107"/>
      <c r="E92"/>
      <c r="F92"/>
      <c r="G92"/>
      <c r="H92"/>
      <c r="I92"/>
    </row>
  </sheetData>
  <mergeCells count="21">
    <mergeCell ref="A34:I34"/>
    <mergeCell ref="A40:E40"/>
    <mergeCell ref="A44:I44"/>
    <mergeCell ref="A16:B16"/>
    <mergeCell ref="B30:C30"/>
    <mergeCell ref="C31:D31"/>
    <mergeCell ref="C32:D32"/>
    <mergeCell ref="I32:K32"/>
    <mergeCell ref="A33:I33"/>
    <mergeCell ref="I12:Q12"/>
    <mergeCell ref="T2:Y2"/>
    <mergeCell ref="T3:Y3"/>
    <mergeCell ref="T4:W4"/>
    <mergeCell ref="X4:Y4"/>
    <mergeCell ref="T5:W5"/>
    <mergeCell ref="X5:Y5"/>
    <mergeCell ref="I7:Q7"/>
    <mergeCell ref="I8:Q8"/>
    <mergeCell ref="I9:Q9"/>
    <mergeCell ref="I10:Q10"/>
    <mergeCell ref="I11:Q11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4" max="30" man="1"/>
    <brk id="10" max="1048575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12"/>
  <sheetViews>
    <sheetView topLeftCell="A76" workbookViewId="0">
      <selection activeCell="D91" sqref="D91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0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2451.42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>
      <c r="A3" s="89" t="s">
        <v>212</v>
      </c>
      <c r="B3" s="103">
        <v>512.72</v>
      </c>
      <c r="C3" s="36">
        <v>0</v>
      </c>
      <c r="T3" s="172" t="s">
        <v>84</v>
      </c>
      <c r="U3" s="173"/>
      <c r="V3" s="173"/>
      <c r="W3" s="173"/>
      <c r="X3" s="173"/>
      <c r="Y3" s="174"/>
    </row>
    <row r="4" spans="1:25" ht="15.75">
      <c r="A4" s="89" t="s">
        <v>147</v>
      </c>
      <c r="B4" s="103">
        <v>63</v>
      </c>
      <c r="C4" s="36">
        <v>63</v>
      </c>
      <c r="T4" s="175" t="s">
        <v>111</v>
      </c>
      <c r="U4" s="176"/>
      <c r="V4" s="176"/>
      <c r="W4" s="176"/>
      <c r="X4" s="177" t="s">
        <v>112</v>
      </c>
      <c r="Y4" s="178"/>
    </row>
    <row r="5" spans="1:25" ht="15.75">
      <c r="A5" s="89"/>
      <c r="B5" s="103">
        <f>SUM(B2:B4)</f>
        <v>3027.1400000000003</v>
      </c>
      <c r="C5" s="103">
        <f>SUM(C2:C4)</f>
        <v>1554.42</v>
      </c>
      <c r="D5" s="99" t="s">
        <v>23</v>
      </c>
      <c r="E5" s="99" t="s">
        <v>24</v>
      </c>
      <c r="H5" s="99" t="s">
        <v>24</v>
      </c>
      <c r="T5" s="179" t="s">
        <v>35</v>
      </c>
      <c r="U5" s="180"/>
      <c r="V5" s="180"/>
      <c r="W5" s="181"/>
      <c r="X5" s="182" t="s">
        <v>218</v>
      </c>
      <c r="Y5" s="183"/>
    </row>
    <row r="6" spans="1:25" ht="25.5">
      <c r="A6" s="99" t="s">
        <v>25</v>
      </c>
      <c r="B6" s="99" t="s">
        <v>26</v>
      </c>
      <c r="C6" s="143" t="s">
        <v>214</v>
      </c>
      <c r="D6" s="61" t="s">
        <v>43</v>
      </c>
      <c r="E6" s="61" t="s">
        <v>215</v>
      </c>
      <c r="G6" s="99"/>
      <c r="H6" s="78" t="s">
        <v>215</v>
      </c>
      <c r="I6" s="99" t="str">
        <f>[1]Coefic.CEF!G2</f>
        <v>Observações:</v>
      </c>
      <c r="T6" s="1" t="s">
        <v>22</v>
      </c>
      <c r="U6" s="2" t="s">
        <v>11</v>
      </c>
      <c r="V6" s="3" t="s">
        <v>12</v>
      </c>
      <c r="W6" s="4" t="s">
        <v>13</v>
      </c>
      <c r="X6" s="63" t="s">
        <v>50</v>
      </c>
      <c r="Y6" s="5" t="s">
        <v>0</v>
      </c>
    </row>
    <row r="7" spans="1:25" ht="12.75" customHeight="1">
      <c r="A7" s="89" t="s">
        <v>117</v>
      </c>
      <c r="B7" s="90">
        <v>0.02</v>
      </c>
      <c r="C7" s="40">
        <f>$C$17*1.7</f>
        <v>1876.4259999999999</v>
      </c>
      <c r="D7" s="40">
        <f t="shared" ref="D7:D12" si="0">B7*C7</f>
        <v>37.52852</v>
      </c>
      <c r="E7" s="41">
        <f t="shared" ref="E7:E12" si="1">B7*C7*$C$16</f>
        <v>113604.08403280002</v>
      </c>
      <c r="H7" s="41">
        <f t="shared" ref="H7:H12" si="2">B7*C7*$H$16</f>
        <v>74628.089016400001</v>
      </c>
      <c r="I7" s="192" t="s">
        <v>39</v>
      </c>
      <c r="J7" s="193"/>
      <c r="K7" s="193"/>
      <c r="L7" s="193"/>
      <c r="M7" s="193"/>
      <c r="N7" s="193"/>
      <c r="O7" s="193"/>
      <c r="P7" s="193"/>
      <c r="Q7" s="193"/>
      <c r="R7" s="39">
        <v>0.02</v>
      </c>
      <c r="T7" s="1" t="s">
        <v>51</v>
      </c>
      <c r="U7" s="7" t="s">
        <v>52</v>
      </c>
      <c r="V7" s="3"/>
      <c r="W7" s="4"/>
      <c r="X7" s="63"/>
      <c r="Y7" s="5"/>
    </row>
    <row r="8" spans="1:25" ht="15">
      <c r="A8" s="89" t="s">
        <v>118</v>
      </c>
      <c r="B8" s="90">
        <f>R8</f>
        <v>5.9999999999999993E-3</v>
      </c>
      <c r="C8" s="40">
        <f t="shared" ref="C8:C12" si="3">$C$17*1.7</f>
        <v>1876.4259999999999</v>
      </c>
      <c r="D8" s="40">
        <f t="shared" si="0"/>
        <v>11.258555999999999</v>
      </c>
      <c r="E8" s="41">
        <f t="shared" si="1"/>
        <v>34081.225209839999</v>
      </c>
      <c r="H8" s="41">
        <f t="shared" si="2"/>
        <v>22388.426704919999</v>
      </c>
      <c r="I8" s="192" t="s">
        <v>38</v>
      </c>
      <c r="J8" s="193"/>
      <c r="K8" s="193"/>
      <c r="L8" s="193"/>
      <c r="M8" s="193"/>
      <c r="N8" s="193"/>
      <c r="O8" s="193"/>
      <c r="P8" s="193"/>
      <c r="Q8" s="193"/>
      <c r="R8" s="39">
        <f>0.0012+0.0048</f>
        <v>5.9999999999999993E-3</v>
      </c>
      <c r="T8" s="11" t="s">
        <v>1</v>
      </c>
      <c r="U8" s="132" t="s">
        <v>113</v>
      </c>
      <c r="V8" s="8" t="s">
        <v>14</v>
      </c>
      <c r="W8" s="9">
        <v>0</v>
      </c>
      <c r="X8" s="12">
        <f>0.25*I20+K40</f>
        <v>28887.382254100001</v>
      </c>
      <c r="Y8" s="13">
        <f>W8*X8</f>
        <v>0</v>
      </c>
    </row>
    <row r="9" spans="1:25" ht="15">
      <c r="A9" s="36" t="s">
        <v>28</v>
      </c>
      <c r="B9" s="90">
        <v>1.0800000000000001E-2</v>
      </c>
      <c r="C9" s="40">
        <f t="shared" si="3"/>
        <v>1876.4259999999999</v>
      </c>
      <c r="D9" s="40">
        <f t="shared" si="0"/>
        <v>20.265400800000002</v>
      </c>
      <c r="E9" s="41">
        <f t="shared" si="1"/>
        <v>61346.205377712009</v>
      </c>
      <c r="H9" s="41">
        <f t="shared" si="2"/>
        <v>40299.168068856008</v>
      </c>
      <c r="I9" s="192" t="s">
        <v>40</v>
      </c>
      <c r="J9" s="193"/>
      <c r="K9" s="193"/>
      <c r="L9" s="193"/>
      <c r="M9" s="193"/>
      <c r="N9" s="193"/>
      <c r="O9" s="193"/>
      <c r="P9" s="193"/>
      <c r="Q9" s="193"/>
      <c r="R9" s="39">
        <f>0.0037+0.0009+0.0004+0.001+0.001+0.0024+0.0004+0.0005+0.0005</f>
        <v>1.0800000000000001E-2</v>
      </c>
      <c r="T9" s="11" t="s">
        <v>2</v>
      </c>
      <c r="U9" s="132" t="s">
        <v>53</v>
      </c>
      <c r="V9" s="8" t="s">
        <v>14</v>
      </c>
      <c r="W9" s="9">
        <v>1</v>
      </c>
      <c r="X9" s="12">
        <f>(0.25*I20)/2</f>
        <v>9328.5111270500001</v>
      </c>
      <c r="Y9" s="13">
        <f t="shared" ref="Y9:Y17" si="4">W9*X9</f>
        <v>9328.5111270500001</v>
      </c>
    </row>
    <row r="10" spans="1:25" ht="15">
      <c r="A10" s="36" t="s">
        <v>29</v>
      </c>
      <c r="B10" s="90">
        <f>R10</f>
        <v>6.4999999999999997E-3</v>
      </c>
      <c r="C10" s="40">
        <f t="shared" si="3"/>
        <v>1876.4259999999999</v>
      </c>
      <c r="D10" s="40">
        <f t="shared" si="0"/>
        <v>12.196769</v>
      </c>
      <c r="E10" s="41">
        <f t="shared" si="1"/>
        <v>36921.327310660003</v>
      </c>
      <c r="H10" s="41">
        <f t="shared" si="2"/>
        <v>24254.12893033</v>
      </c>
      <c r="I10" s="192" t="s">
        <v>119</v>
      </c>
      <c r="J10" s="192"/>
      <c r="K10" s="192"/>
      <c r="L10" s="192"/>
      <c r="M10" s="192"/>
      <c r="N10" s="192"/>
      <c r="O10" s="192"/>
      <c r="P10" s="192"/>
      <c r="Q10" s="192"/>
      <c r="R10" s="39">
        <v>6.4999999999999997E-3</v>
      </c>
      <c r="T10" s="11" t="s">
        <v>3</v>
      </c>
      <c r="U10" s="132" t="s">
        <v>54</v>
      </c>
      <c r="V10" s="8" t="s">
        <v>14</v>
      </c>
      <c r="W10" s="9">
        <v>1</v>
      </c>
      <c r="X10" s="12">
        <f>0.08*I20</f>
        <v>5970.2471213119998</v>
      </c>
      <c r="Y10" s="13">
        <f t="shared" si="4"/>
        <v>5970.2471213119998</v>
      </c>
    </row>
    <row r="11" spans="1:25" ht="15">
      <c r="A11" s="36" t="s">
        <v>30</v>
      </c>
      <c r="B11" s="90">
        <v>4.7000000000000002E-3</v>
      </c>
      <c r="C11" s="40">
        <f t="shared" si="3"/>
        <v>1876.4259999999999</v>
      </c>
      <c r="D11" s="40">
        <f t="shared" si="0"/>
        <v>8.8192021999999994</v>
      </c>
      <c r="E11" s="41">
        <f t="shared" si="1"/>
        <v>26696.959747708002</v>
      </c>
      <c r="H11" s="41">
        <f>B11*C11*$H$17</f>
        <v>20618.522181487278</v>
      </c>
      <c r="I11" s="192" t="s">
        <v>41</v>
      </c>
      <c r="J11" s="192"/>
      <c r="K11" s="192"/>
      <c r="L11" s="192"/>
      <c r="M11" s="192"/>
      <c r="N11" s="192"/>
      <c r="O11" s="192"/>
      <c r="P11" s="192"/>
      <c r="Q11" s="192"/>
      <c r="R11" s="39">
        <f>0.001+0.001+0.002+0.0007</f>
        <v>4.7000000000000002E-3</v>
      </c>
      <c r="T11" s="11" t="s">
        <v>4</v>
      </c>
      <c r="U11" s="132" t="s">
        <v>55</v>
      </c>
      <c r="V11" s="8" t="s">
        <v>14</v>
      </c>
      <c r="W11" s="9">
        <v>1</v>
      </c>
      <c r="X11" s="12">
        <f>(0.075*I21)+(0.075*I21)</f>
        <v>3358.2640057379999</v>
      </c>
      <c r="Y11" s="13">
        <f t="shared" si="4"/>
        <v>3358.2640057379999</v>
      </c>
    </row>
    <row r="12" spans="1:25" ht="15">
      <c r="A12" s="36" t="s">
        <v>31</v>
      </c>
      <c r="B12" s="90">
        <v>4.0000000000000001E-3</v>
      </c>
      <c r="C12" s="40">
        <f t="shared" si="3"/>
        <v>1876.4259999999999</v>
      </c>
      <c r="D12" s="40">
        <f t="shared" si="0"/>
        <v>7.5057039999999997</v>
      </c>
      <c r="E12" s="41">
        <f t="shared" si="1"/>
        <v>22720.81680656</v>
      </c>
      <c r="H12" s="41">
        <f t="shared" si="2"/>
        <v>14925.61780328</v>
      </c>
      <c r="I12" s="192" t="s">
        <v>42</v>
      </c>
      <c r="J12" s="192"/>
      <c r="K12" s="192"/>
      <c r="L12" s="192"/>
      <c r="M12" s="192"/>
      <c r="N12" s="192"/>
      <c r="O12" s="192"/>
      <c r="P12" s="192"/>
      <c r="Q12" s="192"/>
      <c r="R12" s="39">
        <v>4.0000000000000001E-3</v>
      </c>
      <c r="T12" s="11" t="s">
        <v>15</v>
      </c>
      <c r="U12" s="132" t="s">
        <v>56</v>
      </c>
      <c r="V12" s="8" t="s">
        <v>14</v>
      </c>
      <c r="W12" s="9">
        <v>1</v>
      </c>
      <c r="X12" s="12">
        <f>0.15*I24</f>
        <v>3092.7783272230918</v>
      </c>
      <c r="Y12" s="13">
        <f t="shared" si="4"/>
        <v>3092.7783272230918</v>
      </c>
    </row>
    <row r="13" spans="1:25" ht="30">
      <c r="D13" s="42">
        <f>SUM(D7:D12)</f>
        <v>97.574151999999984</v>
      </c>
      <c r="E13" s="42">
        <f>SUM(E7:E12)</f>
        <v>295370.61848528002</v>
      </c>
      <c r="H13" s="42">
        <f>SUM(H7:H12)</f>
        <v>197113.95270527329</v>
      </c>
      <c r="I13" s="97"/>
      <c r="T13" s="11" t="s">
        <v>16</v>
      </c>
      <c r="U13" s="132" t="s">
        <v>114</v>
      </c>
      <c r="V13" s="8" t="s">
        <v>14</v>
      </c>
      <c r="W13" s="9">
        <v>1</v>
      </c>
      <c r="X13" s="12">
        <f>0.2*I22</f>
        <v>8059.8336137712022</v>
      </c>
      <c r="Y13" s="13">
        <f t="shared" si="4"/>
        <v>8059.8336137712022</v>
      </c>
    </row>
    <row r="14" spans="1:25" ht="30">
      <c r="E14" s="41">
        <f>E13/C16</f>
        <v>97.574151999999998</v>
      </c>
      <c r="H14" s="41">
        <f>H13/C16</f>
        <v>65.115572026821781</v>
      </c>
      <c r="T14" s="11" t="s">
        <v>36</v>
      </c>
      <c r="U14" s="132" t="s">
        <v>132</v>
      </c>
      <c r="V14" s="8" t="s">
        <v>14</v>
      </c>
      <c r="W14" s="9">
        <v>1</v>
      </c>
      <c r="X14" s="12">
        <f>0.05*I22</f>
        <v>2014.9584034428005</v>
      </c>
      <c r="Y14" s="13">
        <f t="shared" si="4"/>
        <v>2014.9584034428005</v>
      </c>
    </row>
    <row r="15" spans="1:25" ht="30">
      <c r="E15" s="43">
        <f>D13/1200</f>
        <v>8.1311793333333326E-2</v>
      </c>
      <c r="H15" s="43">
        <f>H14/1200</f>
        <v>5.4262976689018153E-2</v>
      </c>
      <c r="I15" s="43">
        <f>H14/1840</f>
        <v>3.5388897840664013E-2</v>
      </c>
      <c r="T15" s="11" t="s">
        <v>85</v>
      </c>
      <c r="U15" s="133" t="s">
        <v>108</v>
      </c>
      <c r="V15" s="15" t="s">
        <v>14</v>
      </c>
      <c r="W15" s="9">
        <v>1</v>
      </c>
      <c r="X15" s="12">
        <f>0.4*I23</f>
        <v>9701.6515721320011</v>
      </c>
      <c r="Y15" s="13">
        <f t="shared" si="4"/>
        <v>9701.6515721320011</v>
      </c>
    </row>
    <row r="16" spans="1:25" ht="30">
      <c r="A16" s="206" t="s">
        <v>44</v>
      </c>
      <c r="B16" s="206"/>
      <c r="C16" s="62">
        <f>B5</f>
        <v>3027.1400000000003</v>
      </c>
      <c r="G16" s="98" t="s">
        <v>45</v>
      </c>
      <c r="H16" s="45">
        <f>(300+(500*0.83)+(1000*0.66)+(C16-1800)*0.5)</f>
        <v>1988.5700000000002</v>
      </c>
      <c r="I16" s="40">
        <f>H16/C16</f>
        <v>0.65691378661046396</v>
      </c>
      <c r="T16" s="11" t="s">
        <v>86</v>
      </c>
      <c r="U16" s="132" t="s">
        <v>57</v>
      </c>
      <c r="V16" s="8" t="s">
        <v>14</v>
      </c>
      <c r="W16" s="9">
        <v>1</v>
      </c>
      <c r="X16" s="12">
        <f>0.15*I24</f>
        <v>3092.7783272230918</v>
      </c>
      <c r="Y16" s="13">
        <f t="shared" si="4"/>
        <v>3092.7783272230918</v>
      </c>
    </row>
    <row r="17" spans="1:25" ht="15">
      <c r="A17" s="138" t="s">
        <v>217</v>
      </c>
      <c r="B17" s="46">
        <v>41487</v>
      </c>
      <c r="C17" s="59">
        <v>1103.78</v>
      </c>
      <c r="G17" s="98" t="s">
        <v>48</v>
      </c>
      <c r="H17" s="45">
        <f>(500+(1000*0.83)+(C16-1500)*0.66)</f>
        <v>2337.9124000000002</v>
      </c>
      <c r="I17" s="40">
        <f>H17/C16</f>
        <v>0.7723172367317005</v>
      </c>
      <c r="T17" s="11" t="s">
        <v>58</v>
      </c>
      <c r="U17" s="132" t="s">
        <v>59</v>
      </c>
      <c r="V17" s="8" t="s">
        <v>14</v>
      </c>
      <c r="W17" s="9">
        <v>1</v>
      </c>
      <c r="X17" s="12">
        <f>0.05*I22</f>
        <v>2014.9584034428005</v>
      </c>
      <c r="Y17" s="13">
        <f t="shared" si="4"/>
        <v>2014.9584034428005</v>
      </c>
    </row>
    <row r="18" spans="1:25" ht="15">
      <c r="A18" s="78" t="s">
        <v>213</v>
      </c>
      <c r="T18" s="11"/>
      <c r="U18" s="14"/>
      <c r="V18" s="8"/>
      <c r="W18" s="9"/>
      <c r="X18" s="12"/>
      <c r="Y18" s="13"/>
    </row>
    <row r="19" spans="1:25" ht="16.5" thickBot="1">
      <c r="A19" s="78"/>
      <c r="T19" s="11"/>
      <c r="U19" s="64" t="s">
        <v>17</v>
      </c>
      <c r="V19" s="8"/>
      <c r="W19" s="9"/>
      <c r="X19" s="16"/>
      <c r="Y19" s="17">
        <f>SUM(Y8:Y18)</f>
        <v>46633.980901334988</v>
      </c>
    </row>
    <row r="20" spans="1:25" ht="15">
      <c r="H20" s="60" t="s">
        <v>27</v>
      </c>
      <c r="I20" s="47">
        <f t="shared" ref="I20:I25" si="5">H7</f>
        <v>74628.089016400001</v>
      </c>
      <c r="T20" s="18"/>
      <c r="U20" s="19"/>
      <c r="V20" s="20"/>
      <c r="W20" s="21"/>
      <c r="X20" s="22"/>
      <c r="Y20" s="23"/>
    </row>
    <row r="21" spans="1:25" ht="15">
      <c r="C21" s="36">
        <f>23000*0.0005</f>
        <v>11.5</v>
      </c>
      <c r="H21" s="48" t="s">
        <v>32</v>
      </c>
      <c r="I21" s="49">
        <f t="shared" si="5"/>
        <v>22388.426704919999</v>
      </c>
      <c r="T21" s="18"/>
      <c r="U21" s="19"/>
      <c r="V21" s="20"/>
      <c r="W21" s="24"/>
      <c r="X21" s="22"/>
      <c r="Y21" s="25"/>
    </row>
    <row r="22" spans="1:25" ht="15.75">
      <c r="A22" s="79"/>
      <c r="B22" s="79"/>
      <c r="C22" s="79"/>
      <c r="D22" s="79"/>
      <c r="E22" s="79"/>
      <c r="F22" s="79"/>
      <c r="H22" s="48" t="s">
        <v>33</v>
      </c>
      <c r="I22" s="49">
        <f t="shared" si="5"/>
        <v>40299.168068856008</v>
      </c>
      <c r="L22" s="89"/>
      <c r="T22" s="87" t="s">
        <v>60</v>
      </c>
      <c r="U22" s="65" t="s">
        <v>61</v>
      </c>
      <c r="V22" s="20"/>
      <c r="W22" s="24"/>
      <c r="X22" s="22"/>
      <c r="Y22" s="25"/>
    </row>
    <row r="23" spans="1:25" ht="15">
      <c r="A23" s="80"/>
      <c r="B23" s="81"/>
      <c r="C23" s="81"/>
      <c r="D23" s="80"/>
      <c r="E23" s="81"/>
      <c r="F23" s="79"/>
      <c r="H23" s="50" t="s">
        <v>29</v>
      </c>
      <c r="I23" s="51">
        <f t="shared" si="5"/>
        <v>24254.12893033</v>
      </c>
      <c r="J23" s="52"/>
      <c r="T23" s="11" t="s">
        <v>5</v>
      </c>
      <c r="U23" s="132" t="s">
        <v>62</v>
      </c>
      <c r="V23" s="8" t="s">
        <v>14</v>
      </c>
      <c r="W23" s="9">
        <v>1</v>
      </c>
      <c r="X23" s="12">
        <f>0.1*I20+0.05*I20</f>
        <v>11194.213352460001</v>
      </c>
      <c r="Y23" s="13">
        <f>W23*X23</f>
        <v>11194.213352460001</v>
      </c>
    </row>
    <row r="24" spans="1:25" ht="15">
      <c r="A24" s="79"/>
      <c r="B24" s="82"/>
      <c r="C24" s="83"/>
      <c r="D24" s="83"/>
      <c r="E24" s="84"/>
      <c r="F24" s="79"/>
      <c r="H24" s="48" t="s">
        <v>30</v>
      </c>
      <c r="I24" s="49">
        <f t="shared" si="5"/>
        <v>20618.522181487278</v>
      </c>
      <c r="J24" s="41"/>
      <c r="T24" s="11" t="s">
        <v>6</v>
      </c>
      <c r="U24" s="132" t="s">
        <v>63</v>
      </c>
      <c r="V24" s="8" t="s">
        <v>14</v>
      </c>
      <c r="W24" s="9">
        <v>1</v>
      </c>
      <c r="X24" s="12">
        <f>0.15*I22</f>
        <v>6044.8752103284014</v>
      </c>
      <c r="Y24" s="13">
        <f t="shared" ref="Y24:Y25" si="6">W24*X24</f>
        <v>6044.8752103284014</v>
      </c>
    </row>
    <row r="25" spans="1:25" ht="15">
      <c r="A25" s="79"/>
      <c r="B25" s="82"/>
      <c r="C25" s="83"/>
      <c r="D25" s="83"/>
      <c r="E25" s="84"/>
      <c r="F25" s="79"/>
      <c r="H25" s="53" t="s">
        <v>34</v>
      </c>
      <c r="I25" s="49">
        <f t="shared" si="5"/>
        <v>14925.61780328</v>
      </c>
      <c r="J25" s="41"/>
      <c r="T25" s="11" t="s">
        <v>7</v>
      </c>
      <c r="U25" s="132" t="s">
        <v>64</v>
      </c>
      <c r="V25" s="8" t="s">
        <v>14</v>
      </c>
      <c r="W25" s="9">
        <v>1</v>
      </c>
      <c r="X25" s="12">
        <f>0.15*I24</f>
        <v>3092.7783272230918</v>
      </c>
      <c r="Y25" s="13">
        <f t="shared" si="6"/>
        <v>3092.7783272230918</v>
      </c>
    </row>
    <row r="26" spans="1:25" ht="15">
      <c r="A26" s="79"/>
      <c r="B26" s="82"/>
      <c r="C26" s="83"/>
      <c r="D26" s="83"/>
      <c r="E26" s="84"/>
      <c r="F26" s="79"/>
      <c r="H26" s="54"/>
      <c r="I26" s="55"/>
      <c r="J26" s="41"/>
      <c r="T26" s="11"/>
      <c r="U26" s="14"/>
      <c r="V26" s="8"/>
      <c r="W26" s="9"/>
      <c r="X26" s="12"/>
      <c r="Y26" s="13"/>
    </row>
    <row r="27" spans="1:25" ht="16.5" thickBot="1">
      <c r="A27" s="79"/>
      <c r="B27" s="82"/>
      <c r="C27" s="83"/>
      <c r="D27" s="83"/>
      <c r="E27" s="84"/>
      <c r="F27" s="79"/>
      <c r="H27" s="56"/>
      <c r="I27" s="57">
        <f>SUM(I20:I25)</f>
        <v>197113.95270527329</v>
      </c>
      <c r="J27" s="41"/>
      <c r="T27" s="11"/>
      <c r="U27" s="64" t="s">
        <v>17</v>
      </c>
      <c r="V27" s="8"/>
      <c r="W27" s="9"/>
      <c r="X27" s="16"/>
      <c r="Y27" s="17">
        <f>SUM(Y23:Y26)</f>
        <v>20331.866890011494</v>
      </c>
    </row>
    <row r="28" spans="1:25" ht="15.75">
      <c r="A28" s="79"/>
      <c r="B28" s="82"/>
      <c r="C28" s="83"/>
      <c r="D28" s="83"/>
      <c r="E28" s="84"/>
      <c r="F28" s="79"/>
      <c r="I28" s="41"/>
      <c r="J28" s="41"/>
      <c r="T28" s="11"/>
      <c r="U28" s="14"/>
      <c r="V28" s="8"/>
      <c r="W28" s="9"/>
      <c r="X28" s="26"/>
      <c r="Y28" s="10"/>
    </row>
    <row r="29" spans="1:25" ht="15.75">
      <c r="A29" s="79"/>
      <c r="B29" s="82"/>
      <c r="C29" s="83"/>
      <c r="D29" s="83"/>
      <c r="E29" s="84"/>
      <c r="F29" s="79"/>
      <c r="H29" s="98" t="s">
        <v>49</v>
      </c>
      <c r="I29" s="42">
        <f>I27/C16</f>
        <v>65.115572026821781</v>
      </c>
      <c r="J29" s="41"/>
      <c r="T29" s="6">
        <v>3</v>
      </c>
      <c r="U29" s="65" t="s">
        <v>65</v>
      </c>
      <c r="V29" s="8"/>
      <c r="W29" s="9"/>
      <c r="X29" s="22"/>
      <c r="Y29" s="23"/>
    </row>
    <row r="30" spans="1:25" ht="15">
      <c r="A30" s="79"/>
      <c r="B30" s="188"/>
      <c r="C30" s="188"/>
      <c r="D30" s="85"/>
      <c r="E30" s="86"/>
      <c r="F30" s="79"/>
      <c r="T30" s="11" t="s">
        <v>8</v>
      </c>
      <c r="U30" s="132" t="s">
        <v>115</v>
      </c>
      <c r="V30" s="8" t="s">
        <v>14</v>
      </c>
      <c r="W30" s="9">
        <v>1</v>
      </c>
      <c r="X30" s="12">
        <f>0.255*I20</f>
        <v>19030.162699182001</v>
      </c>
      <c r="Y30" s="13">
        <f>W30*X30</f>
        <v>19030.162699182001</v>
      </c>
    </row>
    <row r="31" spans="1:25" ht="15">
      <c r="C31" s="188"/>
      <c r="D31" s="188"/>
      <c r="E31" s="41"/>
      <c r="T31" s="11" t="s">
        <v>9</v>
      </c>
      <c r="U31" s="132" t="s">
        <v>66</v>
      </c>
      <c r="V31" s="8" t="s">
        <v>14</v>
      </c>
      <c r="W31" s="9">
        <v>1</v>
      </c>
      <c r="X31" s="12">
        <f>0.04*I$20</f>
        <v>2985.1235606559999</v>
      </c>
      <c r="Y31" s="13">
        <f t="shared" ref="Y31:Y53" si="7">W31*X31</f>
        <v>2985.1235606559999</v>
      </c>
    </row>
    <row r="32" spans="1:25" ht="15">
      <c r="C32" s="188"/>
      <c r="D32" s="188"/>
      <c r="E32" s="43"/>
      <c r="I32" s="189"/>
      <c r="J32" s="189"/>
      <c r="K32" s="189"/>
      <c r="T32" s="11" t="s">
        <v>18</v>
      </c>
      <c r="U32" s="132" t="s">
        <v>67</v>
      </c>
      <c r="V32" s="8" t="s">
        <v>14</v>
      </c>
      <c r="W32" s="9">
        <v>1</v>
      </c>
      <c r="X32" s="12">
        <f t="shared" ref="X32" si="8">0.04*I$20</f>
        <v>2985.1235606559999</v>
      </c>
      <c r="Y32" s="13">
        <f t="shared" si="7"/>
        <v>2985.1235606559999</v>
      </c>
    </row>
    <row r="33" spans="1:25" ht="15">
      <c r="A33" s="190" t="s">
        <v>46</v>
      </c>
      <c r="B33" s="190"/>
      <c r="C33" s="190"/>
      <c r="D33" s="190"/>
      <c r="E33" s="190"/>
      <c r="F33" s="190"/>
      <c r="G33" s="190"/>
      <c r="H33" s="190"/>
      <c r="I33" s="190"/>
      <c r="T33" s="11" t="s">
        <v>37</v>
      </c>
      <c r="U33" s="132" t="s">
        <v>68</v>
      </c>
      <c r="V33" s="8" t="s">
        <v>14</v>
      </c>
      <c r="W33" s="9">
        <v>1</v>
      </c>
      <c r="X33" s="12">
        <f>0.06*I$20</f>
        <v>4477.6853409839996</v>
      </c>
      <c r="Y33" s="13">
        <f t="shared" si="7"/>
        <v>4477.6853409839996</v>
      </c>
    </row>
    <row r="34" spans="1:25" ht="15">
      <c r="A34" s="191" t="s">
        <v>150</v>
      </c>
      <c r="B34" s="191"/>
      <c r="C34" s="191"/>
      <c r="D34" s="191"/>
      <c r="E34" s="191"/>
      <c r="F34" s="191"/>
      <c r="G34" s="191"/>
      <c r="H34" s="191"/>
      <c r="I34" s="191"/>
      <c r="T34" s="11" t="s">
        <v>87</v>
      </c>
      <c r="U34" s="132" t="s">
        <v>69</v>
      </c>
      <c r="V34" s="8" t="s">
        <v>14</v>
      </c>
      <c r="W34" s="9">
        <v>1</v>
      </c>
      <c r="X34" s="12">
        <f>0.075*I$20</f>
        <v>5597.1066762299997</v>
      </c>
      <c r="Y34" s="13">
        <f t="shared" si="7"/>
        <v>5597.1066762299997</v>
      </c>
    </row>
    <row r="35" spans="1:25" ht="15">
      <c r="T35" s="11" t="s">
        <v>88</v>
      </c>
      <c r="U35" s="132" t="s">
        <v>131</v>
      </c>
      <c r="V35" s="8" t="s">
        <v>14</v>
      </c>
      <c r="W35" s="9">
        <v>1</v>
      </c>
      <c r="X35" s="12">
        <f>0.05*I$20</f>
        <v>3731.4044508200004</v>
      </c>
      <c r="Y35" s="13">
        <f t="shared" si="7"/>
        <v>3731.4044508200004</v>
      </c>
    </row>
    <row r="36" spans="1:25" ht="15">
      <c r="T36" s="11" t="s">
        <v>89</v>
      </c>
      <c r="U36" s="132" t="s">
        <v>70</v>
      </c>
      <c r="V36" s="8" t="s">
        <v>14</v>
      </c>
      <c r="W36" s="9">
        <v>1</v>
      </c>
      <c r="X36" s="12">
        <f>0.3*I21</f>
        <v>6716.5280114759998</v>
      </c>
      <c r="Y36" s="13">
        <f t="shared" si="7"/>
        <v>6716.5280114759998</v>
      </c>
    </row>
    <row r="37" spans="1:25" ht="15">
      <c r="A37" s="89" t="s">
        <v>106</v>
      </c>
      <c r="T37" s="11" t="s">
        <v>90</v>
      </c>
      <c r="U37" s="132" t="s">
        <v>71</v>
      </c>
      <c r="V37" s="8" t="s">
        <v>14</v>
      </c>
      <c r="W37" s="9">
        <v>1</v>
      </c>
      <c r="X37" s="12">
        <f>0.3*I21</f>
        <v>6716.5280114759998</v>
      </c>
      <c r="Y37" s="13">
        <f t="shared" si="7"/>
        <v>6716.5280114759998</v>
      </c>
    </row>
    <row r="38" spans="1:25" ht="15">
      <c r="T38" s="11" t="s">
        <v>91</v>
      </c>
      <c r="U38" s="132" t="s">
        <v>72</v>
      </c>
      <c r="V38" s="8" t="s">
        <v>14</v>
      </c>
      <c r="W38" s="9">
        <v>1</v>
      </c>
      <c r="X38" s="12">
        <f>0.15*I$24</f>
        <v>3092.7783272230918</v>
      </c>
      <c r="Y38" s="13">
        <f t="shared" si="7"/>
        <v>3092.7783272230918</v>
      </c>
    </row>
    <row r="39" spans="1:25" ht="15">
      <c r="A39" s="89" t="s">
        <v>211</v>
      </c>
      <c r="G39" s="100" t="s">
        <v>121</v>
      </c>
      <c r="H39" s="91" t="s">
        <v>120</v>
      </c>
      <c r="T39" s="11" t="s">
        <v>92</v>
      </c>
      <c r="U39" s="132" t="s">
        <v>73</v>
      </c>
      <c r="V39" s="8" t="s">
        <v>14</v>
      </c>
      <c r="W39" s="9">
        <v>1</v>
      </c>
      <c r="X39" s="12">
        <f t="shared" ref="X39" si="9">0.15*I$24</f>
        <v>3092.7783272230918</v>
      </c>
      <c r="Y39" s="13">
        <f t="shared" si="7"/>
        <v>3092.7783272230918</v>
      </c>
    </row>
    <row r="40" spans="1:25" ht="26.25" customHeight="1">
      <c r="A40" s="205" t="s">
        <v>107</v>
      </c>
      <c r="B40" s="205"/>
      <c r="C40" s="205"/>
      <c r="D40" s="205"/>
      <c r="E40" s="205"/>
      <c r="G40" s="101">
        <v>0.42</v>
      </c>
      <c r="H40" s="92">
        <v>7108</v>
      </c>
      <c r="I40" s="40">
        <f>G40*H40</f>
        <v>2985.3599999999997</v>
      </c>
      <c r="J40" s="112">
        <f>D106</f>
        <v>7245</v>
      </c>
      <c r="K40" s="111">
        <f>J40+I40</f>
        <v>10230.36</v>
      </c>
      <c r="T40" s="11" t="s">
        <v>93</v>
      </c>
      <c r="U40" s="132" t="s">
        <v>74</v>
      </c>
      <c r="V40" s="8" t="s">
        <v>14</v>
      </c>
      <c r="W40" s="9">
        <v>1</v>
      </c>
      <c r="X40" s="12">
        <f>0.1*I$24</f>
        <v>2061.8522181487278</v>
      </c>
      <c r="Y40" s="13">
        <f t="shared" si="7"/>
        <v>2061.8522181487278</v>
      </c>
    </row>
    <row r="41" spans="1:25" ht="15">
      <c r="T41" s="11" t="s">
        <v>94</v>
      </c>
      <c r="U41" s="132" t="s">
        <v>75</v>
      </c>
      <c r="V41" s="8" t="s">
        <v>14</v>
      </c>
      <c r="W41" s="9">
        <v>1</v>
      </c>
      <c r="X41" s="12">
        <f>0.05*I$24</f>
        <v>1030.9261090743639</v>
      </c>
      <c r="Y41" s="13">
        <f t="shared" si="7"/>
        <v>1030.9261090743639</v>
      </c>
    </row>
    <row r="42" spans="1:25" ht="15">
      <c r="I42" s="41">
        <f>I27+I40</f>
        <v>200099.31270527327</v>
      </c>
      <c r="T42" s="11" t="s">
        <v>95</v>
      </c>
      <c r="U42" s="132" t="s">
        <v>116</v>
      </c>
      <c r="V42" s="8" t="s">
        <v>14</v>
      </c>
      <c r="W42" s="9">
        <v>1</v>
      </c>
      <c r="X42" s="12">
        <f>0.2*I$22</f>
        <v>8059.8336137712022</v>
      </c>
      <c r="Y42" s="13">
        <f t="shared" si="7"/>
        <v>8059.8336137712022</v>
      </c>
    </row>
    <row r="43" spans="1:25" ht="15">
      <c r="T43" s="11" t="s">
        <v>96</v>
      </c>
      <c r="U43" s="132" t="s">
        <v>76</v>
      </c>
      <c r="V43" s="8" t="s">
        <v>14</v>
      </c>
      <c r="W43" s="9">
        <v>1</v>
      </c>
      <c r="X43" s="12">
        <f>0.1*I$22</f>
        <v>4029.9168068856011</v>
      </c>
      <c r="Y43" s="13">
        <f t="shared" si="7"/>
        <v>4029.9168068856011</v>
      </c>
    </row>
    <row r="44" spans="1:25" ht="15">
      <c r="T44" s="11" t="s">
        <v>97</v>
      </c>
      <c r="U44" s="132" t="s">
        <v>77</v>
      </c>
      <c r="V44" s="8" t="s">
        <v>14</v>
      </c>
      <c r="W44" s="9">
        <v>1</v>
      </c>
      <c r="X44" s="12">
        <f>0.05*I$22</f>
        <v>2014.9584034428005</v>
      </c>
      <c r="Y44" s="13">
        <f t="shared" si="7"/>
        <v>2014.9584034428005</v>
      </c>
    </row>
    <row r="45" spans="1:25" ht="30">
      <c r="A45" s="36" t="s">
        <v>133</v>
      </c>
      <c r="T45" s="11" t="s">
        <v>98</v>
      </c>
      <c r="U45" s="132" t="s">
        <v>129</v>
      </c>
      <c r="V45" s="15" t="s">
        <v>14</v>
      </c>
      <c r="W45" s="9">
        <v>1</v>
      </c>
      <c r="X45" s="12">
        <f>0.1*I$22</f>
        <v>4029.9168068856011</v>
      </c>
      <c r="Y45" s="13">
        <f t="shared" si="7"/>
        <v>4029.9168068856011</v>
      </c>
    </row>
    <row r="46" spans="1:25" ht="30">
      <c r="A46" s="36" t="s">
        <v>134</v>
      </c>
      <c r="T46" s="11" t="s">
        <v>99</v>
      </c>
      <c r="U46" s="132" t="s">
        <v>109</v>
      </c>
      <c r="V46" s="8" t="s">
        <v>14</v>
      </c>
      <c r="W46" s="9">
        <v>1</v>
      </c>
      <c r="X46" s="12">
        <f>0.6*I23</f>
        <v>14552.477358197999</v>
      </c>
      <c r="Y46" s="13">
        <f t="shared" si="7"/>
        <v>14552.477358197999</v>
      </c>
    </row>
    <row r="47" spans="1:25" ht="15">
      <c r="A47" s="36" t="s">
        <v>152</v>
      </c>
      <c r="T47" s="11" t="s">
        <v>100</v>
      </c>
      <c r="U47" s="132" t="s">
        <v>78</v>
      </c>
      <c r="V47" s="8" t="s">
        <v>14</v>
      </c>
      <c r="W47" s="9">
        <v>1</v>
      </c>
      <c r="X47" s="12">
        <f>0.1*I24</f>
        <v>2061.8522181487278</v>
      </c>
      <c r="Y47" s="13">
        <f t="shared" si="7"/>
        <v>2061.8522181487278</v>
      </c>
    </row>
    <row r="48" spans="1:25" ht="15">
      <c r="A48" s="36" t="s">
        <v>153</v>
      </c>
      <c r="T48" s="11" t="s">
        <v>101</v>
      </c>
      <c r="U48" s="132" t="s">
        <v>79</v>
      </c>
      <c r="V48" s="8" t="s">
        <v>14</v>
      </c>
      <c r="W48" s="9">
        <v>1</v>
      </c>
      <c r="X48" s="12">
        <f>0.06*I$22</f>
        <v>2417.9500841313602</v>
      </c>
      <c r="Y48" s="13">
        <f t="shared" si="7"/>
        <v>2417.9500841313602</v>
      </c>
    </row>
    <row r="49" spans="1:25" ht="15">
      <c r="A49" s="36" t="s">
        <v>154</v>
      </c>
      <c r="T49" s="11" t="s">
        <v>102</v>
      </c>
      <c r="U49" s="132" t="s">
        <v>80</v>
      </c>
      <c r="V49" s="8" t="s">
        <v>14</v>
      </c>
      <c r="W49" s="9">
        <v>1</v>
      </c>
      <c r="X49" s="12">
        <f>0.04*I$22</f>
        <v>1611.9667227542404</v>
      </c>
      <c r="Y49" s="13">
        <f t="shared" si="7"/>
        <v>1611.9667227542404</v>
      </c>
    </row>
    <row r="50" spans="1:25" ht="15">
      <c r="A50" s="36" t="s">
        <v>155</v>
      </c>
      <c r="T50" s="11" t="s">
        <v>103</v>
      </c>
      <c r="U50" s="132" t="s">
        <v>81</v>
      </c>
      <c r="V50" s="8" t="s">
        <v>14</v>
      </c>
      <c r="W50" s="9">
        <v>1</v>
      </c>
      <c r="X50" s="12">
        <f>0.3*I$25</f>
        <v>4477.6853409839996</v>
      </c>
      <c r="Y50" s="13">
        <f t="shared" si="7"/>
        <v>4477.6853409839996</v>
      </c>
    </row>
    <row r="51" spans="1:25" ht="15">
      <c r="A51" s="36" t="s">
        <v>156</v>
      </c>
      <c r="T51" s="11" t="s">
        <v>104</v>
      </c>
      <c r="U51" s="132" t="s">
        <v>110</v>
      </c>
      <c r="V51" s="8" t="s">
        <v>14</v>
      </c>
      <c r="W51" s="9">
        <v>1</v>
      </c>
      <c r="X51" s="12">
        <f t="shared" ref="X51:X53" si="10">0.3*I$25</f>
        <v>4477.6853409839996</v>
      </c>
      <c r="Y51" s="13">
        <f t="shared" si="7"/>
        <v>4477.6853409839996</v>
      </c>
    </row>
    <row r="52" spans="1:25" ht="15">
      <c r="A52" s="36" t="s">
        <v>157</v>
      </c>
      <c r="T52" s="11" t="s">
        <v>105</v>
      </c>
      <c r="U52" s="132" t="s">
        <v>82</v>
      </c>
      <c r="V52" s="8" t="s">
        <v>14</v>
      </c>
      <c r="W52" s="9">
        <v>1</v>
      </c>
      <c r="X52" s="12">
        <f>0.1*I$25</f>
        <v>1492.5617803280002</v>
      </c>
      <c r="Y52" s="13">
        <f t="shared" si="7"/>
        <v>1492.5617803280002</v>
      </c>
    </row>
    <row r="53" spans="1:25" ht="45">
      <c r="A53" s="36" t="s">
        <v>139</v>
      </c>
      <c r="T53" s="11" t="s">
        <v>130</v>
      </c>
      <c r="U53" s="132" t="s">
        <v>128</v>
      </c>
      <c r="V53" s="15" t="s">
        <v>14</v>
      </c>
      <c r="W53" s="9">
        <v>1</v>
      </c>
      <c r="X53" s="12">
        <f t="shared" si="10"/>
        <v>4477.6853409839996</v>
      </c>
      <c r="Y53" s="13">
        <f t="shared" si="7"/>
        <v>4477.6853409839996</v>
      </c>
    </row>
    <row r="54" spans="1:25" ht="15">
      <c r="A54" s="36" t="s">
        <v>140</v>
      </c>
      <c r="T54" s="67"/>
      <c r="U54" s="14"/>
      <c r="V54" s="68"/>
      <c r="W54" s="69"/>
      <c r="X54" s="70"/>
      <c r="Y54" s="71"/>
    </row>
    <row r="55" spans="1:25" ht="15.75">
      <c r="A55" s="36" t="s">
        <v>141</v>
      </c>
      <c r="T55" s="72"/>
      <c r="U55" s="73" t="s">
        <v>17</v>
      </c>
      <c r="V55" s="74"/>
      <c r="W55" s="75"/>
      <c r="X55" s="76"/>
      <c r="Y55" s="77">
        <f>SUM(Y30:Y54)</f>
        <v>115222.48711064678</v>
      </c>
    </row>
    <row r="56" spans="1:25" ht="15">
      <c r="A56" s="36" t="s">
        <v>158</v>
      </c>
      <c r="T56" s="27"/>
      <c r="U56" s="19"/>
      <c r="V56" s="20"/>
      <c r="W56" s="24"/>
      <c r="X56" s="21"/>
      <c r="Y56" s="28"/>
    </row>
    <row r="57" spans="1:25" ht="15.75">
      <c r="A57" s="36" t="s">
        <v>159</v>
      </c>
      <c r="T57" s="27"/>
      <c r="U57" s="29" t="s">
        <v>19</v>
      </c>
      <c r="V57" s="20"/>
      <c r="W57" s="24"/>
      <c r="X57" s="21"/>
      <c r="Y57" s="17">
        <f>+Y19+Y27+Y55</f>
        <v>182188.33490199328</v>
      </c>
    </row>
    <row r="58" spans="1:25" ht="15.75">
      <c r="A58" s="36" t="s">
        <v>160</v>
      </c>
      <c r="T58" s="27"/>
      <c r="U58" s="29" t="s">
        <v>20</v>
      </c>
      <c r="V58" s="20" t="s">
        <v>10</v>
      </c>
      <c r="W58" s="88">
        <v>20.49</v>
      </c>
      <c r="X58" s="21"/>
      <c r="Y58" s="17">
        <f>Y57*W58/100</f>
        <v>37330.389821418423</v>
      </c>
    </row>
    <row r="59" spans="1:25" ht="16.5" thickBot="1">
      <c r="A59" s="36" t="s">
        <v>161</v>
      </c>
      <c r="T59" s="30"/>
      <c r="U59" s="31" t="s">
        <v>21</v>
      </c>
      <c r="V59" s="32"/>
      <c r="W59" s="33"/>
      <c r="X59" s="34"/>
      <c r="Y59" s="35">
        <f>Y57+Y58</f>
        <v>219518.72472341169</v>
      </c>
    </row>
    <row r="60" spans="1:25">
      <c r="A60" s="36" t="s">
        <v>162</v>
      </c>
    </row>
    <row r="61" spans="1:25">
      <c r="A61" s="36" t="s">
        <v>163</v>
      </c>
    </row>
    <row r="62" spans="1:25">
      <c r="A62" s="36" t="s">
        <v>164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198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 t="s">
        <v>188</v>
      </c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93" t="s">
        <v>190</v>
      </c>
      <c r="E88"/>
      <c r="F88"/>
      <c r="G88"/>
      <c r="H88"/>
      <c r="I88"/>
    </row>
    <row r="89" spans="1:9">
      <c r="A89" t="s">
        <v>192</v>
      </c>
      <c r="B89"/>
      <c r="C89" s="94"/>
      <c r="D89" s="94"/>
      <c r="E89"/>
      <c r="F89"/>
      <c r="G89"/>
      <c r="H89"/>
      <c r="I89"/>
    </row>
    <row r="90" spans="1:9">
      <c r="A90" t="s">
        <v>192</v>
      </c>
      <c r="B90"/>
      <c r="C90"/>
      <c r="D90"/>
      <c r="E90"/>
      <c r="F90"/>
      <c r="G90"/>
      <c r="H90"/>
      <c r="I90"/>
    </row>
    <row r="91" spans="1:9">
      <c r="A91" s="108" t="s">
        <v>200</v>
      </c>
      <c r="B91"/>
      <c r="C91" s="104"/>
      <c r="D91" s="104">
        <v>48</v>
      </c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 s="104"/>
      <c r="D93"/>
      <c r="E93"/>
      <c r="F93"/>
      <c r="G93"/>
      <c r="H93"/>
      <c r="I93"/>
    </row>
    <row r="94" spans="1:9">
      <c r="A94"/>
      <c r="B94"/>
      <c r="C94" s="104"/>
      <c r="D94"/>
      <c r="E94"/>
      <c r="F94"/>
      <c r="G94"/>
      <c r="H94"/>
      <c r="I94"/>
    </row>
    <row r="95" spans="1:9">
      <c r="A95"/>
      <c r="B95"/>
      <c r="C95" s="104"/>
      <c r="D95"/>
      <c r="E95"/>
      <c r="F95"/>
      <c r="G95"/>
      <c r="H95"/>
      <c r="I95"/>
    </row>
    <row r="96" spans="1:9">
      <c r="A96"/>
      <c r="B96"/>
      <c r="C96" s="104"/>
      <c r="D96"/>
      <c r="E96"/>
      <c r="F96"/>
      <c r="G96"/>
      <c r="H96"/>
      <c r="I96"/>
    </row>
    <row r="97" spans="1:9">
      <c r="A97"/>
      <c r="B97"/>
      <c r="C97" s="104"/>
      <c r="D97"/>
      <c r="E97"/>
      <c r="F97"/>
      <c r="G97"/>
      <c r="H97"/>
      <c r="I97"/>
    </row>
    <row r="98" spans="1:9">
      <c r="A98" t="s">
        <v>194</v>
      </c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 s="108" t="s">
        <v>199</v>
      </c>
      <c r="B100"/>
      <c r="C100"/>
      <c r="D100" s="105">
        <f>D91*120</f>
        <v>5760</v>
      </c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 t="s">
        <v>195</v>
      </c>
      <c r="B102"/>
      <c r="C102" s="104"/>
      <c r="D102" s="104">
        <v>495</v>
      </c>
      <c r="E102" s="104"/>
      <c r="F102"/>
      <c r="G102"/>
      <c r="H102"/>
      <c r="I102"/>
    </row>
    <row r="103" spans="1:9">
      <c r="A103"/>
      <c r="B103"/>
      <c r="C103" s="104"/>
      <c r="D103"/>
      <c r="E103"/>
      <c r="F103"/>
      <c r="G103"/>
      <c r="H103"/>
      <c r="I103"/>
    </row>
    <row r="104" spans="1:9">
      <c r="A104" t="s">
        <v>196</v>
      </c>
      <c r="B104"/>
      <c r="C104" s="104"/>
      <c r="D104">
        <f>D102*3</f>
        <v>1485</v>
      </c>
      <c r="E104"/>
      <c r="F104"/>
      <c r="G104"/>
      <c r="H104"/>
      <c r="I104"/>
    </row>
    <row r="105" spans="1:9">
      <c r="A105"/>
      <c r="B105"/>
      <c r="C105" s="104"/>
      <c r="D105"/>
      <c r="E105"/>
      <c r="F105"/>
      <c r="G105"/>
      <c r="H105"/>
      <c r="I105"/>
    </row>
    <row r="106" spans="1:9">
      <c r="A106"/>
      <c r="B106"/>
      <c r="C106" s="104"/>
      <c r="D106" s="110">
        <f>D100+D104</f>
        <v>7245</v>
      </c>
      <c r="E106"/>
      <c r="F106"/>
      <c r="G106"/>
      <c r="H106"/>
      <c r="I106"/>
    </row>
    <row r="107" spans="1:9">
      <c r="A107"/>
      <c r="B107"/>
      <c r="C107" s="106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 s="107"/>
      <c r="E112"/>
      <c r="F112"/>
      <c r="G112"/>
      <c r="H112"/>
      <c r="I112"/>
    </row>
  </sheetData>
  <mergeCells count="21">
    <mergeCell ref="I12:Q12"/>
    <mergeCell ref="I7:Q7"/>
    <mergeCell ref="I8:Q8"/>
    <mergeCell ref="I9:Q9"/>
    <mergeCell ref="I10:Q10"/>
    <mergeCell ref="I11:Q11"/>
    <mergeCell ref="A64:I64"/>
    <mergeCell ref="A34:I34"/>
    <mergeCell ref="A40:E40"/>
    <mergeCell ref="A16:B16"/>
    <mergeCell ref="B30:C30"/>
    <mergeCell ref="C31:D31"/>
    <mergeCell ref="C32:D32"/>
    <mergeCell ref="I32:K32"/>
    <mergeCell ref="A33:I33"/>
    <mergeCell ref="T2:Y2"/>
    <mergeCell ref="T3:Y3"/>
    <mergeCell ref="T4:W4"/>
    <mergeCell ref="X4:Y4"/>
    <mergeCell ref="T5:W5"/>
    <mergeCell ref="X5:Y5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4" max="30" man="1"/>
    <brk id="10" max="1048575" man="1"/>
  </col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topLeftCell="A67" workbookViewId="0">
      <selection activeCell="I22" sqref="I22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1491.42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>
        <v>512.72</v>
      </c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>
        <v>63</v>
      </c>
      <c r="C4" s="40">
        <v>63</v>
      </c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2067.1400000000003</v>
      </c>
      <c r="C5" s="103">
        <f>SUM(C2:C4)</f>
        <v>1554.42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99" t="s">
        <v>23</v>
      </c>
      <c r="E7" s="99" t="s">
        <v>24</v>
      </c>
      <c r="H7" s="99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99" t="s">
        <v>25</v>
      </c>
      <c r="B8" s="99" t="s">
        <v>26</v>
      </c>
      <c r="C8" s="143" t="s">
        <v>214</v>
      </c>
      <c r="D8" s="61" t="s">
        <v>43</v>
      </c>
      <c r="E8" s="61" t="s">
        <v>215</v>
      </c>
      <c r="G8" s="99"/>
      <c r="H8" s="78" t="s">
        <v>215</v>
      </c>
      <c r="I8" s="99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1876.4259999999999</v>
      </c>
      <c r="D9" s="40">
        <f t="shared" ref="D9:D14" si="0">B9*C9</f>
        <v>37.52852</v>
      </c>
      <c r="E9" s="41">
        <f t="shared" ref="E9:E14" si="1">B9*C9*$C$18</f>
        <v>77576.704832800009</v>
      </c>
      <c r="H9" s="41">
        <f t="shared" ref="H9:H14" si="2">B9*C9*$H$18</f>
        <v>58218.45842964801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0</v>
      </c>
      <c r="X9" s="12">
        <f>0.25*I21+K41</f>
        <v>26597.054607411999</v>
      </c>
      <c r="Y9" s="13">
        <f>W9*X9</f>
        <v>0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1876.4259999999999</v>
      </c>
      <c r="D10" s="40">
        <f t="shared" si="0"/>
        <v>11.258555999999999</v>
      </c>
      <c r="E10" s="41">
        <f t="shared" si="1"/>
        <v>23273.01144984</v>
      </c>
      <c r="H10" s="41">
        <f t="shared" si="2"/>
        <v>17465.537528894401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7277.3073037060012</v>
      </c>
      <c r="Y10" s="13">
        <f t="shared" ref="Y10:Y18" si="4">W10*X10</f>
        <v>7277.3073037060012</v>
      </c>
    </row>
    <row r="11" spans="1:25" ht="15">
      <c r="A11" s="36" t="s">
        <v>28</v>
      </c>
      <c r="B11" s="90">
        <v>1.0800000000000001E-2</v>
      </c>
      <c r="C11" s="40">
        <f t="shared" si="3"/>
        <v>1876.4259999999999</v>
      </c>
      <c r="D11" s="40">
        <f t="shared" si="0"/>
        <v>20.265400800000002</v>
      </c>
      <c r="E11" s="41">
        <f t="shared" si="1"/>
        <v>41891.420609712011</v>
      </c>
      <c r="H11" s="41">
        <f t="shared" si="2"/>
        <v>31437.967552009926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4657.476674371841</v>
      </c>
      <c r="Y11" s="13">
        <f t="shared" si="4"/>
        <v>4657.476674371841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1876.4259999999999</v>
      </c>
      <c r="D12" s="40">
        <f t="shared" si="0"/>
        <v>12.196769</v>
      </c>
      <c r="E12" s="41">
        <f t="shared" si="1"/>
        <v>25212.429070660004</v>
      </c>
      <c r="H12" s="41">
        <f t="shared" si="2"/>
        <v>18920.998989635602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2619.8306293341602</v>
      </c>
      <c r="Y12" s="13">
        <f t="shared" si="4"/>
        <v>2619.8306293341602</v>
      </c>
    </row>
    <row r="13" spans="1:25" ht="15">
      <c r="A13" s="36" t="s">
        <v>30</v>
      </c>
      <c r="B13" s="90">
        <v>4.7000000000000002E-3</v>
      </c>
      <c r="C13" s="40">
        <f t="shared" si="3"/>
        <v>1876.4259999999999</v>
      </c>
      <c r="D13" s="40">
        <f t="shared" si="0"/>
        <v>8.8192021999999994</v>
      </c>
      <c r="E13" s="41">
        <f t="shared" si="1"/>
        <v>18230.525635708003</v>
      </c>
      <c r="H13" s="41">
        <f>B13*C13*$H$19</f>
        <v>15030.67566756728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2254.6013501350922</v>
      </c>
      <c r="Y13" s="13">
        <f t="shared" si="4"/>
        <v>2254.6013501350922</v>
      </c>
    </row>
    <row r="14" spans="1:25" ht="30">
      <c r="A14" s="36" t="s">
        <v>31</v>
      </c>
      <c r="B14" s="90">
        <v>4.0000000000000001E-3</v>
      </c>
      <c r="C14" s="40">
        <f t="shared" si="3"/>
        <v>1876.4259999999999</v>
      </c>
      <c r="D14" s="40">
        <f t="shared" si="0"/>
        <v>7.5057039999999997</v>
      </c>
      <c r="E14" s="41">
        <f t="shared" si="1"/>
        <v>15515.340966560001</v>
      </c>
      <c r="H14" s="41">
        <f t="shared" si="2"/>
        <v>11643.691685929602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6287.5935104019854</v>
      </c>
      <c r="Y14" s="13">
        <f t="shared" si="4"/>
        <v>6287.5935104019854</v>
      </c>
    </row>
    <row r="15" spans="1:25" ht="30">
      <c r="D15" s="42">
        <f>SUM(D9:D14)</f>
        <v>97.574151999999984</v>
      </c>
      <c r="E15" s="42">
        <f>SUM(E9:E14)</f>
        <v>201699.43256528003</v>
      </c>
      <c r="H15" s="42">
        <f>SUM(H9:H14)</f>
        <v>152717.32985368482</v>
      </c>
      <c r="I15" s="97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1571.8983776004964</v>
      </c>
      <c r="Y15" s="13">
        <f t="shared" si="4"/>
        <v>1571.8983776004964</v>
      </c>
    </row>
    <row r="16" spans="1:25" ht="30">
      <c r="E16" s="41">
        <f>E15/C18</f>
        <v>97.574151999999998</v>
      </c>
      <c r="H16" s="41">
        <f>H15/C18</f>
        <v>73.878561613477942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7568.3995958542409</v>
      </c>
      <c r="Y16" s="13">
        <f t="shared" si="4"/>
        <v>7568.3995958542409</v>
      </c>
    </row>
    <row r="17" spans="1:25" ht="30">
      <c r="E17" s="43">
        <f>D15/1200</f>
        <v>8.1311793333333326E-2</v>
      </c>
      <c r="H17" s="43">
        <f>H16/1200</f>
        <v>6.1565468011231618E-2</v>
      </c>
      <c r="I17" s="43">
        <f>H16/1840</f>
        <v>4.0151392181238012E-2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2254.6013501350922</v>
      </c>
      <c r="Y17" s="13">
        <f t="shared" si="4"/>
        <v>2254.6013501350922</v>
      </c>
    </row>
    <row r="18" spans="1:25" ht="15">
      <c r="A18" s="206" t="s">
        <v>44</v>
      </c>
      <c r="B18" s="206"/>
      <c r="C18" s="62">
        <f>B5</f>
        <v>2067.1400000000003</v>
      </c>
      <c r="G18" s="98" t="s">
        <v>45</v>
      </c>
      <c r="H18" s="45">
        <f>(300+(500*0.83)+(C18-800)*0.66)</f>
        <v>1551.3124000000003</v>
      </c>
      <c r="I18" s="40">
        <f>H18/C18</f>
        <v>0.75046315198777058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1571.8983776004964</v>
      </c>
      <c r="Y18" s="13">
        <f t="shared" si="4"/>
        <v>1571.8983776004964</v>
      </c>
    </row>
    <row r="19" spans="1:25" ht="15">
      <c r="A19" s="138" t="s">
        <v>217</v>
      </c>
      <c r="B19" s="46">
        <v>41487</v>
      </c>
      <c r="C19" s="59">
        <v>1103.78</v>
      </c>
      <c r="G19" s="98" t="s">
        <v>48</v>
      </c>
      <c r="H19" s="45">
        <f>(500+(1000*0.83)+(C18-1500)*0.66)</f>
        <v>1704.3124000000003</v>
      </c>
      <c r="I19" s="40">
        <f>H19/C18</f>
        <v>0.82447845815958276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36063.607169139403</v>
      </c>
    </row>
    <row r="21" spans="1:25" ht="15">
      <c r="H21" s="60" t="s">
        <v>27</v>
      </c>
      <c r="I21" s="47">
        <f t="shared" ref="I21:I26" si="5">H9</f>
        <v>58218.45842964801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17465.537528894401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31437.967552009926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18920.998989635602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8732.7687644472026</v>
      </c>
      <c r="Y24" s="13">
        <f>W24*X24</f>
        <v>8732.7687644472026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15030.67566756728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4715.6951328014884</v>
      </c>
      <c r="Y25" s="13">
        <f t="shared" ref="Y25:Y26" si="6">W25*X25</f>
        <v>4715.6951328014884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11643.691685929602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2254.6013501350922</v>
      </c>
      <c r="Y26" s="13">
        <f t="shared" si="6"/>
        <v>2254.6013501350922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152717.32985368482</v>
      </c>
      <c r="J28" s="41"/>
      <c r="T28" s="11"/>
      <c r="U28" s="64" t="s">
        <v>17</v>
      </c>
      <c r="V28" s="8"/>
      <c r="W28" s="9"/>
      <c r="X28" s="16"/>
      <c r="Y28" s="17">
        <f>SUM(Y24:Y27)</f>
        <v>15703.065247383782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98" t="s">
        <v>49</v>
      </c>
      <c r="I30" s="42">
        <f>I28/C18</f>
        <v>73.878561613477942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14845.706899560242</v>
      </c>
      <c r="Y31" s="13">
        <f>W31*X31</f>
        <v>14845.706899560242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2328.7383371859205</v>
      </c>
      <c r="Y32" s="13">
        <f t="shared" ref="Y32:Y54" si="7">W32*X32</f>
        <v>2328.7383371859205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2328.7383371859205</v>
      </c>
      <c r="Y33" s="13">
        <f t="shared" si="7"/>
        <v>2328.7383371859205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3493.1075057788803</v>
      </c>
      <c r="Y34" s="13">
        <f t="shared" si="7"/>
        <v>3493.1075057788803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4366.3843822236004</v>
      </c>
      <c r="Y35" s="13">
        <f t="shared" si="7"/>
        <v>4366.3843822236004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2910.9229214824009</v>
      </c>
      <c r="Y36" s="13">
        <f t="shared" si="7"/>
        <v>2910.9229214824009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5239.6612586683204</v>
      </c>
      <c r="Y37" s="13">
        <f t="shared" si="7"/>
        <v>5239.6612586683204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5239.6612586683204</v>
      </c>
      <c r="Y38" s="13">
        <f t="shared" si="7"/>
        <v>5239.6612586683204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2254.6013501350922</v>
      </c>
      <c r="Y39" s="13">
        <f t="shared" si="7"/>
        <v>2254.6013501350922</v>
      </c>
    </row>
    <row r="40" spans="1:25" ht="15">
      <c r="A40" s="89" t="s">
        <v>211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2254.6013501350922</v>
      </c>
      <c r="Y40" s="13">
        <f t="shared" si="7"/>
        <v>2254.6013501350922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0.43</v>
      </c>
      <c r="H41" s="92">
        <v>8404</v>
      </c>
      <c r="I41" s="40">
        <f>G41*H41</f>
        <v>3613.72</v>
      </c>
      <c r="J41" s="112">
        <f>I41+D99</f>
        <v>8428.7199999999993</v>
      </c>
      <c r="K41" s="111">
        <f>J41+I41</f>
        <v>12042.439999999999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1503.0675667567282</v>
      </c>
      <c r="Y41" s="13">
        <f t="shared" si="7"/>
        <v>1503.0675667567282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751.53378337836409</v>
      </c>
      <c r="Y42" s="13">
        <f t="shared" si="7"/>
        <v>751.53378337836409</v>
      </c>
    </row>
    <row r="43" spans="1:25" ht="15">
      <c r="I43" s="41">
        <f>I28+J41</f>
        <v>161146.04985368482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6287.5935104019854</v>
      </c>
      <c r="Y43" s="13">
        <f t="shared" si="7"/>
        <v>6287.5935104019854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3143.7967552009927</v>
      </c>
      <c r="Y44" s="13">
        <f t="shared" si="7"/>
        <v>3143.7967552009927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1571.8983776004964</v>
      </c>
      <c r="Y45" s="13">
        <f t="shared" si="7"/>
        <v>1571.8983776004964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3143.7967552009927</v>
      </c>
      <c r="Y46" s="13">
        <f t="shared" si="7"/>
        <v>3143.7967552009927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11352.59939378136</v>
      </c>
      <c r="Y47" s="13">
        <f t="shared" si="7"/>
        <v>11352.59939378136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1503.0675667567282</v>
      </c>
      <c r="Y48" s="13">
        <f t="shared" si="7"/>
        <v>1503.0675667567282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1886.2780531205956</v>
      </c>
      <c r="Y49" s="13">
        <f t="shared" si="7"/>
        <v>1886.2780531205956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1257.5187020803971</v>
      </c>
      <c r="Y50" s="13">
        <f t="shared" si="7"/>
        <v>1257.5187020803971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3493.1075057788803</v>
      </c>
      <c r="Y51" s="13">
        <f t="shared" si="7"/>
        <v>3493.1075057788803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3493.1075057788803</v>
      </c>
      <c r="Y52" s="13">
        <f t="shared" si="7"/>
        <v>3493.1075057788803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1164.3691685929602</v>
      </c>
      <c r="Y53" s="13">
        <f t="shared" si="7"/>
        <v>1164.3691685929602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3493.1075057788803</v>
      </c>
      <c r="Y54" s="13">
        <f t="shared" si="7"/>
        <v>3493.1075057788803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89306.965751232041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141073.63816775521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28905.98846057304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169979.62662832826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48</v>
      </c>
      <c r="E88"/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4320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4815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I14:Q14"/>
    <mergeCell ref="I9:Q9"/>
    <mergeCell ref="I10:Q10"/>
    <mergeCell ref="I11:Q11"/>
    <mergeCell ref="I12:Q12"/>
    <mergeCell ref="I13:Q13"/>
    <mergeCell ref="A64:I64"/>
    <mergeCell ref="A35:I35"/>
    <mergeCell ref="A41:E41"/>
    <mergeCell ref="A18:B18"/>
    <mergeCell ref="B31:C31"/>
    <mergeCell ref="C32:D32"/>
    <mergeCell ref="C33:D33"/>
    <mergeCell ref="I33:K33"/>
    <mergeCell ref="A34:I34"/>
    <mergeCell ref="T2:Y2"/>
    <mergeCell ref="T4:Y4"/>
    <mergeCell ref="T5:W5"/>
    <mergeCell ref="X5:Y5"/>
    <mergeCell ref="T6:W6"/>
    <mergeCell ref="X6:Y6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topLeftCell="A79" workbookViewId="0">
      <selection activeCell="J41" sqref="J41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1491.42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>
        <v>512.72</v>
      </c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>
        <v>63</v>
      </c>
      <c r="C4" s="40">
        <v>63</v>
      </c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2067.1400000000003</v>
      </c>
      <c r="C5" s="103">
        <f>SUM(C2:C4)</f>
        <v>1554.42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141" t="s">
        <v>23</v>
      </c>
      <c r="E7" s="141" t="s">
        <v>24</v>
      </c>
      <c r="H7" s="141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141" t="s">
        <v>25</v>
      </c>
      <c r="B8" s="141" t="s">
        <v>26</v>
      </c>
      <c r="C8" s="143" t="s">
        <v>214</v>
      </c>
      <c r="D8" s="61" t="s">
        <v>43</v>
      </c>
      <c r="E8" s="61" t="s">
        <v>215</v>
      </c>
      <c r="G8" s="141"/>
      <c r="H8" s="78" t="s">
        <v>215</v>
      </c>
      <c r="I8" s="141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1876.4259999999999</v>
      </c>
      <c r="D9" s="40">
        <f t="shared" ref="D9:D14" si="0">B9*C9</f>
        <v>37.52852</v>
      </c>
      <c r="E9" s="41">
        <f t="shared" ref="E9:E14" si="1">B9*C9*$C$18</f>
        <v>77576.704832800009</v>
      </c>
      <c r="H9" s="41">
        <f t="shared" ref="H9:H14" si="2">B9*C9*$H$18</f>
        <v>58218.45842964801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1</v>
      </c>
      <c r="X9" s="12">
        <f>0.25*I21+K41</f>
        <v>32046.607807412001</v>
      </c>
      <c r="Y9" s="13">
        <f>W9*X9</f>
        <v>32046.607807412001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1876.4259999999999</v>
      </c>
      <c r="D10" s="40">
        <f t="shared" si="0"/>
        <v>11.258555999999999</v>
      </c>
      <c r="E10" s="41">
        <f t="shared" si="1"/>
        <v>23273.01144984</v>
      </c>
      <c r="H10" s="41">
        <f t="shared" si="2"/>
        <v>17465.537528894401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7277.3073037060012</v>
      </c>
      <c r="Y10" s="13">
        <f t="shared" ref="Y10:Y18" si="4">W10*X10</f>
        <v>7277.3073037060012</v>
      </c>
    </row>
    <row r="11" spans="1:25" ht="15">
      <c r="A11" s="36" t="s">
        <v>28</v>
      </c>
      <c r="B11" s="90">
        <v>1.0800000000000001E-2</v>
      </c>
      <c r="C11" s="40">
        <f t="shared" si="3"/>
        <v>1876.4259999999999</v>
      </c>
      <c r="D11" s="40">
        <f t="shared" si="0"/>
        <v>20.265400800000002</v>
      </c>
      <c r="E11" s="41">
        <f t="shared" si="1"/>
        <v>41891.420609712011</v>
      </c>
      <c r="H11" s="41">
        <f t="shared" si="2"/>
        <v>31437.967552009926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4657.476674371841</v>
      </c>
      <c r="Y11" s="13">
        <f t="shared" si="4"/>
        <v>4657.476674371841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1876.4259999999999</v>
      </c>
      <c r="D12" s="40">
        <f t="shared" si="0"/>
        <v>12.196769</v>
      </c>
      <c r="E12" s="41">
        <f t="shared" si="1"/>
        <v>25212.429070660004</v>
      </c>
      <c r="H12" s="41">
        <f t="shared" si="2"/>
        <v>18920.998989635602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2619.8306293341602</v>
      </c>
      <c r="Y12" s="13">
        <f t="shared" si="4"/>
        <v>2619.8306293341602</v>
      </c>
    </row>
    <row r="13" spans="1:25" ht="15">
      <c r="A13" s="36" t="s">
        <v>30</v>
      </c>
      <c r="B13" s="90">
        <v>4.7000000000000002E-3</v>
      </c>
      <c r="C13" s="40">
        <f t="shared" si="3"/>
        <v>1876.4259999999999</v>
      </c>
      <c r="D13" s="40">
        <f t="shared" si="0"/>
        <v>8.8192021999999994</v>
      </c>
      <c r="E13" s="41">
        <f t="shared" si="1"/>
        <v>18230.525635708003</v>
      </c>
      <c r="H13" s="41">
        <f>B13*C13*$H$19</f>
        <v>15030.67566756728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2254.6013501350922</v>
      </c>
      <c r="Y13" s="13">
        <f t="shared" si="4"/>
        <v>2254.6013501350922</v>
      </c>
    </row>
    <row r="14" spans="1:25" ht="30">
      <c r="A14" s="36" t="s">
        <v>31</v>
      </c>
      <c r="B14" s="90">
        <v>4.0000000000000001E-3</v>
      </c>
      <c r="C14" s="40">
        <f t="shared" si="3"/>
        <v>1876.4259999999999</v>
      </c>
      <c r="D14" s="40">
        <f t="shared" si="0"/>
        <v>7.5057039999999997</v>
      </c>
      <c r="E14" s="41">
        <f t="shared" si="1"/>
        <v>15515.340966560001</v>
      </c>
      <c r="H14" s="41">
        <f t="shared" si="2"/>
        <v>11643.691685929602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6287.5935104019854</v>
      </c>
      <c r="Y14" s="13">
        <f t="shared" si="4"/>
        <v>6287.5935104019854</v>
      </c>
    </row>
    <row r="15" spans="1:25" ht="30">
      <c r="D15" s="42">
        <f>SUM(D9:D14)</f>
        <v>97.574151999999984</v>
      </c>
      <c r="E15" s="42">
        <f>SUM(E9:E14)</f>
        <v>201699.43256528003</v>
      </c>
      <c r="H15" s="42">
        <f>SUM(H9:H14)</f>
        <v>152717.32985368482</v>
      </c>
      <c r="I15" s="139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1571.8983776004964</v>
      </c>
      <c r="Y15" s="13">
        <f t="shared" si="4"/>
        <v>1571.8983776004964</v>
      </c>
    </row>
    <row r="16" spans="1:25" ht="30">
      <c r="E16" s="41">
        <f>E15/C18</f>
        <v>97.574151999999998</v>
      </c>
      <c r="H16" s="41">
        <f>H15/C18</f>
        <v>73.878561613477942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7568.3995958542409</v>
      </c>
      <c r="Y16" s="13">
        <f t="shared" si="4"/>
        <v>7568.3995958542409</v>
      </c>
    </row>
    <row r="17" spans="1:25" ht="30">
      <c r="E17" s="43">
        <f>D15/1200</f>
        <v>8.1311793333333326E-2</v>
      </c>
      <c r="H17" s="43">
        <f>H16/1200</f>
        <v>6.1565468011231618E-2</v>
      </c>
      <c r="I17" s="43">
        <f>H16/1840</f>
        <v>4.0151392181238012E-2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2254.6013501350922</v>
      </c>
      <c r="Y17" s="13">
        <f t="shared" si="4"/>
        <v>2254.6013501350922</v>
      </c>
    </row>
    <row r="18" spans="1:25" ht="15">
      <c r="A18" s="206" t="s">
        <v>44</v>
      </c>
      <c r="B18" s="206"/>
      <c r="C18" s="62">
        <f>B5</f>
        <v>2067.1400000000003</v>
      </c>
      <c r="G18" s="142" t="s">
        <v>45</v>
      </c>
      <c r="H18" s="45">
        <f>(300+(500*0.83)+(C18-800)*0.66)</f>
        <v>1551.3124000000003</v>
      </c>
      <c r="I18" s="40">
        <f>H18/C18</f>
        <v>0.75046315198777058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1571.8983776004964</v>
      </c>
      <c r="Y18" s="13">
        <f t="shared" si="4"/>
        <v>1571.8983776004964</v>
      </c>
    </row>
    <row r="19" spans="1:25" ht="15">
      <c r="A19" s="142" t="s">
        <v>217</v>
      </c>
      <c r="B19" s="46">
        <v>41487</v>
      </c>
      <c r="C19" s="59">
        <v>1103.78</v>
      </c>
      <c r="G19" s="142" t="s">
        <v>48</v>
      </c>
      <c r="H19" s="45">
        <f>(500+(1000*0.83)+(C18-1500)*0.66)</f>
        <v>1704.3124000000003</v>
      </c>
      <c r="I19" s="40">
        <f>H19/C18</f>
        <v>0.82447845815958276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68110.214976551404</v>
      </c>
    </row>
    <row r="21" spans="1:25" ht="15">
      <c r="H21" s="60" t="s">
        <v>27</v>
      </c>
      <c r="I21" s="47">
        <f t="shared" ref="I21:I26" si="5">H9</f>
        <v>58218.45842964801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17465.537528894401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31437.967552009926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18920.998989635602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8732.7687644472026</v>
      </c>
      <c r="Y24" s="13">
        <f>W24*X24</f>
        <v>8732.7687644472026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15030.67566756728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4715.6951328014884</v>
      </c>
      <c r="Y25" s="13">
        <f t="shared" ref="Y25:Y26" si="6">W25*X25</f>
        <v>4715.6951328014884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11643.691685929602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2254.6013501350922</v>
      </c>
      <c r="Y26" s="13">
        <f t="shared" si="6"/>
        <v>2254.6013501350922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152717.32985368482</v>
      </c>
      <c r="J28" s="41"/>
      <c r="T28" s="11"/>
      <c r="U28" s="64" t="s">
        <v>17</v>
      </c>
      <c r="V28" s="8"/>
      <c r="W28" s="9"/>
      <c r="X28" s="16"/>
      <c r="Y28" s="17">
        <f>SUM(Y24:Y27)</f>
        <v>15703.065247383782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142" t="s">
        <v>49</v>
      </c>
      <c r="I30" s="42">
        <f>I28/C18</f>
        <v>73.878561613477942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14845.706899560242</v>
      </c>
      <c r="Y31" s="13">
        <f>W31*X31</f>
        <v>14845.706899560242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2328.7383371859205</v>
      </c>
      <c r="Y32" s="13">
        <f t="shared" ref="Y32:Y54" si="7">W32*X32</f>
        <v>2328.7383371859205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2328.7383371859205</v>
      </c>
      <c r="Y33" s="13">
        <f t="shared" si="7"/>
        <v>2328.7383371859205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3493.1075057788803</v>
      </c>
      <c r="Y34" s="13">
        <f t="shared" si="7"/>
        <v>3493.1075057788803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4366.3843822236004</v>
      </c>
      <c r="Y35" s="13">
        <f t="shared" si="7"/>
        <v>4366.3843822236004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2910.9229214824009</v>
      </c>
      <c r="Y36" s="13">
        <f t="shared" si="7"/>
        <v>2910.9229214824009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5239.6612586683204</v>
      </c>
      <c r="Y37" s="13">
        <f t="shared" si="7"/>
        <v>5239.6612586683204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5239.6612586683204</v>
      </c>
      <c r="Y38" s="13">
        <f t="shared" si="7"/>
        <v>5239.6612586683204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2254.6013501350922</v>
      </c>
      <c r="Y39" s="13">
        <f t="shared" si="7"/>
        <v>2254.6013501350922</v>
      </c>
    </row>
    <row r="40" spans="1:25" ht="15">
      <c r="A40" s="89" t="s">
        <v>234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2254.6013501350922</v>
      </c>
      <c r="Y40" s="13">
        <f t="shared" si="7"/>
        <v>2254.6013501350922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0.39</v>
      </c>
      <c r="H41" s="92">
        <v>16367.94</v>
      </c>
      <c r="I41" s="40">
        <f>G41*H41</f>
        <v>6383.4966000000004</v>
      </c>
      <c r="J41" s="112">
        <f>I41+D99</f>
        <v>11108.4966</v>
      </c>
      <c r="K41" s="111">
        <f>J41+I41</f>
        <v>17491.993200000001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1503.0675667567282</v>
      </c>
      <c r="Y41" s="13">
        <f t="shared" si="7"/>
        <v>1503.0675667567282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751.53378337836409</v>
      </c>
      <c r="Y42" s="13">
        <f t="shared" si="7"/>
        <v>751.53378337836409</v>
      </c>
    </row>
    <row r="43" spans="1:25" ht="15">
      <c r="I43" s="41">
        <f>I28+J41</f>
        <v>163825.82645368483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6287.5935104019854</v>
      </c>
      <c r="Y43" s="13">
        <f t="shared" si="7"/>
        <v>6287.5935104019854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3143.7967552009927</v>
      </c>
      <c r="Y44" s="13">
        <f t="shared" si="7"/>
        <v>3143.7967552009927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1571.8983776004964</v>
      </c>
      <c r="Y45" s="13">
        <f t="shared" si="7"/>
        <v>1571.8983776004964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3143.7967552009927</v>
      </c>
      <c r="Y46" s="13">
        <f t="shared" si="7"/>
        <v>3143.7967552009927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11352.59939378136</v>
      </c>
      <c r="Y47" s="13">
        <f t="shared" si="7"/>
        <v>11352.59939378136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1503.0675667567282</v>
      </c>
      <c r="Y48" s="13">
        <f t="shared" si="7"/>
        <v>1503.0675667567282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1886.2780531205956</v>
      </c>
      <c r="Y49" s="13">
        <f t="shared" si="7"/>
        <v>1886.2780531205956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1257.5187020803971</v>
      </c>
      <c r="Y50" s="13">
        <f t="shared" si="7"/>
        <v>1257.5187020803971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3493.1075057788803</v>
      </c>
      <c r="Y51" s="13">
        <f t="shared" si="7"/>
        <v>3493.1075057788803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3493.1075057788803</v>
      </c>
      <c r="Y52" s="13">
        <f t="shared" si="7"/>
        <v>3493.1075057788803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1164.3691685929602</v>
      </c>
      <c r="Y53" s="13">
        <f t="shared" si="7"/>
        <v>1164.3691685929602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3493.1075057788803</v>
      </c>
      <c r="Y54" s="13">
        <f t="shared" si="7"/>
        <v>3493.1075057788803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89306.965751232041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173120.24597516723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35472.338400311761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208592.584375479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47</v>
      </c>
      <c r="E88" s="108" t="s">
        <v>235</v>
      </c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4230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4725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A35:I35"/>
    <mergeCell ref="A41:E41"/>
    <mergeCell ref="A64:I64"/>
    <mergeCell ref="A18:B18"/>
    <mergeCell ref="B31:C31"/>
    <mergeCell ref="C32:D32"/>
    <mergeCell ref="C33:D33"/>
    <mergeCell ref="I33:K33"/>
    <mergeCell ref="A34:I34"/>
    <mergeCell ref="I14:Q14"/>
    <mergeCell ref="T2:Y2"/>
    <mergeCell ref="T4:Y4"/>
    <mergeCell ref="T5:W5"/>
    <mergeCell ref="X5:Y5"/>
    <mergeCell ref="T6:W6"/>
    <mergeCell ref="X6:Y6"/>
    <mergeCell ref="I9:Q9"/>
    <mergeCell ref="I10:Q10"/>
    <mergeCell ref="I11:Q11"/>
    <mergeCell ref="I12:Q12"/>
    <mergeCell ref="I13:Q13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workbookViewId="0">
      <selection activeCell="G42" sqref="G42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1491.42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>
        <v>512.72</v>
      </c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>
        <v>63</v>
      </c>
      <c r="C4" s="40">
        <v>63</v>
      </c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2067.1400000000003</v>
      </c>
      <c r="C5" s="103">
        <f>SUM(C2:C4)</f>
        <v>1554.42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141" t="s">
        <v>23</v>
      </c>
      <c r="E7" s="141" t="s">
        <v>24</v>
      </c>
      <c r="H7" s="141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141" t="s">
        <v>25</v>
      </c>
      <c r="B8" s="141" t="s">
        <v>26</v>
      </c>
      <c r="C8" s="143" t="s">
        <v>214</v>
      </c>
      <c r="D8" s="61" t="s">
        <v>43</v>
      </c>
      <c r="E8" s="61" t="s">
        <v>215</v>
      </c>
      <c r="G8" s="141"/>
      <c r="H8" s="78" t="s">
        <v>215</v>
      </c>
      <c r="I8" s="141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1876.4259999999999</v>
      </c>
      <c r="D9" s="40">
        <f t="shared" ref="D9:D14" si="0">B9*C9</f>
        <v>37.52852</v>
      </c>
      <c r="E9" s="41">
        <f t="shared" ref="E9:E14" si="1">B9*C9*$C$18</f>
        <v>77576.704832800009</v>
      </c>
      <c r="H9" s="41">
        <f t="shared" ref="H9:H14" si="2">B9*C9*$H$18</f>
        <v>58218.45842964801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0</v>
      </c>
      <c r="X9" s="12">
        <f>0.25*I21+K41</f>
        <v>20917.614607412004</v>
      </c>
      <c r="Y9" s="13">
        <f>W9*X9</f>
        <v>0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1876.4259999999999</v>
      </c>
      <c r="D10" s="40">
        <f t="shared" si="0"/>
        <v>11.258555999999999</v>
      </c>
      <c r="E10" s="41">
        <f t="shared" si="1"/>
        <v>23273.01144984</v>
      </c>
      <c r="H10" s="41">
        <f t="shared" si="2"/>
        <v>17465.537528894401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7277.3073037060012</v>
      </c>
      <c r="Y10" s="13">
        <f t="shared" ref="Y10:Y18" si="4">W10*X10</f>
        <v>7277.3073037060012</v>
      </c>
    </row>
    <row r="11" spans="1:25" ht="15">
      <c r="A11" s="36" t="s">
        <v>28</v>
      </c>
      <c r="B11" s="90">
        <v>1.0800000000000001E-2</v>
      </c>
      <c r="C11" s="40">
        <f t="shared" si="3"/>
        <v>1876.4259999999999</v>
      </c>
      <c r="D11" s="40">
        <f t="shared" si="0"/>
        <v>20.265400800000002</v>
      </c>
      <c r="E11" s="41">
        <f t="shared" si="1"/>
        <v>41891.420609712011</v>
      </c>
      <c r="H11" s="41">
        <f t="shared" si="2"/>
        <v>31437.967552009926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4657.476674371841</v>
      </c>
      <c r="Y11" s="13">
        <f t="shared" si="4"/>
        <v>4657.476674371841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1876.4259999999999</v>
      </c>
      <c r="D12" s="40">
        <f t="shared" si="0"/>
        <v>12.196769</v>
      </c>
      <c r="E12" s="41">
        <f t="shared" si="1"/>
        <v>25212.429070660004</v>
      </c>
      <c r="H12" s="41">
        <f t="shared" si="2"/>
        <v>18920.998989635602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2619.8306293341602</v>
      </c>
      <c r="Y12" s="13">
        <f t="shared" si="4"/>
        <v>2619.8306293341602</v>
      </c>
    </row>
    <row r="13" spans="1:25" ht="15">
      <c r="A13" s="36" t="s">
        <v>30</v>
      </c>
      <c r="B13" s="90">
        <v>4.7000000000000002E-3</v>
      </c>
      <c r="C13" s="40">
        <f t="shared" si="3"/>
        <v>1876.4259999999999</v>
      </c>
      <c r="D13" s="40">
        <f t="shared" si="0"/>
        <v>8.8192021999999994</v>
      </c>
      <c r="E13" s="41">
        <f t="shared" si="1"/>
        <v>18230.525635708003</v>
      </c>
      <c r="H13" s="41">
        <f>B13*C13*$H$19</f>
        <v>15030.67566756728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2254.6013501350922</v>
      </c>
      <c r="Y13" s="13">
        <f t="shared" si="4"/>
        <v>2254.6013501350922</v>
      </c>
    </row>
    <row r="14" spans="1:25" ht="30">
      <c r="A14" s="36" t="s">
        <v>31</v>
      </c>
      <c r="B14" s="90">
        <v>4.0000000000000001E-3</v>
      </c>
      <c r="C14" s="40">
        <f t="shared" si="3"/>
        <v>1876.4259999999999</v>
      </c>
      <c r="D14" s="40">
        <f t="shared" si="0"/>
        <v>7.5057039999999997</v>
      </c>
      <c r="E14" s="41">
        <f t="shared" si="1"/>
        <v>15515.340966560001</v>
      </c>
      <c r="H14" s="41">
        <f t="shared" si="2"/>
        <v>11643.691685929602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6287.5935104019854</v>
      </c>
      <c r="Y14" s="13">
        <f t="shared" si="4"/>
        <v>6287.5935104019854</v>
      </c>
    </row>
    <row r="15" spans="1:25" ht="30">
      <c r="D15" s="42">
        <f>SUM(D9:D14)</f>
        <v>97.574151999999984</v>
      </c>
      <c r="E15" s="42">
        <f>SUM(E9:E14)</f>
        <v>201699.43256528003</v>
      </c>
      <c r="H15" s="42">
        <f>SUM(H9:H14)</f>
        <v>152717.32985368482</v>
      </c>
      <c r="I15" s="139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1571.8983776004964</v>
      </c>
      <c r="Y15" s="13">
        <f t="shared" si="4"/>
        <v>1571.8983776004964</v>
      </c>
    </row>
    <row r="16" spans="1:25" ht="30">
      <c r="E16" s="41">
        <f>E15/C18</f>
        <v>97.574151999999998</v>
      </c>
      <c r="H16" s="41">
        <f>H15/C18</f>
        <v>73.878561613477942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7568.3995958542409</v>
      </c>
      <c r="Y16" s="13">
        <f t="shared" si="4"/>
        <v>7568.3995958542409</v>
      </c>
    </row>
    <row r="17" spans="1:25" ht="30">
      <c r="E17" s="43">
        <f>D15/1200</f>
        <v>8.1311793333333326E-2</v>
      </c>
      <c r="H17" s="43">
        <f>H16/1200</f>
        <v>6.1565468011231618E-2</v>
      </c>
      <c r="I17" s="43">
        <f>H16/1840</f>
        <v>4.0151392181238012E-2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2254.6013501350922</v>
      </c>
      <c r="Y17" s="13">
        <f t="shared" si="4"/>
        <v>2254.6013501350922</v>
      </c>
    </row>
    <row r="18" spans="1:25" ht="15">
      <c r="A18" s="206" t="s">
        <v>44</v>
      </c>
      <c r="B18" s="206"/>
      <c r="C18" s="62">
        <f>B5</f>
        <v>2067.1400000000003</v>
      </c>
      <c r="G18" s="142" t="s">
        <v>45</v>
      </c>
      <c r="H18" s="45">
        <f>(300+(500*0.83)+(C18-800)*0.66)</f>
        <v>1551.3124000000003</v>
      </c>
      <c r="I18" s="40">
        <f>H18/C18</f>
        <v>0.75046315198777058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1571.8983776004964</v>
      </c>
      <c r="Y18" s="13">
        <f t="shared" si="4"/>
        <v>1571.8983776004964</v>
      </c>
    </row>
    <row r="19" spans="1:25" ht="15">
      <c r="A19" s="142" t="s">
        <v>217</v>
      </c>
      <c r="B19" s="46">
        <v>41487</v>
      </c>
      <c r="C19" s="59">
        <v>1103.78</v>
      </c>
      <c r="G19" s="142" t="s">
        <v>48</v>
      </c>
      <c r="H19" s="45">
        <f>(500+(1000*0.83)+(C18-1500)*0.66)</f>
        <v>1704.3124000000003</v>
      </c>
      <c r="I19" s="40">
        <f>H19/C18</f>
        <v>0.82447845815958276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36063.607169139403</v>
      </c>
    </row>
    <row r="21" spans="1:25" ht="15">
      <c r="H21" s="60" t="s">
        <v>27</v>
      </c>
      <c r="I21" s="47">
        <f t="shared" ref="I21:I26" si="5">H9</f>
        <v>58218.45842964801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17465.537528894401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31437.967552009926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18920.998989635602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8732.7687644472026</v>
      </c>
      <c r="Y24" s="13">
        <f>W24*X24</f>
        <v>8732.7687644472026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15030.67566756728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4715.6951328014884</v>
      </c>
      <c r="Y25" s="13">
        <f t="shared" ref="Y25:Y26" si="6">W25*X25</f>
        <v>4715.6951328014884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11643.691685929602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2254.6013501350922</v>
      </c>
      <c r="Y26" s="13">
        <f t="shared" si="6"/>
        <v>2254.6013501350922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152717.32985368482</v>
      </c>
      <c r="J28" s="41"/>
      <c r="T28" s="11"/>
      <c r="U28" s="64" t="s">
        <v>17</v>
      </c>
      <c r="V28" s="8"/>
      <c r="W28" s="9"/>
      <c r="X28" s="16"/>
      <c r="Y28" s="17">
        <f>SUM(Y24:Y27)</f>
        <v>15703.065247383782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142" t="s">
        <v>49</v>
      </c>
      <c r="I30" s="42">
        <f>I28/C18</f>
        <v>73.878561613477942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14845.706899560242</v>
      </c>
      <c r="Y31" s="13">
        <f>W31*X31</f>
        <v>14845.706899560242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2328.7383371859205</v>
      </c>
      <c r="Y32" s="13">
        <f t="shared" ref="Y32:Y54" si="7">W32*X32</f>
        <v>2328.7383371859205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2328.7383371859205</v>
      </c>
      <c r="Y33" s="13">
        <f t="shared" si="7"/>
        <v>2328.7383371859205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3493.1075057788803</v>
      </c>
      <c r="Y34" s="13">
        <f t="shared" si="7"/>
        <v>3493.1075057788803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4366.3843822236004</v>
      </c>
      <c r="Y35" s="13">
        <f t="shared" si="7"/>
        <v>4366.3843822236004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2910.9229214824009</v>
      </c>
      <c r="Y36" s="13">
        <f t="shared" si="7"/>
        <v>2910.9229214824009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5239.6612586683204</v>
      </c>
      <c r="Y37" s="13">
        <f t="shared" si="7"/>
        <v>5239.6612586683204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5239.6612586683204</v>
      </c>
      <c r="Y38" s="13">
        <f t="shared" si="7"/>
        <v>5239.6612586683204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2254.6013501350922</v>
      </c>
      <c r="Y39" s="13">
        <f t="shared" si="7"/>
        <v>2254.6013501350922</v>
      </c>
    </row>
    <row r="40" spans="1:25" ht="15">
      <c r="A40" s="89" t="s">
        <v>236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2254.6013501350922</v>
      </c>
      <c r="Y40" s="13">
        <f t="shared" si="7"/>
        <v>2254.6013501350922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0.39</v>
      </c>
      <c r="H41" s="92">
        <v>2100</v>
      </c>
      <c r="I41" s="40">
        <f>G41*H41</f>
        <v>819</v>
      </c>
      <c r="J41" s="112">
        <f>I41+D99</f>
        <v>5544</v>
      </c>
      <c r="K41" s="111">
        <f>J41+I41</f>
        <v>6363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1503.0675667567282</v>
      </c>
      <c r="Y41" s="13">
        <f t="shared" si="7"/>
        <v>1503.0675667567282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751.53378337836409</v>
      </c>
      <c r="Y42" s="13">
        <f t="shared" si="7"/>
        <v>751.53378337836409</v>
      </c>
    </row>
    <row r="43" spans="1:25" ht="15">
      <c r="I43" s="41">
        <f>I28+J41</f>
        <v>158261.32985368482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6287.5935104019854</v>
      </c>
      <c r="Y43" s="13">
        <f t="shared" si="7"/>
        <v>6287.5935104019854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3143.7967552009927</v>
      </c>
      <c r="Y44" s="13">
        <f t="shared" si="7"/>
        <v>3143.7967552009927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1571.8983776004964</v>
      </c>
      <c r="Y45" s="13">
        <f t="shared" si="7"/>
        <v>1571.8983776004964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3143.7967552009927</v>
      </c>
      <c r="Y46" s="13">
        <f t="shared" si="7"/>
        <v>3143.7967552009927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11352.59939378136</v>
      </c>
      <c r="Y47" s="13">
        <f t="shared" si="7"/>
        <v>11352.59939378136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1503.0675667567282</v>
      </c>
      <c r="Y48" s="13">
        <f t="shared" si="7"/>
        <v>1503.0675667567282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1886.2780531205956</v>
      </c>
      <c r="Y49" s="13">
        <f t="shared" si="7"/>
        <v>1886.2780531205956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1257.5187020803971</v>
      </c>
      <c r="Y50" s="13">
        <f t="shared" si="7"/>
        <v>1257.5187020803971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3493.1075057788803</v>
      </c>
      <c r="Y51" s="13">
        <f t="shared" si="7"/>
        <v>3493.1075057788803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3493.1075057788803</v>
      </c>
      <c r="Y52" s="13">
        <f t="shared" si="7"/>
        <v>3493.1075057788803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1164.3691685929602</v>
      </c>
      <c r="Y53" s="13">
        <f t="shared" si="7"/>
        <v>1164.3691685929602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3493.1075057788803</v>
      </c>
      <c r="Y54" s="13">
        <f t="shared" si="7"/>
        <v>3493.1075057788803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89306.965751232041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141073.63816775521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28905.98846057304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169979.62662832826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47</v>
      </c>
      <c r="E88" s="108" t="s">
        <v>235</v>
      </c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4230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4725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A35:I35"/>
    <mergeCell ref="A41:E41"/>
    <mergeCell ref="A64:I64"/>
    <mergeCell ref="A18:B18"/>
    <mergeCell ref="B31:C31"/>
    <mergeCell ref="C32:D32"/>
    <mergeCell ref="C33:D33"/>
    <mergeCell ref="I33:K33"/>
    <mergeCell ref="A34:I34"/>
    <mergeCell ref="I14:Q14"/>
    <mergeCell ref="T2:Y2"/>
    <mergeCell ref="T4:Y4"/>
    <mergeCell ref="T5:W5"/>
    <mergeCell ref="X5:Y5"/>
    <mergeCell ref="T6:W6"/>
    <mergeCell ref="X6:Y6"/>
    <mergeCell ref="I9:Q9"/>
    <mergeCell ref="I10:Q10"/>
    <mergeCell ref="I11:Q11"/>
    <mergeCell ref="I12:Q12"/>
    <mergeCell ref="I13:Q13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workbookViewId="0">
      <selection activeCell="C3" sqref="C3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1491.42</v>
      </c>
      <c r="C2" s="103">
        <v>1491.42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>
        <v>0</v>
      </c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>
        <v>63</v>
      </c>
      <c r="C4" s="40">
        <v>63</v>
      </c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1554.42</v>
      </c>
      <c r="C5" s="103">
        <f>SUM(C2:C4)</f>
        <v>1554.42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141" t="s">
        <v>23</v>
      </c>
      <c r="E7" s="141" t="s">
        <v>24</v>
      </c>
      <c r="H7" s="141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141" t="s">
        <v>25</v>
      </c>
      <c r="B8" s="141" t="s">
        <v>26</v>
      </c>
      <c r="C8" s="143" t="s">
        <v>214</v>
      </c>
      <c r="D8" s="61" t="s">
        <v>43</v>
      </c>
      <c r="E8" s="61" t="s">
        <v>215</v>
      </c>
      <c r="G8" s="141"/>
      <c r="H8" s="78" t="s">
        <v>215</v>
      </c>
      <c r="I8" s="141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1876.4259999999999</v>
      </c>
      <c r="D9" s="40">
        <f t="shared" ref="D9:D14" si="0">B9*C9</f>
        <v>37.52852</v>
      </c>
      <c r="E9" s="41">
        <f t="shared" ref="E9:E14" si="1">B9*C9*$C$18</f>
        <v>58335.082058400003</v>
      </c>
      <c r="H9" s="41">
        <f t="shared" ref="H9:H14" si="2">B9*C9*$H$18</f>
        <v>45518.987398544006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1</v>
      </c>
      <c r="X9" s="12">
        <f>0.25*I21+K41</f>
        <v>19357.510649636002</v>
      </c>
      <c r="Y9" s="13">
        <f>W9*X9</f>
        <v>19357.510649636002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1876.4259999999999</v>
      </c>
      <c r="D10" s="40">
        <f t="shared" si="0"/>
        <v>11.258555999999999</v>
      </c>
      <c r="E10" s="41">
        <f t="shared" si="1"/>
        <v>17500.524617519997</v>
      </c>
      <c r="H10" s="41">
        <f t="shared" si="2"/>
        <v>13655.696219563199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5689.8734248180008</v>
      </c>
      <c r="Y10" s="13">
        <f t="shared" ref="Y10:Y18" si="4">W10*X10</f>
        <v>5689.8734248180008</v>
      </c>
    </row>
    <row r="11" spans="1:25" ht="15">
      <c r="A11" s="36" t="s">
        <v>28</v>
      </c>
      <c r="B11" s="90">
        <v>1.0800000000000001E-2</v>
      </c>
      <c r="C11" s="40">
        <f t="shared" si="3"/>
        <v>1876.4259999999999</v>
      </c>
      <c r="D11" s="40">
        <f t="shared" si="0"/>
        <v>20.265400800000002</v>
      </c>
      <c r="E11" s="41">
        <f t="shared" si="1"/>
        <v>31500.944311536005</v>
      </c>
      <c r="H11" s="41">
        <f t="shared" si="2"/>
        <v>24580.253195213765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3641.5189918835204</v>
      </c>
      <c r="Y11" s="13">
        <f t="shared" si="4"/>
        <v>3641.5189918835204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1876.4259999999999</v>
      </c>
      <c r="D12" s="40">
        <f t="shared" si="0"/>
        <v>12.196769</v>
      </c>
      <c r="E12" s="41">
        <f t="shared" si="1"/>
        <v>18958.901668980001</v>
      </c>
      <c r="H12" s="41">
        <f t="shared" si="2"/>
        <v>14793.670904526802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2048.3544329344795</v>
      </c>
      <c r="Y12" s="13">
        <f t="shared" si="4"/>
        <v>2048.3544329344795</v>
      </c>
    </row>
    <row r="13" spans="1:25" ht="15">
      <c r="A13" s="36" t="s">
        <v>30</v>
      </c>
      <c r="B13" s="90">
        <v>4.7000000000000002E-3</v>
      </c>
      <c r="C13" s="40">
        <f t="shared" si="3"/>
        <v>1876.4259999999999</v>
      </c>
      <c r="D13" s="40">
        <f t="shared" si="0"/>
        <v>8.8192021999999994</v>
      </c>
      <c r="E13" s="41">
        <f t="shared" si="1"/>
        <v>13708.744283724</v>
      </c>
      <c r="H13" s="41">
        <f>B13*C13*$H$19</f>
        <v>12046.29997525784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1806.9449962886758</v>
      </c>
      <c r="Y13" s="13">
        <f t="shared" si="4"/>
        <v>1806.9449962886758</v>
      </c>
    </row>
    <row r="14" spans="1:25" ht="30">
      <c r="A14" s="36" t="s">
        <v>31</v>
      </c>
      <c r="B14" s="90">
        <v>4.0000000000000001E-3</v>
      </c>
      <c r="C14" s="40">
        <f t="shared" si="3"/>
        <v>1876.4259999999999</v>
      </c>
      <c r="D14" s="40">
        <f t="shared" si="0"/>
        <v>7.5057039999999997</v>
      </c>
      <c r="E14" s="41">
        <f t="shared" si="1"/>
        <v>11667.016411680001</v>
      </c>
      <c r="H14" s="41">
        <f t="shared" si="2"/>
        <v>9103.7974797088009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4916.0506390427536</v>
      </c>
      <c r="Y14" s="13">
        <f t="shared" si="4"/>
        <v>4916.0506390427536</v>
      </c>
    </row>
    <row r="15" spans="1:25" ht="30">
      <c r="D15" s="42">
        <f>SUM(D9:D14)</f>
        <v>97.574151999999984</v>
      </c>
      <c r="E15" s="42">
        <f>SUM(E9:E14)</f>
        <v>151671.21335184001</v>
      </c>
      <c r="H15" s="42">
        <f>SUM(H9:H14)</f>
        <v>119698.7051728144</v>
      </c>
      <c r="I15" s="139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1229.0126597606884</v>
      </c>
      <c r="Y15" s="13">
        <f t="shared" si="4"/>
        <v>1229.0126597606884</v>
      </c>
    </row>
    <row r="16" spans="1:25" ht="30">
      <c r="E16" s="41">
        <f>E15/C18</f>
        <v>97.574151999999998</v>
      </c>
      <c r="H16" s="41">
        <f>H15/C18</f>
        <v>77.005381539618895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5917.468361810721</v>
      </c>
      <c r="Y16" s="13">
        <f t="shared" si="4"/>
        <v>5917.468361810721</v>
      </c>
    </row>
    <row r="17" spans="1:25" ht="30">
      <c r="E17" s="43">
        <f>D15/1200</f>
        <v>8.1311793333333326E-2</v>
      </c>
      <c r="H17" s="43">
        <f>H16/1200</f>
        <v>6.4171151283015745E-2</v>
      </c>
      <c r="I17" s="43">
        <f>H16/1840</f>
        <v>4.1850750836749398E-2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1806.9449962886758</v>
      </c>
      <c r="Y17" s="13">
        <f t="shared" si="4"/>
        <v>1806.9449962886758</v>
      </c>
    </row>
    <row r="18" spans="1:25" ht="15">
      <c r="A18" s="206" t="s">
        <v>44</v>
      </c>
      <c r="B18" s="206"/>
      <c r="C18" s="62">
        <f>B5</f>
        <v>1554.42</v>
      </c>
      <c r="G18" s="142" t="s">
        <v>45</v>
      </c>
      <c r="H18" s="45">
        <f>(300+(500*0.83)+(C18-800)*0.66)</f>
        <v>1212.9172000000001</v>
      </c>
      <c r="I18" s="40">
        <f>H18/C18</f>
        <v>0.78030210625184959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1229.0126597606884</v>
      </c>
      <c r="Y18" s="13">
        <f t="shared" si="4"/>
        <v>1229.0126597606884</v>
      </c>
    </row>
    <row r="19" spans="1:25" ht="15">
      <c r="A19" s="142" t="s">
        <v>217</v>
      </c>
      <c r="B19" s="46">
        <v>41487</v>
      </c>
      <c r="C19" s="59">
        <v>1103.78</v>
      </c>
      <c r="G19" s="142" t="s">
        <v>48</v>
      </c>
      <c r="H19" s="45">
        <f>(500+(1000*0.83)+(C18-1500)*0.66)</f>
        <v>1365.9172000000001</v>
      </c>
      <c r="I19" s="40">
        <f>H19/C18</f>
        <v>0.87873110227609008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47642.691812224206</v>
      </c>
    </row>
    <row r="21" spans="1:25" ht="15">
      <c r="H21" s="60" t="s">
        <v>27</v>
      </c>
      <c r="I21" s="47">
        <f t="shared" ref="I21:I26" si="5">H9</f>
        <v>45518.987398544006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13655.696219563199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24580.253195213765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14793.670904526802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6827.8481097816002</v>
      </c>
      <c r="Y24" s="13">
        <f>W24*X24</f>
        <v>6827.8481097816002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12046.29997525784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3687.0379792820645</v>
      </c>
      <c r="Y25" s="13">
        <f t="shared" ref="Y25:Y26" si="6">W25*X25</f>
        <v>3687.0379792820645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9103.7974797088009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1806.9449962886758</v>
      </c>
      <c r="Y26" s="13">
        <f t="shared" si="6"/>
        <v>1806.9449962886758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119698.7051728144</v>
      </c>
      <c r="J28" s="41"/>
      <c r="T28" s="11"/>
      <c r="U28" s="64" t="s">
        <v>17</v>
      </c>
      <c r="V28" s="8"/>
      <c r="W28" s="9"/>
      <c r="X28" s="16"/>
      <c r="Y28" s="17">
        <f>SUM(Y24:Y27)</f>
        <v>12321.83108535234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142" t="s">
        <v>49</v>
      </c>
      <c r="I30" s="42">
        <f>I28/C18</f>
        <v>77.005381539618895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11607.341786628722</v>
      </c>
      <c r="Y31" s="13">
        <f>W31*X31</f>
        <v>11607.341786628722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1820.7594959417602</v>
      </c>
      <c r="Y32" s="13">
        <f t="shared" ref="Y32:Y54" si="7">W32*X32</f>
        <v>1820.7594959417602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1820.7594959417602</v>
      </c>
      <c r="Y33" s="13">
        <f t="shared" si="7"/>
        <v>1820.7594959417602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2731.1392439126403</v>
      </c>
      <c r="Y34" s="13">
        <f t="shared" si="7"/>
        <v>2731.1392439126403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3413.9240548908006</v>
      </c>
      <c r="Y35" s="13">
        <f t="shared" si="7"/>
        <v>3413.9240548908006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2275.9493699272002</v>
      </c>
      <c r="Y36" s="13">
        <f t="shared" si="7"/>
        <v>2275.9493699272002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4096.708865868959</v>
      </c>
      <c r="Y37" s="13">
        <f t="shared" si="7"/>
        <v>4096.708865868959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4096.708865868959</v>
      </c>
      <c r="Y38" s="13">
        <f t="shared" si="7"/>
        <v>4096.708865868959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1806.9449962886758</v>
      </c>
      <c r="Y39" s="13">
        <f t="shared" si="7"/>
        <v>1806.9449962886758</v>
      </c>
    </row>
    <row r="40" spans="1:25" ht="15">
      <c r="A40" s="89" t="s">
        <v>234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1806.9449962886758</v>
      </c>
      <c r="Y40" s="13">
        <f t="shared" si="7"/>
        <v>1806.9449962886758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0.39</v>
      </c>
      <c r="H41" s="92">
        <v>4170.21</v>
      </c>
      <c r="I41" s="40">
        <f>G41*H41</f>
        <v>1626.3819000000001</v>
      </c>
      <c r="J41" s="112">
        <f>I41+D99</f>
        <v>6351.3819000000003</v>
      </c>
      <c r="K41" s="111">
        <f>J41+I41</f>
        <v>7977.7638000000006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1204.6299975257841</v>
      </c>
      <c r="Y41" s="13">
        <f t="shared" si="7"/>
        <v>1204.6299975257841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602.31499876289206</v>
      </c>
      <c r="Y42" s="13">
        <f t="shared" si="7"/>
        <v>602.31499876289206</v>
      </c>
    </row>
    <row r="43" spans="1:25" ht="15">
      <c r="I43" s="41">
        <f>I28+J41</f>
        <v>126050.08707281441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4916.0506390427536</v>
      </c>
      <c r="Y43" s="13">
        <f t="shared" si="7"/>
        <v>4916.0506390427536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2458.0253195213768</v>
      </c>
      <c r="Y44" s="13">
        <f t="shared" si="7"/>
        <v>2458.0253195213768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1229.0126597606884</v>
      </c>
      <c r="Y45" s="13">
        <f t="shared" si="7"/>
        <v>1229.0126597606884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2458.0253195213768</v>
      </c>
      <c r="Y46" s="13">
        <f t="shared" si="7"/>
        <v>2458.0253195213768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8876.2025427160806</v>
      </c>
      <c r="Y47" s="13">
        <f t="shared" si="7"/>
        <v>8876.2025427160806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1204.6299975257841</v>
      </c>
      <c r="Y48" s="13">
        <f t="shared" si="7"/>
        <v>1204.6299975257841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1474.8151917128259</v>
      </c>
      <c r="Y49" s="13">
        <f t="shared" si="7"/>
        <v>1474.8151917128259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983.21012780855062</v>
      </c>
      <c r="Y50" s="13">
        <f t="shared" si="7"/>
        <v>983.21012780855062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2731.1392439126403</v>
      </c>
      <c r="Y51" s="13">
        <f t="shared" si="7"/>
        <v>2731.1392439126403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2731.1392439126403</v>
      </c>
      <c r="Y52" s="13">
        <f t="shared" si="7"/>
        <v>2731.1392439126403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910.37974797088009</v>
      </c>
      <c r="Y53" s="13">
        <f t="shared" si="7"/>
        <v>910.37974797088009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2731.1392439126403</v>
      </c>
      <c r="Y54" s="13">
        <f t="shared" si="7"/>
        <v>2731.1392439126403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69987.895445165064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129952.41834274161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26627.250518427758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156579.66886116937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47</v>
      </c>
      <c r="E88" s="108" t="s">
        <v>235</v>
      </c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4230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4725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A35:I35"/>
    <mergeCell ref="A41:E41"/>
    <mergeCell ref="A64:I64"/>
    <mergeCell ref="A18:B18"/>
    <mergeCell ref="B31:C31"/>
    <mergeCell ref="C32:D32"/>
    <mergeCell ref="C33:D33"/>
    <mergeCell ref="I33:K33"/>
    <mergeCell ref="A34:I34"/>
    <mergeCell ref="I14:Q14"/>
    <mergeCell ref="T2:Y2"/>
    <mergeCell ref="T4:Y4"/>
    <mergeCell ref="T5:W5"/>
    <mergeCell ref="X5:Y5"/>
    <mergeCell ref="T6:W6"/>
    <mergeCell ref="X6:Y6"/>
    <mergeCell ref="I9:Q9"/>
    <mergeCell ref="I10:Q10"/>
    <mergeCell ref="I11:Q11"/>
    <mergeCell ref="I12:Q12"/>
    <mergeCell ref="I13:Q13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workbookViewId="0">
      <selection activeCell="E88" sqref="E88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1491.42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>
        <v>512.72</v>
      </c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>
        <v>63</v>
      </c>
      <c r="C4" s="40">
        <v>63</v>
      </c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2067.1400000000003</v>
      </c>
      <c r="C5" s="103">
        <f>SUM(C2:C4)</f>
        <v>1554.42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141" t="s">
        <v>23</v>
      </c>
      <c r="E7" s="141" t="s">
        <v>24</v>
      </c>
      <c r="H7" s="141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141" t="s">
        <v>25</v>
      </c>
      <c r="B8" s="141" t="s">
        <v>26</v>
      </c>
      <c r="C8" s="143" t="s">
        <v>214</v>
      </c>
      <c r="D8" s="61" t="s">
        <v>43</v>
      </c>
      <c r="E8" s="61" t="s">
        <v>215</v>
      </c>
      <c r="G8" s="141"/>
      <c r="H8" s="78" t="s">
        <v>215</v>
      </c>
      <c r="I8" s="141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1876.4259999999999</v>
      </c>
      <c r="D9" s="40">
        <f t="shared" ref="D9:D14" si="0">B9*C9</f>
        <v>37.52852</v>
      </c>
      <c r="E9" s="41">
        <f t="shared" ref="E9:E14" si="1">B9*C9*$C$18</f>
        <v>77576.704832800009</v>
      </c>
      <c r="H9" s="41">
        <f t="shared" ref="H9:H14" si="2">B9*C9*$H$18</f>
        <v>58218.45842964801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1</v>
      </c>
      <c r="X9" s="12">
        <f>0.25*I21+K41</f>
        <v>26570.368207412001</v>
      </c>
      <c r="Y9" s="13">
        <f>W9*X9</f>
        <v>26570.368207412001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1876.4259999999999</v>
      </c>
      <c r="D10" s="40">
        <f t="shared" si="0"/>
        <v>11.258555999999999</v>
      </c>
      <c r="E10" s="41">
        <f t="shared" si="1"/>
        <v>23273.01144984</v>
      </c>
      <c r="H10" s="41">
        <f t="shared" si="2"/>
        <v>17465.537528894401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7277.3073037060012</v>
      </c>
      <c r="Y10" s="13">
        <f t="shared" ref="Y10:Y18" si="4">W10*X10</f>
        <v>7277.3073037060012</v>
      </c>
    </row>
    <row r="11" spans="1:25" ht="15">
      <c r="A11" s="36" t="s">
        <v>28</v>
      </c>
      <c r="B11" s="90">
        <v>1.0800000000000001E-2</v>
      </c>
      <c r="C11" s="40">
        <f t="shared" si="3"/>
        <v>1876.4259999999999</v>
      </c>
      <c r="D11" s="40">
        <f t="shared" si="0"/>
        <v>20.265400800000002</v>
      </c>
      <c r="E11" s="41">
        <f t="shared" si="1"/>
        <v>41891.420609712011</v>
      </c>
      <c r="H11" s="41">
        <f t="shared" si="2"/>
        <v>31437.967552009926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4657.476674371841</v>
      </c>
      <c r="Y11" s="13">
        <f t="shared" si="4"/>
        <v>4657.476674371841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1876.4259999999999</v>
      </c>
      <c r="D12" s="40">
        <f t="shared" si="0"/>
        <v>12.196769</v>
      </c>
      <c r="E12" s="41">
        <f t="shared" si="1"/>
        <v>25212.429070660004</v>
      </c>
      <c r="H12" s="41">
        <f t="shared" si="2"/>
        <v>18920.998989635602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2619.8306293341602</v>
      </c>
      <c r="Y12" s="13">
        <f t="shared" si="4"/>
        <v>2619.8306293341602</v>
      </c>
    </row>
    <row r="13" spans="1:25" ht="15">
      <c r="A13" s="36" t="s">
        <v>30</v>
      </c>
      <c r="B13" s="90">
        <v>4.7000000000000002E-3</v>
      </c>
      <c r="C13" s="40">
        <f t="shared" si="3"/>
        <v>1876.4259999999999</v>
      </c>
      <c r="D13" s="40">
        <f t="shared" si="0"/>
        <v>8.8192021999999994</v>
      </c>
      <c r="E13" s="41">
        <f t="shared" si="1"/>
        <v>18230.525635708003</v>
      </c>
      <c r="H13" s="41">
        <f>B13*C13*$H$19</f>
        <v>15030.67566756728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2254.6013501350922</v>
      </c>
      <c r="Y13" s="13">
        <f t="shared" si="4"/>
        <v>2254.6013501350922</v>
      </c>
    </row>
    <row r="14" spans="1:25" ht="30">
      <c r="A14" s="36" t="s">
        <v>31</v>
      </c>
      <c r="B14" s="90">
        <v>4.0000000000000001E-3</v>
      </c>
      <c r="C14" s="40">
        <f t="shared" si="3"/>
        <v>1876.4259999999999</v>
      </c>
      <c r="D14" s="40">
        <f t="shared" si="0"/>
        <v>7.5057039999999997</v>
      </c>
      <c r="E14" s="41">
        <f t="shared" si="1"/>
        <v>15515.340966560001</v>
      </c>
      <c r="H14" s="41">
        <f t="shared" si="2"/>
        <v>11643.691685929602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6287.5935104019854</v>
      </c>
      <c r="Y14" s="13">
        <f t="shared" si="4"/>
        <v>6287.5935104019854</v>
      </c>
    </row>
    <row r="15" spans="1:25" ht="30">
      <c r="D15" s="42">
        <f>SUM(D9:D14)</f>
        <v>97.574151999999984</v>
      </c>
      <c r="E15" s="42">
        <f>SUM(E9:E14)</f>
        <v>201699.43256528003</v>
      </c>
      <c r="H15" s="42">
        <f>SUM(H9:H14)</f>
        <v>152717.32985368482</v>
      </c>
      <c r="I15" s="139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1571.8983776004964</v>
      </c>
      <c r="Y15" s="13">
        <f t="shared" si="4"/>
        <v>1571.8983776004964</v>
      </c>
    </row>
    <row r="16" spans="1:25" ht="30">
      <c r="E16" s="41">
        <f>E15/C18</f>
        <v>97.574151999999998</v>
      </c>
      <c r="H16" s="41">
        <f>H15/C18</f>
        <v>73.878561613477942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7568.3995958542409</v>
      </c>
      <c r="Y16" s="13">
        <f t="shared" si="4"/>
        <v>7568.3995958542409</v>
      </c>
    </row>
    <row r="17" spans="1:25" ht="30">
      <c r="E17" s="43">
        <f>D15/1200</f>
        <v>8.1311793333333326E-2</v>
      </c>
      <c r="H17" s="43">
        <f>H16/1200</f>
        <v>6.1565468011231618E-2</v>
      </c>
      <c r="I17" s="43">
        <f>H16/1840</f>
        <v>4.0151392181238012E-2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2254.6013501350922</v>
      </c>
      <c r="Y17" s="13">
        <f t="shared" si="4"/>
        <v>2254.6013501350922</v>
      </c>
    </row>
    <row r="18" spans="1:25" ht="15">
      <c r="A18" s="206" t="s">
        <v>44</v>
      </c>
      <c r="B18" s="206"/>
      <c r="C18" s="62">
        <f>B5</f>
        <v>2067.1400000000003</v>
      </c>
      <c r="G18" s="142" t="s">
        <v>45</v>
      </c>
      <c r="H18" s="45">
        <f>(300+(500*0.83)+(C18-800)*0.66)</f>
        <v>1551.3124000000003</v>
      </c>
      <c r="I18" s="40">
        <f>H18/C18</f>
        <v>0.75046315198777058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1571.8983776004964</v>
      </c>
      <c r="Y18" s="13">
        <f t="shared" si="4"/>
        <v>1571.8983776004964</v>
      </c>
    </row>
    <row r="19" spans="1:25" ht="15">
      <c r="A19" s="142" t="s">
        <v>217</v>
      </c>
      <c r="B19" s="46">
        <v>41487</v>
      </c>
      <c r="C19" s="59">
        <v>1103.78</v>
      </c>
      <c r="G19" s="142" t="s">
        <v>48</v>
      </c>
      <c r="H19" s="45">
        <f>(500+(1000*0.83)+(C18-1500)*0.66)</f>
        <v>1704.3124000000003</v>
      </c>
      <c r="I19" s="40">
        <f>H19/C18</f>
        <v>0.82447845815958276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62633.975376551411</v>
      </c>
    </row>
    <row r="21" spans="1:25" ht="15">
      <c r="H21" s="60" t="s">
        <v>27</v>
      </c>
      <c r="I21" s="47">
        <f t="shared" ref="I21:I26" si="5">H9</f>
        <v>58218.45842964801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17465.537528894401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31437.967552009926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18920.998989635602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8732.7687644472026</v>
      </c>
      <c r="Y24" s="13">
        <f>W24*X24</f>
        <v>8732.7687644472026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15030.67566756728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4715.6951328014884</v>
      </c>
      <c r="Y25" s="13">
        <f t="shared" ref="Y25:Y26" si="6">W25*X25</f>
        <v>4715.6951328014884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11643.691685929602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2254.6013501350922</v>
      </c>
      <c r="Y26" s="13">
        <f t="shared" si="6"/>
        <v>2254.6013501350922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152717.32985368482</v>
      </c>
      <c r="J28" s="41"/>
      <c r="T28" s="11"/>
      <c r="U28" s="64" t="s">
        <v>17</v>
      </c>
      <c r="V28" s="8"/>
      <c r="W28" s="9"/>
      <c r="X28" s="16"/>
      <c r="Y28" s="17">
        <f>SUM(Y24:Y27)</f>
        <v>15703.065247383782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142" t="s">
        <v>49</v>
      </c>
      <c r="I30" s="42">
        <f>I28/C18</f>
        <v>73.878561613477942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14845.706899560242</v>
      </c>
      <c r="Y31" s="13">
        <f>W31*X31</f>
        <v>14845.706899560242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2328.7383371859205</v>
      </c>
      <c r="Y32" s="13">
        <f t="shared" ref="Y32:Y54" si="7">W32*X32</f>
        <v>2328.7383371859205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2328.7383371859205</v>
      </c>
      <c r="Y33" s="13">
        <f t="shared" si="7"/>
        <v>2328.7383371859205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3493.1075057788803</v>
      </c>
      <c r="Y34" s="13">
        <f t="shared" si="7"/>
        <v>3493.1075057788803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4366.3843822236004</v>
      </c>
      <c r="Y35" s="13">
        <f t="shared" si="7"/>
        <v>4366.3843822236004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2910.9229214824009</v>
      </c>
      <c r="Y36" s="13">
        <f t="shared" si="7"/>
        <v>2910.9229214824009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5239.6612586683204</v>
      </c>
      <c r="Y37" s="13">
        <f t="shared" si="7"/>
        <v>5239.6612586683204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5239.6612586683204</v>
      </c>
      <c r="Y38" s="13">
        <f t="shared" si="7"/>
        <v>5239.6612586683204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2254.6013501350922</v>
      </c>
      <c r="Y39" s="13">
        <f t="shared" si="7"/>
        <v>2254.6013501350922</v>
      </c>
    </row>
    <row r="40" spans="1:25" ht="15">
      <c r="A40" s="89" t="s">
        <v>234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2254.6013501350922</v>
      </c>
      <c r="Y40" s="13">
        <f t="shared" si="7"/>
        <v>2254.6013501350922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0.39</v>
      </c>
      <c r="H41" s="92">
        <v>9347.1200000000008</v>
      </c>
      <c r="I41" s="40">
        <f>G41*H41</f>
        <v>3645.3768000000005</v>
      </c>
      <c r="J41" s="112">
        <f>I41+D99</f>
        <v>8370.3768</v>
      </c>
      <c r="K41" s="111">
        <f>J41+I41</f>
        <v>12015.7536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1503.0675667567282</v>
      </c>
      <c r="Y41" s="13">
        <f t="shared" si="7"/>
        <v>1503.0675667567282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751.53378337836409</v>
      </c>
      <c r="Y42" s="13">
        <f t="shared" si="7"/>
        <v>751.53378337836409</v>
      </c>
    </row>
    <row r="43" spans="1:25" ht="15">
      <c r="I43" s="41">
        <f>I28+J41</f>
        <v>161087.70665368481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6287.5935104019854</v>
      </c>
      <c r="Y43" s="13">
        <f t="shared" si="7"/>
        <v>6287.5935104019854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3143.7967552009927</v>
      </c>
      <c r="Y44" s="13">
        <f t="shared" si="7"/>
        <v>3143.7967552009927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1571.8983776004964</v>
      </c>
      <c r="Y45" s="13">
        <f t="shared" si="7"/>
        <v>1571.8983776004964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3143.7967552009927</v>
      </c>
      <c r="Y46" s="13">
        <f t="shared" si="7"/>
        <v>3143.7967552009927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11352.59939378136</v>
      </c>
      <c r="Y47" s="13">
        <f t="shared" si="7"/>
        <v>11352.59939378136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1503.0675667567282</v>
      </c>
      <c r="Y48" s="13">
        <f t="shared" si="7"/>
        <v>1503.0675667567282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1886.2780531205956</v>
      </c>
      <c r="Y49" s="13">
        <f t="shared" si="7"/>
        <v>1886.2780531205956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1257.5187020803971</v>
      </c>
      <c r="Y50" s="13">
        <f t="shared" si="7"/>
        <v>1257.5187020803971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3493.1075057788803</v>
      </c>
      <c r="Y51" s="13">
        <f t="shared" si="7"/>
        <v>3493.1075057788803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3493.1075057788803</v>
      </c>
      <c r="Y52" s="13">
        <f t="shared" si="7"/>
        <v>3493.1075057788803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1164.3691685929602</v>
      </c>
      <c r="Y53" s="13">
        <f t="shared" si="7"/>
        <v>1164.3691685929602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3493.1075057788803</v>
      </c>
      <c r="Y54" s="13">
        <f t="shared" si="7"/>
        <v>3493.1075057788803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89306.965751232041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167644.00637516723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34350.256906271767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201994.26328143899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47</v>
      </c>
      <c r="E88" s="108" t="s">
        <v>235</v>
      </c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4230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4725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A35:I35"/>
    <mergeCell ref="A41:E41"/>
    <mergeCell ref="A64:I64"/>
    <mergeCell ref="A18:B18"/>
    <mergeCell ref="B31:C31"/>
    <mergeCell ref="C32:D32"/>
    <mergeCell ref="C33:D33"/>
    <mergeCell ref="I33:K33"/>
    <mergeCell ref="A34:I34"/>
    <mergeCell ref="I14:Q14"/>
    <mergeCell ref="T2:Y2"/>
    <mergeCell ref="T4:Y4"/>
    <mergeCell ref="T5:W5"/>
    <mergeCell ref="X5:Y5"/>
    <mergeCell ref="T6:W6"/>
    <mergeCell ref="X6:Y6"/>
    <mergeCell ref="I9:Q9"/>
    <mergeCell ref="I10:Q10"/>
    <mergeCell ref="I11:Q11"/>
    <mergeCell ref="I12:Q12"/>
    <mergeCell ref="I13:Q13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topLeftCell="C88" workbookViewId="0">
      <selection activeCell="K105" sqref="K105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1491.42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>
        <v>512.72</v>
      </c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>
        <v>63</v>
      </c>
      <c r="C4" s="40">
        <v>63</v>
      </c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2067.1400000000003</v>
      </c>
      <c r="C5" s="103">
        <f>SUM(C2:C4)</f>
        <v>1554.42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141" t="s">
        <v>23</v>
      </c>
      <c r="E7" s="141" t="s">
        <v>24</v>
      </c>
      <c r="H7" s="141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141" t="s">
        <v>25</v>
      </c>
      <c r="B8" s="141" t="s">
        <v>26</v>
      </c>
      <c r="C8" s="143" t="s">
        <v>214</v>
      </c>
      <c r="D8" s="61" t="s">
        <v>43</v>
      </c>
      <c r="E8" s="61" t="s">
        <v>215</v>
      </c>
      <c r="G8" s="141"/>
      <c r="H8" s="78" t="s">
        <v>215</v>
      </c>
      <c r="I8" s="141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1876.4259999999999</v>
      </c>
      <c r="D9" s="40">
        <f t="shared" ref="D9:D14" si="0">B9*C9</f>
        <v>37.52852</v>
      </c>
      <c r="E9" s="41">
        <f t="shared" ref="E9:E14" si="1">B9*C9*$C$18</f>
        <v>77576.704832800009</v>
      </c>
      <c r="H9" s="41">
        <f t="shared" ref="H9:H14" si="2">B9*C9*$H$18</f>
        <v>58218.45842964801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1</v>
      </c>
      <c r="X9" s="12">
        <f>0.25*I21+K41</f>
        <v>27079.614607412004</v>
      </c>
      <c r="Y9" s="13">
        <f>W9*X9</f>
        <v>27079.614607412004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1876.4259999999999</v>
      </c>
      <c r="D10" s="40">
        <f t="shared" si="0"/>
        <v>11.258555999999999</v>
      </c>
      <c r="E10" s="41">
        <f t="shared" si="1"/>
        <v>23273.01144984</v>
      </c>
      <c r="H10" s="41">
        <f t="shared" si="2"/>
        <v>17465.537528894401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7277.3073037060012</v>
      </c>
      <c r="Y10" s="13">
        <f t="shared" ref="Y10:Y18" si="4">W10*X10</f>
        <v>7277.3073037060012</v>
      </c>
    </row>
    <row r="11" spans="1:25" ht="15">
      <c r="A11" s="36" t="s">
        <v>28</v>
      </c>
      <c r="B11" s="90">
        <v>1.0800000000000001E-2</v>
      </c>
      <c r="C11" s="40">
        <f t="shared" si="3"/>
        <v>1876.4259999999999</v>
      </c>
      <c r="D11" s="40">
        <f t="shared" si="0"/>
        <v>20.265400800000002</v>
      </c>
      <c r="E11" s="41">
        <f t="shared" si="1"/>
        <v>41891.420609712011</v>
      </c>
      <c r="H11" s="41">
        <f t="shared" si="2"/>
        <v>31437.967552009926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4657.476674371841</v>
      </c>
      <c r="Y11" s="13">
        <f t="shared" si="4"/>
        <v>4657.476674371841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1876.4259999999999</v>
      </c>
      <c r="D12" s="40">
        <f t="shared" si="0"/>
        <v>12.196769</v>
      </c>
      <c r="E12" s="41">
        <f t="shared" si="1"/>
        <v>25212.429070660004</v>
      </c>
      <c r="H12" s="41">
        <f t="shared" si="2"/>
        <v>18920.998989635602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2619.8306293341602</v>
      </c>
      <c r="Y12" s="13">
        <f t="shared" si="4"/>
        <v>2619.8306293341602</v>
      </c>
    </row>
    <row r="13" spans="1:25" ht="15">
      <c r="A13" s="36" t="s">
        <v>30</v>
      </c>
      <c r="B13" s="90">
        <v>4.7000000000000002E-3</v>
      </c>
      <c r="C13" s="40">
        <f t="shared" si="3"/>
        <v>1876.4259999999999</v>
      </c>
      <c r="D13" s="40">
        <f t="shared" si="0"/>
        <v>8.8192021999999994</v>
      </c>
      <c r="E13" s="41">
        <f t="shared" si="1"/>
        <v>18230.525635708003</v>
      </c>
      <c r="H13" s="41">
        <f>B13*C13*$H$19</f>
        <v>15030.67566756728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2254.6013501350922</v>
      </c>
      <c r="Y13" s="13">
        <f t="shared" si="4"/>
        <v>2254.6013501350922</v>
      </c>
    </row>
    <row r="14" spans="1:25" ht="30">
      <c r="A14" s="36" t="s">
        <v>31</v>
      </c>
      <c r="B14" s="90">
        <v>4.0000000000000001E-3</v>
      </c>
      <c r="C14" s="40">
        <f t="shared" si="3"/>
        <v>1876.4259999999999</v>
      </c>
      <c r="D14" s="40">
        <f t="shared" si="0"/>
        <v>7.5057039999999997</v>
      </c>
      <c r="E14" s="41">
        <f t="shared" si="1"/>
        <v>15515.340966560001</v>
      </c>
      <c r="H14" s="41">
        <f t="shared" si="2"/>
        <v>11643.691685929602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6287.5935104019854</v>
      </c>
      <c r="Y14" s="13">
        <f t="shared" si="4"/>
        <v>6287.5935104019854</v>
      </c>
    </row>
    <row r="15" spans="1:25" ht="30">
      <c r="D15" s="42">
        <f>SUM(D9:D14)</f>
        <v>97.574151999999984</v>
      </c>
      <c r="E15" s="42">
        <f>SUM(E9:E14)</f>
        <v>201699.43256528003</v>
      </c>
      <c r="H15" s="42">
        <f>SUM(H9:H14)</f>
        <v>152717.32985368482</v>
      </c>
      <c r="I15" s="139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1571.8983776004964</v>
      </c>
      <c r="Y15" s="13">
        <f t="shared" si="4"/>
        <v>1571.8983776004964</v>
      </c>
    </row>
    <row r="16" spans="1:25" ht="30">
      <c r="E16" s="41">
        <f>E15/C18</f>
        <v>97.574151999999998</v>
      </c>
      <c r="H16" s="41">
        <f>H15/C18</f>
        <v>73.878561613477942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7568.3995958542409</v>
      </c>
      <c r="Y16" s="13">
        <f t="shared" si="4"/>
        <v>7568.3995958542409</v>
      </c>
    </row>
    <row r="17" spans="1:25" ht="30">
      <c r="E17" s="43">
        <f>D15/1200</f>
        <v>8.1311793333333326E-2</v>
      </c>
      <c r="H17" s="43">
        <f>H16/1200</f>
        <v>6.1565468011231618E-2</v>
      </c>
      <c r="I17" s="43">
        <f>H16/1840</f>
        <v>4.0151392181238012E-2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2254.6013501350922</v>
      </c>
      <c r="Y17" s="13">
        <f t="shared" si="4"/>
        <v>2254.6013501350922</v>
      </c>
    </row>
    <row r="18" spans="1:25" ht="15">
      <c r="A18" s="206" t="s">
        <v>44</v>
      </c>
      <c r="B18" s="206"/>
      <c r="C18" s="62">
        <f>B5</f>
        <v>2067.1400000000003</v>
      </c>
      <c r="G18" s="142" t="s">
        <v>45</v>
      </c>
      <c r="H18" s="45">
        <f>(300+(500*0.83)+(C18-800)*0.66)</f>
        <v>1551.3124000000003</v>
      </c>
      <c r="I18" s="40">
        <f>H18/C18</f>
        <v>0.75046315198777058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1571.8983776004964</v>
      </c>
      <c r="Y18" s="13">
        <f t="shared" si="4"/>
        <v>1571.8983776004964</v>
      </c>
    </row>
    <row r="19" spans="1:25" ht="15">
      <c r="A19" s="142" t="s">
        <v>217</v>
      </c>
      <c r="B19" s="46">
        <v>41487</v>
      </c>
      <c r="C19" s="59">
        <v>1103.78</v>
      </c>
      <c r="G19" s="142" t="s">
        <v>48</v>
      </c>
      <c r="H19" s="45">
        <f>(500+(1000*0.83)+(C18-1500)*0.66)</f>
        <v>1704.3124000000003</v>
      </c>
      <c r="I19" s="40">
        <f>H19/C18</f>
        <v>0.82447845815958276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63143.221776551414</v>
      </c>
    </row>
    <row r="21" spans="1:25" ht="15">
      <c r="H21" s="60" t="s">
        <v>27</v>
      </c>
      <c r="I21" s="47">
        <f t="shared" ref="I21:I26" si="5">H9</f>
        <v>58218.45842964801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17465.537528894401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31437.967552009926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18920.998989635602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8732.7687644472026</v>
      </c>
      <c r="Y24" s="13">
        <f>W24*X24</f>
        <v>8732.7687644472026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15030.67566756728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4715.6951328014884</v>
      </c>
      <c r="Y25" s="13">
        <f t="shared" ref="Y25:Y26" si="6">W25*X25</f>
        <v>4715.6951328014884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11643.691685929602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2254.6013501350922</v>
      </c>
      <c r="Y26" s="13">
        <f t="shared" si="6"/>
        <v>2254.6013501350922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152717.32985368482</v>
      </c>
      <c r="J28" s="41"/>
      <c r="T28" s="11"/>
      <c r="U28" s="64" t="s">
        <v>17</v>
      </c>
      <c r="V28" s="8"/>
      <c r="W28" s="9"/>
      <c r="X28" s="16"/>
      <c r="Y28" s="17">
        <f>SUM(Y24:Y27)</f>
        <v>15703.065247383782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142" t="s">
        <v>49</v>
      </c>
      <c r="I30" s="42">
        <f>I28/C18</f>
        <v>73.878561613477942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14845.706899560242</v>
      </c>
      <c r="Y31" s="13">
        <f>W31*X31</f>
        <v>14845.706899560242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2328.7383371859205</v>
      </c>
      <c r="Y32" s="13">
        <f t="shared" ref="Y32:Y54" si="7">W32*X32</f>
        <v>2328.7383371859205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2328.7383371859205</v>
      </c>
      <c r="Y33" s="13">
        <f t="shared" si="7"/>
        <v>2328.7383371859205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3493.1075057788803</v>
      </c>
      <c r="Y34" s="13">
        <f t="shared" si="7"/>
        <v>3493.1075057788803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4366.3843822236004</v>
      </c>
      <c r="Y35" s="13">
        <f t="shared" si="7"/>
        <v>4366.3843822236004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2910.9229214824009</v>
      </c>
      <c r="Y36" s="13">
        <f t="shared" si="7"/>
        <v>2910.9229214824009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5239.6612586683204</v>
      </c>
      <c r="Y37" s="13">
        <f t="shared" si="7"/>
        <v>5239.6612586683204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5239.6612586683204</v>
      </c>
      <c r="Y38" s="13">
        <f t="shared" si="7"/>
        <v>5239.6612586683204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2254.6013501350922</v>
      </c>
      <c r="Y39" s="13">
        <f t="shared" si="7"/>
        <v>2254.6013501350922</v>
      </c>
    </row>
    <row r="40" spans="1:25" ht="15">
      <c r="A40" s="89" t="s">
        <v>236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2254.6013501350922</v>
      </c>
      <c r="Y40" s="13">
        <f t="shared" si="7"/>
        <v>2254.6013501350922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0.39</v>
      </c>
      <c r="H41" s="92">
        <v>10000</v>
      </c>
      <c r="I41" s="40">
        <f>G41*H41</f>
        <v>3900</v>
      </c>
      <c r="J41" s="112">
        <f>I41+D99</f>
        <v>8625</v>
      </c>
      <c r="K41" s="111">
        <f>J41+I41</f>
        <v>12525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1503.0675667567282</v>
      </c>
      <c r="Y41" s="13">
        <f t="shared" si="7"/>
        <v>1503.0675667567282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751.53378337836409</v>
      </c>
      <c r="Y42" s="13">
        <f t="shared" si="7"/>
        <v>751.53378337836409</v>
      </c>
    </row>
    <row r="43" spans="1:25" ht="15">
      <c r="I43" s="41">
        <f>I28+J41</f>
        <v>161342.32985368482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6287.5935104019854</v>
      </c>
      <c r="Y43" s="13">
        <f t="shared" si="7"/>
        <v>6287.5935104019854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3143.7967552009927</v>
      </c>
      <c r="Y44" s="13">
        <f t="shared" si="7"/>
        <v>3143.7967552009927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1571.8983776004964</v>
      </c>
      <c r="Y45" s="13">
        <f t="shared" si="7"/>
        <v>1571.8983776004964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3143.7967552009927</v>
      </c>
      <c r="Y46" s="13">
        <f t="shared" si="7"/>
        <v>3143.7967552009927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11352.59939378136</v>
      </c>
      <c r="Y47" s="13">
        <f t="shared" si="7"/>
        <v>11352.59939378136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1503.0675667567282</v>
      </c>
      <c r="Y48" s="13">
        <f t="shared" si="7"/>
        <v>1503.0675667567282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1886.2780531205956</v>
      </c>
      <c r="Y49" s="13">
        <f t="shared" si="7"/>
        <v>1886.2780531205956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1257.5187020803971</v>
      </c>
      <c r="Y50" s="13">
        <f t="shared" si="7"/>
        <v>1257.5187020803971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3493.1075057788803</v>
      </c>
      <c r="Y51" s="13">
        <f t="shared" si="7"/>
        <v>3493.1075057788803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3493.1075057788803</v>
      </c>
      <c r="Y52" s="13">
        <f t="shared" si="7"/>
        <v>3493.1075057788803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1164.3691685929602</v>
      </c>
      <c r="Y53" s="13">
        <f t="shared" si="7"/>
        <v>1164.3691685929602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3493.1075057788803</v>
      </c>
      <c r="Y54" s="13">
        <f t="shared" si="7"/>
        <v>3493.1075057788803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89306.965751232041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168153.25277516723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34454.601493631766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202607.85426879901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47</v>
      </c>
      <c r="E88" s="108" t="s">
        <v>235</v>
      </c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4230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4725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A35:I35"/>
    <mergeCell ref="A41:E41"/>
    <mergeCell ref="A64:I64"/>
    <mergeCell ref="A18:B18"/>
    <mergeCell ref="B31:C31"/>
    <mergeCell ref="C32:D32"/>
    <mergeCell ref="C33:D33"/>
    <mergeCell ref="I33:K33"/>
    <mergeCell ref="A34:I34"/>
    <mergeCell ref="I14:Q14"/>
    <mergeCell ref="T2:Y2"/>
    <mergeCell ref="T4:Y4"/>
    <mergeCell ref="T5:W5"/>
    <mergeCell ref="X5:Y5"/>
    <mergeCell ref="T6:W6"/>
    <mergeCell ref="X6:Y6"/>
    <mergeCell ref="I9:Q9"/>
    <mergeCell ref="I10:Q10"/>
    <mergeCell ref="I11:Q11"/>
    <mergeCell ref="I12:Q12"/>
    <mergeCell ref="I13:Q13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0"/>
  <sheetViews>
    <sheetView tabSelected="1" topLeftCell="A37" zoomScale="75" zoomScaleNormal="75" workbookViewId="0">
      <selection activeCell="I58" sqref="I58"/>
    </sheetView>
  </sheetViews>
  <sheetFormatPr defaultRowHeight="12.75"/>
  <cols>
    <col min="1" max="1" width="6.7109375" bestFit="1" customWidth="1"/>
    <col min="2" max="2" width="81.42578125" customWidth="1"/>
    <col min="3" max="3" width="7.5703125" customWidth="1"/>
    <col min="4" max="4" width="10" bestFit="1" customWidth="1"/>
    <col min="5" max="5" width="15.140625" bestFit="1" customWidth="1"/>
    <col min="6" max="6" width="16.5703125" customWidth="1"/>
  </cols>
  <sheetData>
    <row r="1" spans="1:13" ht="13.5" thickBot="1"/>
    <row r="2" spans="1:13" ht="15.75">
      <c r="A2" s="169" t="s">
        <v>83</v>
      </c>
      <c r="B2" s="170"/>
      <c r="C2" s="170"/>
      <c r="D2" s="170"/>
      <c r="E2" s="170"/>
      <c r="F2" s="171"/>
    </row>
    <row r="3" spans="1:13">
      <c r="A3" s="172" t="s">
        <v>84</v>
      </c>
      <c r="B3" s="173"/>
      <c r="C3" s="173"/>
      <c r="D3" s="173"/>
      <c r="E3" s="173"/>
      <c r="F3" s="174"/>
    </row>
    <row r="4" spans="1:13" ht="15.75">
      <c r="A4" s="175" t="s">
        <v>111</v>
      </c>
      <c r="B4" s="176"/>
      <c r="C4" s="176"/>
      <c r="D4" s="176"/>
      <c r="E4" s="177" t="s">
        <v>112</v>
      </c>
      <c r="F4" s="178"/>
    </row>
    <row r="5" spans="1:13" ht="15.75">
      <c r="A5" s="179" t="s">
        <v>35</v>
      </c>
      <c r="B5" s="180"/>
      <c r="C5" s="180"/>
      <c r="D5" s="181"/>
      <c r="E5" s="182" t="s">
        <v>216</v>
      </c>
      <c r="F5" s="183"/>
      <c r="H5" s="95">
        <f>SUM(H9:H54)</f>
        <v>1</v>
      </c>
      <c r="I5" s="95">
        <f t="shared" ref="I5:M5" si="0">SUM(I9:I54)</f>
        <v>1</v>
      </c>
      <c r="J5" s="95">
        <f t="shared" si="0"/>
        <v>1</v>
      </c>
      <c r="K5" s="95">
        <f t="shared" si="0"/>
        <v>1</v>
      </c>
      <c r="L5" s="95">
        <f t="shared" si="0"/>
        <v>1</v>
      </c>
      <c r="M5" s="95">
        <f t="shared" si="0"/>
        <v>1</v>
      </c>
    </row>
    <row r="6" spans="1:13" ht="15.75">
      <c r="A6" s="1" t="s">
        <v>22</v>
      </c>
      <c r="B6" s="2" t="s">
        <v>11</v>
      </c>
      <c r="C6" s="3" t="s">
        <v>12</v>
      </c>
      <c r="D6" s="4" t="s">
        <v>13</v>
      </c>
      <c r="E6" s="63" t="s">
        <v>50</v>
      </c>
      <c r="F6" s="5" t="s">
        <v>0</v>
      </c>
      <c r="H6" s="94">
        <v>15</v>
      </c>
      <c r="I6" s="94">
        <v>16</v>
      </c>
      <c r="J6" s="94">
        <v>17</v>
      </c>
      <c r="K6" s="94">
        <v>18</v>
      </c>
      <c r="L6" s="94">
        <v>19</v>
      </c>
      <c r="M6" s="94">
        <v>20</v>
      </c>
    </row>
    <row r="7" spans="1:13" ht="47.25">
      <c r="A7" s="157"/>
      <c r="B7" s="158" t="s">
        <v>254</v>
      </c>
      <c r="C7" s="159"/>
      <c r="D7" s="160"/>
      <c r="E7" s="161"/>
      <c r="F7" s="162"/>
      <c r="H7" s="94"/>
      <c r="I7" s="94"/>
      <c r="J7" s="94"/>
      <c r="K7" s="94"/>
      <c r="L7" s="94"/>
      <c r="M7" s="94"/>
    </row>
    <row r="8" spans="1:13" ht="15.75">
      <c r="A8" s="1" t="s">
        <v>51</v>
      </c>
      <c r="B8" s="7" t="s">
        <v>52</v>
      </c>
      <c r="C8" s="3"/>
      <c r="D8" s="4"/>
      <c r="E8" s="63"/>
      <c r="F8" s="5"/>
      <c r="H8" s="93" t="s">
        <v>122</v>
      </c>
      <c r="I8" s="93" t="s">
        <v>123</v>
      </c>
      <c r="J8" s="93" t="s">
        <v>124</v>
      </c>
      <c r="K8" s="93" t="s">
        <v>125</v>
      </c>
      <c r="L8" s="93" t="s">
        <v>126</v>
      </c>
      <c r="M8" s="93" t="s">
        <v>127</v>
      </c>
    </row>
    <row r="9" spans="1:13" ht="15">
      <c r="A9" s="11" t="s">
        <v>1</v>
      </c>
      <c r="B9" s="132" t="s">
        <v>113</v>
      </c>
      <c r="C9" s="8" t="s">
        <v>14</v>
      </c>
      <c r="D9" s="163">
        <v>8</v>
      </c>
      <c r="E9" s="66">
        <f>0.25*HON__CEF!I28+HON__CEF!C79</f>
        <v>13051.891817447895</v>
      </c>
      <c r="F9" s="164">
        <f>D9*E9</f>
        <v>104415.13453958316</v>
      </c>
      <c r="H9" s="94"/>
      <c r="I9" s="94">
        <v>0.25</v>
      </c>
      <c r="J9" s="94"/>
      <c r="K9" s="94"/>
      <c r="L9" s="94"/>
      <c r="M9" s="94"/>
    </row>
    <row r="10" spans="1:13" ht="15">
      <c r="A10" s="11" t="s">
        <v>2</v>
      </c>
      <c r="B10" s="132" t="s">
        <v>53</v>
      </c>
      <c r="C10" s="8" t="s">
        <v>14</v>
      </c>
      <c r="D10" s="9">
        <v>8</v>
      </c>
      <c r="E10" s="12">
        <f>(0.25*HON__CEF!I27)/2</f>
        <v>2127.6849019897631</v>
      </c>
      <c r="F10" s="13">
        <f t="shared" ref="F10:F18" si="1">D10*E10</f>
        <v>17021.479215918105</v>
      </c>
      <c r="H10" s="94">
        <v>0.25</v>
      </c>
      <c r="I10" s="94"/>
      <c r="J10" s="94"/>
      <c r="K10" s="94"/>
      <c r="L10" s="94"/>
      <c r="M10" s="94"/>
    </row>
    <row r="11" spans="1:13" ht="15">
      <c r="A11" s="11" t="s">
        <v>3</v>
      </c>
      <c r="B11" s="132" t="s">
        <v>54</v>
      </c>
      <c r="C11" s="8" t="s">
        <v>14</v>
      </c>
      <c r="D11" s="9">
        <v>8</v>
      </c>
      <c r="E11" s="12">
        <f>0.08*HON__CEF!I27</f>
        <v>1361.7183372734485</v>
      </c>
      <c r="F11" s="13">
        <f t="shared" si="1"/>
        <v>10893.746698187588</v>
      </c>
      <c r="H11" s="94">
        <v>0.08</v>
      </c>
      <c r="I11" s="94"/>
      <c r="J11" s="94"/>
      <c r="K11" s="94"/>
      <c r="L11" s="94"/>
      <c r="M11" s="94"/>
    </row>
    <row r="12" spans="1:13" ht="15">
      <c r="A12" s="11" t="s">
        <v>4</v>
      </c>
      <c r="B12" s="132" t="s">
        <v>55</v>
      </c>
      <c r="C12" s="8" t="s">
        <v>14</v>
      </c>
      <c r="D12" s="9">
        <v>8</v>
      </c>
      <c r="E12" s="12">
        <f>(0.075*HON__CEF!I28)+(0.075*HON__CEF!I33)</f>
        <v>1751.1769974574015</v>
      </c>
      <c r="F12" s="13">
        <f t="shared" si="1"/>
        <v>14009.415979659212</v>
      </c>
      <c r="H12" s="94"/>
      <c r="I12" s="94">
        <v>0.15</v>
      </c>
      <c r="J12" s="94"/>
      <c r="K12" s="94"/>
      <c r="L12" s="94"/>
      <c r="M12" s="94"/>
    </row>
    <row r="13" spans="1:13" ht="15">
      <c r="A13" s="11" t="s">
        <v>15</v>
      </c>
      <c r="B13" s="132" t="s">
        <v>56</v>
      </c>
      <c r="C13" s="8" t="s">
        <v>14</v>
      </c>
      <c r="D13" s="9">
        <v>8</v>
      </c>
      <c r="E13" s="12">
        <f>0.15*HON__CEF!I31</f>
        <v>773.29332333868012</v>
      </c>
      <c r="F13" s="13">
        <f t="shared" si="1"/>
        <v>6186.346586709441</v>
      </c>
      <c r="H13" s="94"/>
      <c r="I13" s="94"/>
      <c r="J13" s="94"/>
      <c r="K13" s="94"/>
      <c r="L13" s="94">
        <v>0.15</v>
      </c>
      <c r="M13" s="94"/>
    </row>
    <row r="14" spans="1:13" ht="30">
      <c r="A14" s="11" t="s">
        <v>16</v>
      </c>
      <c r="B14" s="132" t="s">
        <v>114</v>
      </c>
      <c r="C14" s="8" t="s">
        <v>14</v>
      </c>
      <c r="D14" s="9">
        <v>8</v>
      </c>
      <c r="E14" s="12">
        <f>0.2*HON__CEF!I29</f>
        <v>2152.6994308392545</v>
      </c>
      <c r="F14" s="13">
        <f t="shared" si="1"/>
        <v>17221.595446714036</v>
      </c>
      <c r="H14" s="94"/>
      <c r="I14" s="94"/>
      <c r="J14" s="94">
        <v>0.2</v>
      </c>
      <c r="K14" s="94"/>
      <c r="L14" s="94"/>
      <c r="M14" s="94"/>
    </row>
    <row r="15" spans="1:13" ht="30">
      <c r="A15" s="11" t="s">
        <v>36</v>
      </c>
      <c r="B15" s="132" t="s">
        <v>132</v>
      </c>
      <c r="C15" s="8" t="s">
        <v>14</v>
      </c>
      <c r="D15" s="9">
        <v>8</v>
      </c>
      <c r="E15" s="12">
        <f>0.05*HON__CEF!I29</f>
        <v>538.17485770981364</v>
      </c>
      <c r="F15" s="13">
        <f t="shared" si="1"/>
        <v>4305.3988616785091</v>
      </c>
      <c r="H15" s="94"/>
      <c r="I15" s="94"/>
      <c r="J15" s="94">
        <v>0.05</v>
      </c>
      <c r="K15" s="94"/>
      <c r="L15" s="94"/>
      <c r="M15" s="94"/>
    </row>
    <row r="16" spans="1:13" ht="30">
      <c r="A16" s="11" t="s">
        <v>85</v>
      </c>
      <c r="B16" s="133" t="s">
        <v>108</v>
      </c>
      <c r="C16" s="15" t="s">
        <v>14</v>
      </c>
      <c r="D16" s="9">
        <v>8</v>
      </c>
      <c r="E16" s="12">
        <f>0.4*HON__CEF!I30</f>
        <v>2591.2122778620655</v>
      </c>
      <c r="F16" s="13">
        <f t="shared" si="1"/>
        <v>20729.698222896524</v>
      </c>
      <c r="H16" s="94"/>
      <c r="I16" s="94"/>
      <c r="J16" s="94"/>
      <c r="K16" s="94">
        <v>0.4</v>
      </c>
      <c r="L16" s="94"/>
      <c r="M16" s="94"/>
    </row>
    <row r="17" spans="1:13" ht="30">
      <c r="A17" s="11" t="s">
        <v>86</v>
      </c>
      <c r="B17" s="132" t="s">
        <v>57</v>
      </c>
      <c r="C17" s="8" t="s">
        <v>14</v>
      </c>
      <c r="D17" s="9">
        <v>8</v>
      </c>
      <c r="E17" s="12">
        <f>0.15*HON__CEF!I31</f>
        <v>773.29332333868012</v>
      </c>
      <c r="F17" s="13">
        <f t="shared" si="1"/>
        <v>6186.346586709441</v>
      </c>
      <c r="H17" s="94"/>
      <c r="I17" s="94"/>
      <c r="J17" s="94"/>
      <c r="K17" s="94"/>
      <c r="L17" s="94">
        <v>0.15</v>
      </c>
      <c r="M17" s="94"/>
    </row>
    <row r="18" spans="1:13" ht="15">
      <c r="A18" s="11" t="s">
        <v>58</v>
      </c>
      <c r="B18" s="132" t="s">
        <v>59</v>
      </c>
      <c r="C18" s="8" t="s">
        <v>14</v>
      </c>
      <c r="D18" s="9">
        <v>8</v>
      </c>
      <c r="E18" s="12">
        <f>0.05*HON__CEF!I29</f>
        <v>538.17485770981364</v>
      </c>
      <c r="F18" s="13">
        <f t="shared" si="1"/>
        <v>4305.3988616785091</v>
      </c>
      <c r="H18" s="94"/>
      <c r="I18" s="94"/>
      <c r="J18" s="94">
        <v>0.05</v>
      </c>
      <c r="K18" s="94"/>
      <c r="L18" s="94"/>
      <c r="M18" s="94"/>
    </row>
    <row r="19" spans="1:13" ht="15">
      <c r="A19" s="11"/>
      <c r="B19" s="14"/>
      <c r="C19" s="8"/>
      <c r="D19" s="9"/>
      <c r="E19" s="12"/>
      <c r="F19" s="13"/>
      <c r="H19" s="94"/>
      <c r="I19" s="94"/>
      <c r="J19" s="94"/>
      <c r="K19" s="94"/>
      <c r="L19" s="94"/>
      <c r="M19" s="94"/>
    </row>
    <row r="20" spans="1:13" ht="15.75">
      <c r="A20" s="11"/>
      <c r="B20" s="64" t="s">
        <v>17</v>
      </c>
      <c r="C20" s="8"/>
      <c r="D20" s="9"/>
      <c r="E20" s="16"/>
      <c r="F20" s="17">
        <f>SUM(F9:F19)</f>
        <v>205274.56099973453</v>
      </c>
      <c r="H20" s="94"/>
      <c r="I20" s="94"/>
      <c r="J20" s="94"/>
      <c r="K20" s="94"/>
      <c r="L20" s="94"/>
      <c r="M20" s="94"/>
    </row>
    <row r="21" spans="1:13" ht="15">
      <c r="A21" s="18"/>
      <c r="B21" s="19"/>
      <c r="C21" s="20"/>
      <c r="D21" s="21"/>
      <c r="E21" s="22"/>
      <c r="F21" s="23"/>
      <c r="H21" s="94"/>
      <c r="I21" s="94"/>
      <c r="J21" s="94"/>
      <c r="K21" s="94"/>
      <c r="L21" s="94"/>
      <c r="M21" s="94"/>
    </row>
    <row r="22" spans="1:13" ht="15">
      <c r="A22" s="18"/>
      <c r="B22" s="19"/>
      <c r="C22" s="20"/>
      <c r="D22" s="24"/>
      <c r="E22" s="22"/>
      <c r="F22" s="25"/>
      <c r="H22" s="94"/>
      <c r="I22" s="94"/>
      <c r="J22" s="94"/>
      <c r="K22" s="94"/>
      <c r="L22" s="94"/>
      <c r="M22" s="94"/>
    </row>
    <row r="23" spans="1:13" ht="15.75">
      <c r="A23" s="87" t="s">
        <v>60</v>
      </c>
      <c r="B23" s="65" t="s">
        <v>61</v>
      </c>
      <c r="C23" s="20"/>
      <c r="D23" s="24"/>
      <c r="E23" s="22"/>
      <c r="F23" s="25"/>
      <c r="H23" s="94"/>
      <c r="I23" s="94"/>
      <c r="J23" s="94"/>
      <c r="K23" s="94"/>
      <c r="L23" s="94"/>
      <c r="M23" s="94"/>
    </row>
    <row r="24" spans="1:13" ht="15">
      <c r="A24" s="11" t="s">
        <v>5</v>
      </c>
      <c r="B24" s="132" t="s">
        <v>62</v>
      </c>
      <c r="C24" s="8" t="s">
        <v>14</v>
      </c>
      <c r="D24" s="9">
        <v>8</v>
      </c>
      <c r="E24" s="12">
        <f>0.1*HON__CEF!I27+0.05*HON__CEF!I27</f>
        <v>2553.2218823877161</v>
      </c>
      <c r="F24" s="13">
        <f>D24*E24</f>
        <v>20425.775059101728</v>
      </c>
      <c r="H24" s="94">
        <v>0.15</v>
      </c>
      <c r="I24" s="94"/>
      <c r="J24" s="94"/>
      <c r="K24" s="94"/>
      <c r="L24" s="94"/>
      <c r="M24" s="94"/>
    </row>
    <row r="25" spans="1:13" ht="15">
      <c r="A25" s="11" t="s">
        <v>6</v>
      </c>
      <c r="B25" s="132" t="s">
        <v>63</v>
      </c>
      <c r="C25" s="8" t="s">
        <v>14</v>
      </c>
      <c r="D25" s="9">
        <v>8</v>
      </c>
      <c r="E25" s="12">
        <f>0.15*HON__CEF!I29</f>
        <v>1614.5245731294406</v>
      </c>
      <c r="F25" s="13">
        <f t="shared" ref="F25:F26" si="2">D25*E25</f>
        <v>12916.196585035525</v>
      </c>
      <c r="H25" s="94"/>
      <c r="I25" s="94"/>
      <c r="J25" s="94">
        <v>0.15</v>
      </c>
      <c r="K25" s="94"/>
      <c r="L25" s="94"/>
      <c r="M25" s="94"/>
    </row>
    <row r="26" spans="1:13" ht="15">
      <c r="A26" s="11" t="s">
        <v>7</v>
      </c>
      <c r="B26" s="132" t="s">
        <v>64</v>
      </c>
      <c r="C26" s="8" t="s">
        <v>14</v>
      </c>
      <c r="D26" s="9">
        <v>8</v>
      </c>
      <c r="E26" s="12">
        <f>0.15*HON__CEF!I31</f>
        <v>773.29332333868012</v>
      </c>
      <c r="F26" s="13">
        <f t="shared" si="2"/>
        <v>6186.346586709441</v>
      </c>
      <c r="H26" s="94"/>
      <c r="I26" s="94"/>
      <c r="J26" s="94"/>
      <c r="K26" s="94"/>
      <c r="L26" s="94">
        <v>0.15</v>
      </c>
      <c r="M26" s="94"/>
    </row>
    <row r="27" spans="1:13" ht="15">
      <c r="A27" s="11"/>
      <c r="B27" s="14"/>
      <c r="C27" s="8"/>
      <c r="D27" s="9"/>
      <c r="E27" s="12"/>
      <c r="F27" s="13"/>
      <c r="H27" s="94"/>
      <c r="I27" s="94"/>
      <c r="J27" s="94"/>
      <c r="K27" s="94"/>
      <c r="L27" s="94"/>
      <c r="M27" s="94"/>
    </row>
    <row r="28" spans="1:13" ht="15.75">
      <c r="A28" s="11"/>
      <c r="B28" s="64" t="s">
        <v>17</v>
      </c>
      <c r="C28" s="8"/>
      <c r="D28" s="9"/>
      <c r="E28" s="16"/>
      <c r="F28" s="17">
        <f>SUM(F24:F27)</f>
        <v>39528.318230846693</v>
      </c>
      <c r="H28" s="94"/>
      <c r="I28" s="94"/>
      <c r="J28" s="94"/>
      <c r="K28" s="94"/>
      <c r="L28" s="94"/>
      <c r="M28" s="94"/>
    </row>
    <row r="29" spans="1:13" ht="15.75">
      <c r="A29" s="11"/>
      <c r="B29" s="14"/>
      <c r="C29" s="8"/>
      <c r="D29" s="9"/>
      <c r="E29" s="26"/>
      <c r="F29" s="10"/>
      <c r="H29" s="94"/>
      <c r="I29" s="94"/>
      <c r="J29" s="94"/>
      <c r="K29" s="94"/>
      <c r="L29" s="94"/>
      <c r="M29" s="94"/>
    </row>
    <row r="30" spans="1:13" ht="15.75">
      <c r="A30" s="6">
        <v>3</v>
      </c>
      <c r="B30" s="65" t="s">
        <v>65</v>
      </c>
      <c r="C30" s="8"/>
      <c r="D30" s="9"/>
      <c r="E30" s="22"/>
      <c r="F30" s="23"/>
      <c r="H30" s="94"/>
      <c r="I30" s="94"/>
      <c r="J30" s="94"/>
      <c r="K30" s="94"/>
      <c r="L30" s="94"/>
      <c r="M30" s="94"/>
    </row>
    <row r="31" spans="1:13" ht="15">
      <c r="A31" s="11" t="s">
        <v>8</v>
      </c>
      <c r="B31" s="132" t="s">
        <v>115</v>
      </c>
      <c r="C31" s="8" t="s">
        <v>14</v>
      </c>
      <c r="D31" s="9">
        <v>8</v>
      </c>
      <c r="E31" s="12">
        <f>0.255*HON__CEF!I27</f>
        <v>4340.4772000591165</v>
      </c>
      <c r="F31" s="13">
        <f>D31*E31</f>
        <v>34723.817600472932</v>
      </c>
      <c r="H31" s="94">
        <v>0.255</v>
      </c>
      <c r="I31" s="94"/>
      <c r="J31" s="94"/>
      <c r="K31" s="94"/>
      <c r="L31" s="94"/>
      <c r="M31" s="94"/>
    </row>
    <row r="32" spans="1:13" ht="15">
      <c r="A32" s="11" t="s">
        <v>9</v>
      </c>
      <c r="B32" s="132" t="s">
        <v>66</v>
      </c>
      <c r="C32" s="8" t="s">
        <v>14</v>
      </c>
      <c r="D32" s="9">
        <v>8</v>
      </c>
      <c r="E32" s="12">
        <f>0.04*HON__CEF!I27</f>
        <v>680.85916863672423</v>
      </c>
      <c r="F32" s="13">
        <f t="shared" ref="F32:F54" si="3">D32*E32</f>
        <v>5446.8733490937939</v>
      </c>
      <c r="H32" s="94">
        <v>0.04</v>
      </c>
      <c r="I32" s="94"/>
      <c r="J32" s="94"/>
      <c r="K32" s="94"/>
      <c r="L32" s="94"/>
      <c r="M32" s="94"/>
    </row>
    <row r="33" spans="1:13" ht="15">
      <c r="A33" s="11" t="s">
        <v>18</v>
      </c>
      <c r="B33" s="132" t="s">
        <v>67</v>
      </c>
      <c r="C33" s="8" t="s">
        <v>14</v>
      </c>
      <c r="D33" s="9">
        <v>8</v>
      </c>
      <c r="E33" s="12">
        <f>0.04*HON__CEF!I27</f>
        <v>680.85916863672423</v>
      </c>
      <c r="F33" s="13">
        <f t="shared" si="3"/>
        <v>5446.8733490937939</v>
      </c>
      <c r="H33" s="94">
        <v>0.04</v>
      </c>
      <c r="I33" s="94"/>
      <c r="J33" s="94"/>
      <c r="K33" s="94"/>
      <c r="L33" s="94"/>
      <c r="M33" s="94"/>
    </row>
    <row r="34" spans="1:13" ht="15">
      <c r="A34" s="11" t="s">
        <v>37</v>
      </c>
      <c r="B34" s="132" t="s">
        <v>68</v>
      </c>
      <c r="C34" s="8" t="s">
        <v>14</v>
      </c>
      <c r="D34" s="9">
        <v>8</v>
      </c>
      <c r="E34" s="12">
        <f>0.06*HON__CEF!I27</f>
        <v>1021.2887529550862</v>
      </c>
      <c r="F34" s="13">
        <f t="shared" si="3"/>
        <v>8170.3100236406899</v>
      </c>
      <c r="H34" s="94">
        <v>0.06</v>
      </c>
      <c r="I34" s="94"/>
      <c r="J34" s="94"/>
      <c r="K34" s="94"/>
      <c r="L34" s="94"/>
      <c r="M34" s="94"/>
    </row>
    <row r="35" spans="1:13" ht="15">
      <c r="A35" s="11" t="s">
        <v>87</v>
      </c>
      <c r="B35" s="132" t="s">
        <v>69</v>
      </c>
      <c r="C35" s="8" t="s">
        <v>14</v>
      </c>
      <c r="D35" s="9">
        <v>8</v>
      </c>
      <c r="E35" s="12">
        <f>0.075*HON__CEF!I27</f>
        <v>1276.6109411938578</v>
      </c>
      <c r="F35" s="13">
        <f t="shared" si="3"/>
        <v>10212.887529550862</v>
      </c>
      <c r="H35" s="94">
        <v>7.4999999999999997E-2</v>
      </c>
      <c r="I35" s="94"/>
      <c r="J35" s="94"/>
      <c r="K35" s="94"/>
      <c r="L35" s="94"/>
      <c r="M35" s="94"/>
    </row>
    <row r="36" spans="1:13" ht="15">
      <c r="A36" s="11" t="s">
        <v>88</v>
      </c>
      <c r="B36" s="132" t="s">
        <v>131</v>
      </c>
      <c r="C36" s="8" t="s">
        <v>14</v>
      </c>
      <c r="D36" s="9">
        <v>8</v>
      </c>
      <c r="E36" s="12">
        <f>0.05*HON__CEF!I27</f>
        <v>851.07396079590535</v>
      </c>
      <c r="F36" s="13">
        <f t="shared" si="3"/>
        <v>6808.5916863672428</v>
      </c>
      <c r="H36" s="94">
        <v>0.05</v>
      </c>
      <c r="I36" s="94"/>
      <c r="J36" s="94"/>
      <c r="K36" s="94"/>
      <c r="L36" s="94"/>
      <c r="M36" s="94"/>
    </row>
    <row r="37" spans="1:13" ht="15">
      <c r="A37" s="11" t="s">
        <v>89</v>
      </c>
      <c r="B37" s="132" t="s">
        <v>70</v>
      </c>
      <c r="C37" s="8" t="s">
        <v>14</v>
      </c>
      <c r="D37" s="9">
        <v>8</v>
      </c>
      <c r="E37" s="12">
        <f>0.3*HON__CEF!I33</f>
        <v>5210.7917974635611</v>
      </c>
      <c r="F37" s="13">
        <f t="shared" si="3"/>
        <v>41686.334379708489</v>
      </c>
      <c r="H37" s="94"/>
      <c r="I37" s="94">
        <v>0.3</v>
      </c>
      <c r="J37" s="94"/>
      <c r="K37" s="94"/>
      <c r="L37" s="94"/>
      <c r="M37" s="94"/>
    </row>
    <row r="38" spans="1:13" ht="15">
      <c r="A38" s="11" t="s">
        <v>90</v>
      </c>
      <c r="B38" s="132" t="s">
        <v>71</v>
      </c>
      <c r="C38" s="8" t="s">
        <v>14</v>
      </c>
      <c r="D38" s="9">
        <v>8</v>
      </c>
      <c r="E38" s="12">
        <f>0.3*HON__CEF!I28</f>
        <v>1793.9161923660452</v>
      </c>
      <c r="F38" s="13">
        <f t="shared" si="3"/>
        <v>14351.329538928361</v>
      </c>
      <c r="H38" s="94"/>
      <c r="I38" s="94">
        <v>0.3</v>
      </c>
      <c r="J38" s="94"/>
      <c r="K38" s="94"/>
      <c r="L38" s="94"/>
      <c r="M38" s="94"/>
    </row>
    <row r="39" spans="1:13" ht="15">
      <c r="A39" s="11" t="s">
        <v>91</v>
      </c>
      <c r="B39" s="132" t="s">
        <v>72</v>
      </c>
      <c r="C39" s="8" t="s">
        <v>14</v>
      </c>
      <c r="D39" s="9">
        <v>8</v>
      </c>
      <c r="E39" s="12">
        <f>0.15*HON__CEF!I31</f>
        <v>773.29332333868012</v>
      </c>
      <c r="F39" s="13">
        <f t="shared" si="3"/>
        <v>6186.346586709441</v>
      </c>
      <c r="H39" s="94"/>
      <c r="I39" s="94"/>
      <c r="J39" s="94"/>
      <c r="K39" s="94"/>
      <c r="L39" s="94">
        <v>0.15</v>
      </c>
      <c r="M39" s="94"/>
    </row>
    <row r="40" spans="1:13" ht="15">
      <c r="A40" s="11" t="s">
        <v>92</v>
      </c>
      <c r="B40" s="132" t="s">
        <v>73</v>
      </c>
      <c r="C40" s="8" t="s">
        <v>14</v>
      </c>
      <c r="D40" s="9">
        <v>8</v>
      </c>
      <c r="E40" s="12">
        <f>0.15*HON__CEF!I31</f>
        <v>773.29332333868012</v>
      </c>
      <c r="F40" s="13">
        <f t="shared" si="3"/>
        <v>6186.346586709441</v>
      </c>
      <c r="H40" s="94"/>
      <c r="I40" s="94"/>
      <c r="J40" s="94"/>
      <c r="K40" s="94"/>
      <c r="L40" s="94">
        <v>0.15</v>
      </c>
      <c r="M40" s="94"/>
    </row>
    <row r="41" spans="1:13" ht="15">
      <c r="A41" s="11" t="s">
        <v>93</v>
      </c>
      <c r="B41" s="132" t="s">
        <v>74</v>
      </c>
      <c r="C41" s="8" t="s">
        <v>14</v>
      </c>
      <c r="D41" s="9">
        <v>8</v>
      </c>
      <c r="E41" s="12">
        <f>0.1*HON__CEF!I31</f>
        <v>515.52888222578679</v>
      </c>
      <c r="F41" s="13">
        <f t="shared" si="3"/>
        <v>4124.2310578062943</v>
      </c>
      <c r="H41" s="94"/>
      <c r="I41" s="94"/>
      <c r="J41" s="94"/>
      <c r="K41" s="94"/>
      <c r="L41" s="94">
        <v>0.1</v>
      </c>
      <c r="M41" s="94"/>
    </row>
    <row r="42" spans="1:13" ht="15">
      <c r="A42" s="11" t="s">
        <v>94</v>
      </c>
      <c r="B42" s="132" t="s">
        <v>75</v>
      </c>
      <c r="C42" s="8" t="s">
        <v>14</v>
      </c>
      <c r="D42" s="9">
        <v>8</v>
      </c>
      <c r="E42" s="12">
        <f>0.05*HON__CEF!I31</f>
        <v>257.76444111289339</v>
      </c>
      <c r="F42" s="13">
        <f t="shared" si="3"/>
        <v>2062.1155289031472</v>
      </c>
      <c r="H42" s="94"/>
      <c r="I42" s="94"/>
      <c r="J42" s="94"/>
      <c r="K42" s="94"/>
      <c r="L42" s="94">
        <v>0.05</v>
      </c>
      <c r="M42" s="94"/>
    </row>
    <row r="43" spans="1:13" ht="15">
      <c r="A43" s="11" t="s">
        <v>95</v>
      </c>
      <c r="B43" s="132" t="s">
        <v>116</v>
      </c>
      <c r="C43" s="8" t="s">
        <v>14</v>
      </c>
      <c r="D43" s="9">
        <v>8</v>
      </c>
      <c r="E43" s="12">
        <f>0.2*HON__CEF!I29</f>
        <v>2152.6994308392545</v>
      </c>
      <c r="F43" s="13">
        <f t="shared" si="3"/>
        <v>17221.595446714036</v>
      </c>
      <c r="H43" s="94"/>
      <c r="I43" s="94"/>
      <c r="J43" s="94">
        <v>0.2</v>
      </c>
      <c r="K43" s="94"/>
      <c r="L43" s="94"/>
      <c r="M43" s="94"/>
    </row>
    <row r="44" spans="1:13" ht="15">
      <c r="A44" s="11" t="s">
        <v>96</v>
      </c>
      <c r="B44" s="132" t="s">
        <v>76</v>
      </c>
      <c r="C44" s="8" t="s">
        <v>14</v>
      </c>
      <c r="D44" s="9">
        <v>8</v>
      </c>
      <c r="E44" s="12">
        <f>0.1*HON__CEF!I29</f>
        <v>1076.3497154196273</v>
      </c>
      <c r="F44" s="13">
        <f t="shared" si="3"/>
        <v>8610.7977233570182</v>
      </c>
      <c r="H44" s="94"/>
      <c r="I44" s="94"/>
      <c r="J44" s="94">
        <v>0.1</v>
      </c>
      <c r="K44" s="94"/>
      <c r="L44" s="94"/>
      <c r="M44" s="94"/>
    </row>
    <row r="45" spans="1:13" ht="15">
      <c r="A45" s="11" t="s">
        <v>97</v>
      </c>
      <c r="B45" s="132" t="s">
        <v>77</v>
      </c>
      <c r="C45" s="8" t="s">
        <v>14</v>
      </c>
      <c r="D45" s="9">
        <v>8</v>
      </c>
      <c r="E45" s="12">
        <f>0.05*HON__CEF!I29</f>
        <v>538.17485770981364</v>
      </c>
      <c r="F45" s="13">
        <f t="shared" si="3"/>
        <v>4305.3988616785091</v>
      </c>
      <c r="H45" s="94"/>
      <c r="I45" s="94"/>
      <c r="J45" s="94">
        <v>0.05</v>
      </c>
      <c r="K45" s="94"/>
      <c r="L45" s="94"/>
      <c r="M45" s="94"/>
    </row>
    <row r="46" spans="1:13" ht="30">
      <c r="A46" s="11" t="s">
        <v>98</v>
      </c>
      <c r="B46" s="132" t="s">
        <v>129</v>
      </c>
      <c r="C46" s="15" t="s">
        <v>14</v>
      </c>
      <c r="D46" s="9">
        <v>8</v>
      </c>
      <c r="E46" s="12">
        <f>0.1*HON__CEF!I29</f>
        <v>1076.3497154196273</v>
      </c>
      <c r="F46" s="13">
        <f t="shared" si="3"/>
        <v>8610.7977233570182</v>
      </c>
      <c r="H46" s="94"/>
      <c r="I46" s="94"/>
      <c r="J46" s="94">
        <v>0.1</v>
      </c>
      <c r="K46" s="94"/>
      <c r="L46" s="94"/>
      <c r="M46" s="94"/>
    </row>
    <row r="47" spans="1:13" ht="30">
      <c r="A47" s="11" t="s">
        <v>99</v>
      </c>
      <c r="B47" s="132" t="s">
        <v>109</v>
      </c>
      <c r="C47" s="8" t="s">
        <v>14</v>
      </c>
      <c r="D47" s="9">
        <v>8</v>
      </c>
      <c r="E47" s="12">
        <f>0.6*HON__CEF!I30</f>
        <v>3886.8184167930981</v>
      </c>
      <c r="F47" s="13">
        <f t="shared" si="3"/>
        <v>31094.547334344785</v>
      </c>
      <c r="H47" s="94"/>
      <c r="I47" s="94"/>
      <c r="J47" s="94"/>
      <c r="K47" s="94">
        <v>0.6</v>
      </c>
      <c r="L47" s="94"/>
      <c r="M47" s="94"/>
    </row>
    <row r="48" spans="1:13" ht="15">
      <c r="A48" s="11" t="s">
        <v>100</v>
      </c>
      <c r="B48" s="132" t="s">
        <v>78</v>
      </c>
      <c r="C48" s="8" t="s">
        <v>14</v>
      </c>
      <c r="D48" s="9">
        <v>8</v>
      </c>
      <c r="E48" s="12">
        <f>0.1*HON__CEF!I31</f>
        <v>515.52888222578679</v>
      </c>
      <c r="F48" s="13">
        <f t="shared" si="3"/>
        <v>4124.2310578062943</v>
      </c>
      <c r="H48" s="94"/>
      <c r="I48" s="94"/>
      <c r="J48" s="94"/>
      <c r="K48" s="94"/>
      <c r="L48" s="94">
        <v>0.1</v>
      </c>
      <c r="M48" s="94"/>
    </row>
    <row r="49" spans="1:13" ht="15">
      <c r="A49" s="11" t="s">
        <v>101</v>
      </c>
      <c r="B49" s="132" t="s">
        <v>79</v>
      </c>
      <c r="C49" s="8" t="s">
        <v>14</v>
      </c>
      <c r="D49" s="9">
        <v>8</v>
      </c>
      <c r="E49" s="12">
        <f>0.06*HON__CEF!I29</f>
        <v>645.80982925177625</v>
      </c>
      <c r="F49" s="13">
        <f t="shared" si="3"/>
        <v>5166.47863401421</v>
      </c>
      <c r="H49" s="94"/>
      <c r="I49" s="94"/>
      <c r="J49" s="94">
        <v>0.06</v>
      </c>
      <c r="K49" s="94"/>
      <c r="L49" s="94"/>
      <c r="M49" s="94"/>
    </row>
    <row r="50" spans="1:13" ht="15">
      <c r="A50" s="11" t="s">
        <v>102</v>
      </c>
      <c r="B50" s="132" t="s">
        <v>80</v>
      </c>
      <c r="C50" s="8" t="s">
        <v>14</v>
      </c>
      <c r="D50" s="9">
        <v>8</v>
      </c>
      <c r="E50" s="12">
        <f>0.04*HON__CEF!I29</f>
        <v>430.53988616785085</v>
      </c>
      <c r="F50" s="13">
        <f t="shared" si="3"/>
        <v>3444.3190893428068</v>
      </c>
      <c r="H50" s="94"/>
      <c r="I50" s="94"/>
      <c r="J50" s="94">
        <v>0.04</v>
      </c>
      <c r="K50" s="94"/>
      <c r="L50" s="94"/>
      <c r="M50" s="94"/>
    </row>
    <row r="51" spans="1:13" ht="15">
      <c r="A51" s="11" t="s">
        <v>103</v>
      </c>
      <c r="B51" s="132" t="s">
        <v>81</v>
      </c>
      <c r="C51" s="8" t="s">
        <v>14</v>
      </c>
      <c r="D51" s="9">
        <v>8</v>
      </c>
      <c r="E51" s="12">
        <f>0.3*HON__CEF!I32</f>
        <v>1195.9441282440303</v>
      </c>
      <c r="F51" s="13">
        <f t="shared" si="3"/>
        <v>9567.553025952242</v>
      </c>
      <c r="H51" s="94"/>
      <c r="I51" s="94"/>
      <c r="J51" s="94"/>
      <c r="K51" s="94"/>
      <c r="L51" s="94"/>
      <c r="M51" s="94">
        <v>0.3</v>
      </c>
    </row>
    <row r="52" spans="1:13" ht="15">
      <c r="A52" s="11" t="s">
        <v>104</v>
      </c>
      <c r="B52" s="132" t="s">
        <v>110</v>
      </c>
      <c r="C52" s="8" t="s">
        <v>14</v>
      </c>
      <c r="D52" s="9">
        <v>8</v>
      </c>
      <c r="E52" s="12">
        <f>0.3*HON__CEF!I32</f>
        <v>1195.9441282440303</v>
      </c>
      <c r="F52" s="13">
        <f t="shared" si="3"/>
        <v>9567.553025952242</v>
      </c>
      <c r="H52" s="94"/>
      <c r="I52" s="94"/>
      <c r="J52" s="94"/>
      <c r="K52" s="94"/>
      <c r="L52" s="94"/>
      <c r="M52" s="94">
        <v>0.3</v>
      </c>
    </row>
    <row r="53" spans="1:13" ht="15">
      <c r="A53" s="11" t="s">
        <v>105</v>
      </c>
      <c r="B53" s="132" t="s">
        <v>82</v>
      </c>
      <c r="C53" s="8" t="s">
        <v>14</v>
      </c>
      <c r="D53" s="9">
        <v>8</v>
      </c>
      <c r="E53" s="12">
        <f>0.1*HON__CEF!I32</f>
        <v>398.64804274801008</v>
      </c>
      <c r="F53" s="13">
        <f t="shared" si="3"/>
        <v>3189.1843419840807</v>
      </c>
      <c r="H53" s="94"/>
      <c r="I53" s="94"/>
      <c r="J53" s="94"/>
      <c r="K53" s="94"/>
      <c r="L53" s="94"/>
      <c r="M53" s="94">
        <v>0.1</v>
      </c>
    </row>
    <row r="54" spans="1:13" ht="45">
      <c r="A54" s="11" t="s">
        <v>130</v>
      </c>
      <c r="B54" s="132" t="s">
        <v>128</v>
      </c>
      <c r="C54" s="15" t="s">
        <v>14</v>
      </c>
      <c r="D54" s="9">
        <v>8</v>
      </c>
      <c r="E54" s="66">
        <f>0.3*HON__CEF!I32</f>
        <v>1195.9441282440303</v>
      </c>
      <c r="F54" s="13">
        <f t="shared" si="3"/>
        <v>9567.553025952242</v>
      </c>
      <c r="H54" s="94"/>
      <c r="I54" s="94"/>
      <c r="J54" s="94"/>
      <c r="K54" s="94"/>
      <c r="L54" s="94"/>
      <c r="M54" s="94">
        <v>0.3</v>
      </c>
    </row>
    <row r="55" spans="1:13" ht="15">
      <c r="A55" s="67"/>
      <c r="B55" s="14"/>
      <c r="C55" s="68"/>
      <c r="D55" s="69"/>
      <c r="E55" s="70"/>
      <c r="F55" s="71"/>
      <c r="H55" s="94"/>
      <c r="I55" s="94"/>
      <c r="J55" s="94"/>
      <c r="K55" s="94"/>
      <c r="L55" s="94"/>
      <c r="M55" s="94"/>
    </row>
    <row r="56" spans="1:13" ht="15.75">
      <c r="A56" s="72"/>
      <c r="B56" s="73" t="s">
        <v>17</v>
      </c>
      <c r="C56" s="74"/>
      <c r="D56" s="75"/>
      <c r="E56" s="76"/>
      <c r="F56" s="77">
        <f>SUM(F31:F55)</f>
        <v>259876.06650743997</v>
      </c>
      <c r="H56" s="94"/>
      <c r="I56" s="94"/>
      <c r="J56" s="94"/>
      <c r="K56" s="94"/>
      <c r="L56" s="94"/>
      <c r="M56" s="94"/>
    </row>
    <row r="57" spans="1:13" ht="15">
      <c r="A57" s="27"/>
      <c r="B57" s="19"/>
      <c r="C57" s="20"/>
      <c r="D57" s="24"/>
      <c r="E57" s="21"/>
      <c r="F57" s="28"/>
      <c r="H57" s="94"/>
      <c r="I57" s="94"/>
      <c r="J57" s="94"/>
      <c r="K57" s="94"/>
      <c r="L57" s="94"/>
      <c r="M57" s="94"/>
    </row>
    <row r="58" spans="1:13" ht="15.75">
      <c r="A58" s="27"/>
      <c r="B58" s="29" t="s">
        <v>19</v>
      </c>
      <c r="C58" s="20"/>
      <c r="D58" s="24"/>
      <c r="E58" s="21"/>
      <c r="F58" s="17">
        <f>+F20+F28+F56</f>
        <v>504678.94573802117</v>
      </c>
      <c r="H58" s="94"/>
      <c r="I58" s="94"/>
      <c r="J58" s="94"/>
      <c r="K58" s="94"/>
      <c r="L58" s="94"/>
      <c r="M58" s="94"/>
    </row>
    <row r="59" spans="1:13" ht="15.75">
      <c r="A59" s="27"/>
      <c r="B59" s="29" t="s">
        <v>20</v>
      </c>
      <c r="C59" s="20" t="s">
        <v>10</v>
      </c>
      <c r="D59" s="88">
        <v>19.12</v>
      </c>
      <c r="E59" s="21"/>
      <c r="F59" s="17">
        <f>F58*D59/100</f>
        <v>96494.614425109641</v>
      </c>
      <c r="H59" s="94"/>
      <c r="I59" s="94"/>
      <c r="J59" s="94"/>
      <c r="K59" s="94"/>
      <c r="L59" s="94"/>
      <c r="M59" s="94"/>
    </row>
    <row r="60" spans="1:13" ht="16.5" thickBot="1">
      <c r="A60" s="30"/>
      <c r="B60" s="31" t="s">
        <v>21</v>
      </c>
      <c r="C60" s="32"/>
      <c r="D60" s="33"/>
      <c r="E60" s="34"/>
      <c r="F60" s="35">
        <f>F58+F59</f>
        <v>601173.56016313075</v>
      </c>
    </row>
  </sheetData>
  <mergeCells count="6">
    <mergeCell ref="A2:F2"/>
    <mergeCell ref="A3:F3"/>
    <mergeCell ref="A4:D4"/>
    <mergeCell ref="E4:F4"/>
    <mergeCell ref="A5:D5"/>
    <mergeCell ref="E5:F5"/>
  </mergeCells>
  <pageMargins left="0.62992125984251968" right="0.51181102362204722" top="0.55118110236220474" bottom="0.78740157480314965" header="0.31496062992125984" footer="0.31496062992125984"/>
  <pageSetup paperSize="9" scale="4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topLeftCell="A79" workbookViewId="0">
      <selection activeCell="E88" sqref="E88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1491.42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>
        <v>512.72</v>
      </c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>
        <v>63</v>
      </c>
      <c r="C4" s="40">
        <v>63</v>
      </c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2067.1400000000003</v>
      </c>
      <c r="C5" s="103">
        <f>SUM(C2:C4)</f>
        <v>1554.42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141" t="s">
        <v>23</v>
      </c>
      <c r="E7" s="141" t="s">
        <v>24</v>
      </c>
      <c r="H7" s="141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141" t="s">
        <v>25</v>
      </c>
      <c r="B8" s="141" t="s">
        <v>26</v>
      </c>
      <c r="C8" s="143" t="s">
        <v>214</v>
      </c>
      <c r="D8" s="61" t="s">
        <v>43</v>
      </c>
      <c r="E8" s="61" t="s">
        <v>215</v>
      </c>
      <c r="G8" s="141"/>
      <c r="H8" s="78" t="s">
        <v>215</v>
      </c>
      <c r="I8" s="141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1876.4259999999999</v>
      </c>
      <c r="D9" s="40">
        <f t="shared" ref="D9:D14" si="0">B9*C9</f>
        <v>37.52852</v>
      </c>
      <c r="E9" s="41">
        <f t="shared" ref="E9:E14" si="1">B9*C9*$C$18</f>
        <v>77576.704832800009</v>
      </c>
      <c r="H9" s="41">
        <f t="shared" ref="H9:H14" si="2">B9*C9*$H$18</f>
        <v>58218.45842964801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1</v>
      </c>
      <c r="X9" s="12">
        <f>0.25*I21+K41</f>
        <v>25716.135607412005</v>
      </c>
      <c r="Y9" s="13">
        <f>W9*X9</f>
        <v>25716.135607412005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1876.4259999999999</v>
      </c>
      <c r="D10" s="40">
        <f t="shared" si="0"/>
        <v>11.258555999999999</v>
      </c>
      <c r="E10" s="41">
        <f t="shared" si="1"/>
        <v>23273.01144984</v>
      </c>
      <c r="H10" s="41">
        <f t="shared" si="2"/>
        <v>17465.537528894401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7277.3073037060012</v>
      </c>
      <c r="Y10" s="13">
        <f t="shared" ref="Y10:Y18" si="4">W10*X10</f>
        <v>7277.3073037060012</v>
      </c>
    </row>
    <row r="11" spans="1:25" ht="15">
      <c r="A11" s="36" t="s">
        <v>28</v>
      </c>
      <c r="B11" s="90">
        <v>1.0800000000000001E-2</v>
      </c>
      <c r="C11" s="40">
        <f t="shared" si="3"/>
        <v>1876.4259999999999</v>
      </c>
      <c r="D11" s="40">
        <f t="shared" si="0"/>
        <v>20.265400800000002</v>
      </c>
      <c r="E11" s="41">
        <f t="shared" si="1"/>
        <v>41891.420609712011</v>
      </c>
      <c r="H11" s="41">
        <f t="shared" si="2"/>
        <v>31437.967552009926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4657.476674371841</v>
      </c>
      <c r="Y11" s="13">
        <f t="shared" si="4"/>
        <v>4657.476674371841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1876.4259999999999</v>
      </c>
      <c r="D12" s="40">
        <f t="shared" si="0"/>
        <v>12.196769</v>
      </c>
      <c r="E12" s="41">
        <f t="shared" si="1"/>
        <v>25212.429070660004</v>
      </c>
      <c r="H12" s="41">
        <f t="shared" si="2"/>
        <v>18920.998989635602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2619.8306293341602</v>
      </c>
      <c r="Y12" s="13">
        <f t="shared" si="4"/>
        <v>2619.8306293341602</v>
      </c>
    </row>
    <row r="13" spans="1:25" ht="15">
      <c r="A13" s="36" t="s">
        <v>30</v>
      </c>
      <c r="B13" s="90">
        <v>4.7000000000000002E-3</v>
      </c>
      <c r="C13" s="40">
        <f t="shared" si="3"/>
        <v>1876.4259999999999</v>
      </c>
      <c r="D13" s="40">
        <f t="shared" si="0"/>
        <v>8.8192021999999994</v>
      </c>
      <c r="E13" s="41">
        <f t="shared" si="1"/>
        <v>18230.525635708003</v>
      </c>
      <c r="H13" s="41">
        <f>B13*C13*$H$19</f>
        <v>15030.67566756728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2254.6013501350922</v>
      </c>
      <c r="Y13" s="13">
        <f t="shared" si="4"/>
        <v>2254.6013501350922</v>
      </c>
    </row>
    <row r="14" spans="1:25" ht="30">
      <c r="A14" s="36" t="s">
        <v>31</v>
      </c>
      <c r="B14" s="90">
        <v>4.0000000000000001E-3</v>
      </c>
      <c r="C14" s="40">
        <f t="shared" si="3"/>
        <v>1876.4259999999999</v>
      </c>
      <c r="D14" s="40">
        <f t="shared" si="0"/>
        <v>7.5057039999999997</v>
      </c>
      <c r="E14" s="41">
        <f t="shared" si="1"/>
        <v>15515.340966560001</v>
      </c>
      <c r="H14" s="41">
        <f t="shared" si="2"/>
        <v>11643.691685929602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6287.5935104019854</v>
      </c>
      <c r="Y14" s="13">
        <f t="shared" si="4"/>
        <v>6287.5935104019854</v>
      </c>
    </row>
    <row r="15" spans="1:25" ht="30">
      <c r="D15" s="42">
        <f>SUM(D9:D14)</f>
        <v>97.574151999999984</v>
      </c>
      <c r="E15" s="42">
        <f>SUM(E9:E14)</f>
        <v>201699.43256528003</v>
      </c>
      <c r="H15" s="42">
        <f>SUM(H9:H14)</f>
        <v>152717.32985368482</v>
      </c>
      <c r="I15" s="139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1571.8983776004964</v>
      </c>
      <c r="Y15" s="13">
        <f t="shared" si="4"/>
        <v>1571.8983776004964</v>
      </c>
    </row>
    <row r="16" spans="1:25" ht="30">
      <c r="E16" s="41">
        <f>E15/C18</f>
        <v>97.574151999999998</v>
      </c>
      <c r="H16" s="41">
        <f>H15/C18</f>
        <v>73.878561613477942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7568.3995958542409</v>
      </c>
      <c r="Y16" s="13">
        <f t="shared" si="4"/>
        <v>7568.3995958542409</v>
      </c>
    </row>
    <row r="17" spans="1:25" ht="30">
      <c r="E17" s="43">
        <f>D15/1200</f>
        <v>8.1311793333333326E-2</v>
      </c>
      <c r="H17" s="43">
        <f>H16/1200</f>
        <v>6.1565468011231618E-2</v>
      </c>
      <c r="I17" s="43">
        <f>H16/1840</f>
        <v>4.0151392181238012E-2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2254.6013501350922</v>
      </c>
      <c r="Y17" s="13">
        <f t="shared" si="4"/>
        <v>2254.6013501350922</v>
      </c>
    </row>
    <row r="18" spans="1:25" ht="15">
      <c r="A18" s="206" t="s">
        <v>44</v>
      </c>
      <c r="B18" s="206"/>
      <c r="C18" s="62">
        <f>B5</f>
        <v>2067.1400000000003</v>
      </c>
      <c r="G18" s="142" t="s">
        <v>45</v>
      </c>
      <c r="H18" s="45">
        <f>(300+(500*0.83)+(C18-800)*0.66)</f>
        <v>1551.3124000000003</v>
      </c>
      <c r="I18" s="40">
        <f>H18/C18</f>
        <v>0.75046315198777058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1571.8983776004964</v>
      </c>
      <c r="Y18" s="13">
        <f t="shared" si="4"/>
        <v>1571.8983776004964</v>
      </c>
    </row>
    <row r="19" spans="1:25" ht="15">
      <c r="A19" s="142" t="s">
        <v>217</v>
      </c>
      <c r="B19" s="46">
        <v>41487</v>
      </c>
      <c r="C19" s="59">
        <v>1103.78</v>
      </c>
      <c r="G19" s="142" t="s">
        <v>48</v>
      </c>
      <c r="H19" s="45">
        <f>(500+(1000*0.83)+(C18-1500)*0.66)</f>
        <v>1704.3124000000003</v>
      </c>
      <c r="I19" s="40">
        <f>H19/C18</f>
        <v>0.82447845815958276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61779.742776551415</v>
      </c>
    </row>
    <row r="21" spans="1:25" ht="15">
      <c r="H21" s="60" t="s">
        <v>27</v>
      </c>
      <c r="I21" s="47">
        <f t="shared" ref="I21:I26" si="5">H9</f>
        <v>58218.45842964801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17465.537528894401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31437.967552009926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18920.998989635602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8732.7687644472026</v>
      </c>
      <c r="Y24" s="13">
        <f>W24*X24</f>
        <v>8732.7687644472026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15030.67566756728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4715.6951328014884</v>
      </c>
      <c r="Y25" s="13">
        <f t="shared" ref="Y25:Y26" si="6">W25*X25</f>
        <v>4715.6951328014884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11643.691685929602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2254.6013501350922</v>
      </c>
      <c r="Y26" s="13">
        <f t="shared" si="6"/>
        <v>2254.6013501350922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152717.32985368482</v>
      </c>
      <c r="J28" s="41"/>
      <c r="T28" s="11"/>
      <c r="U28" s="64" t="s">
        <v>17</v>
      </c>
      <c r="V28" s="8"/>
      <c r="W28" s="9"/>
      <c r="X28" s="16"/>
      <c r="Y28" s="17">
        <f>SUM(Y24:Y27)</f>
        <v>15703.065247383782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142" t="s">
        <v>49</v>
      </c>
      <c r="I30" s="42">
        <f>I28/C18</f>
        <v>73.878561613477942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14845.706899560242</v>
      </c>
      <c r="Y31" s="13">
        <f>W31*X31</f>
        <v>14845.706899560242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2328.7383371859205</v>
      </c>
      <c r="Y32" s="13">
        <f t="shared" ref="Y32:Y54" si="7">W32*X32</f>
        <v>2328.7383371859205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2328.7383371859205</v>
      </c>
      <c r="Y33" s="13">
        <f t="shared" si="7"/>
        <v>2328.7383371859205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3493.1075057788803</v>
      </c>
      <c r="Y34" s="13">
        <f t="shared" si="7"/>
        <v>3493.1075057788803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4366.3843822236004</v>
      </c>
      <c r="Y35" s="13">
        <f t="shared" si="7"/>
        <v>4366.3843822236004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2910.9229214824009</v>
      </c>
      <c r="Y36" s="13">
        <f t="shared" si="7"/>
        <v>2910.9229214824009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5239.6612586683204</v>
      </c>
      <c r="Y37" s="13">
        <f t="shared" si="7"/>
        <v>5239.6612586683204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5239.6612586683204</v>
      </c>
      <c r="Y38" s="13">
        <f t="shared" si="7"/>
        <v>5239.6612586683204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2254.6013501350922</v>
      </c>
      <c r="Y39" s="13">
        <f t="shared" si="7"/>
        <v>2254.6013501350922</v>
      </c>
    </row>
    <row r="40" spans="1:25" ht="15">
      <c r="A40" s="89" t="s">
        <v>236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2254.6013501350922</v>
      </c>
      <c r="Y40" s="13">
        <f t="shared" si="7"/>
        <v>2254.6013501350922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0.39</v>
      </c>
      <c r="H41" s="92">
        <v>8251.9500000000007</v>
      </c>
      <c r="I41" s="40">
        <f>G41*H41</f>
        <v>3218.2605000000003</v>
      </c>
      <c r="J41" s="112">
        <f>I41+D99</f>
        <v>7943.2605000000003</v>
      </c>
      <c r="K41" s="111">
        <f>J41+I41</f>
        <v>11161.521000000001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1503.0675667567282</v>
      </c>
      <c r="Y41" s="13">
        <f t="shared" si="7"/>
        <v>1503.0675667567282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751.53378337836409</v>
      </c>
      <c r="Y42" s="13">
        <f t="shared" si="7"/>
        <v>751.53378337836409</v>
      </c>
    </row>
    <row r="43" spans="1:25" ht="15">
      <c r="I43" s="41">
        <f>I28+J41</f>
        <v>160660.59035368482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6287.5935104019854</v>
      </c>
      <c r="Y43" s="13">
        <f t="shared" si="7"/>
        <v>6287.5935104019854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3143.7967552009927</v>
      </c>
      <c r="Y44" s="13">
        <f t="shared" si="7"/>
        <v>3143.7967552009927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1571.8983776004964</v>
      </c>
      <c r="Y45" s="13">
        <f t="shared" si="7"/>
        <v>1571.8983776004964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3143.7967552009927</v>
      </c>
      <c r="Y46" s="13">
        <f t="shared" si="7"/>
        <v>3143.7967552009927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11352.59939378136</v>
      </c>
      <c r="Y47" s="13">
        <f t="shared" si="7"/>
        <v>11352.59939378136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1503.0675667567282</v>
      </c>
      <c r="Y48" s="13">
        <f t="shared" si="7"/>
        <v>1503.0675667567282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1886.2780531205956</v>
      </c>
      <c r="Y49" s="13">
        <f t="shared" si="7"/>
        <v>1886.2780531205956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1257.5187020803971</v>
      </c>
      <c r="Y50" s="13">
        <f t="shared" si="7"/>
        <v>1257.5187020803971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3493.1075057788803</v>
      </c>
      <c r="Y51" s="13">
        <f t="shared" si="7"/>
        <v>3493.1075057788803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3493.1075057788803</v>
      </c>
      <c r="Y52" s="13">
        <f t="shared" si="7"/>
        <v>3493.1075057788803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1164.3691685929602</v>
      </c>
      <c r="Y53" s="13">
        <f t="shared" si="7"/>
        <v>1164.3691685929602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3493.1075057788803</v>
      </c>
      <c r="Y54" s="13">
        <f t="shared" si="7"/>
        <v>3493.1075057788803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89306.965751232041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166789.77377516724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34175.224646531766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200964.99842169901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47</v>
      </c>
      <c r="E88" s="108" t="s">
        <v>235</v>
      </c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4230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4725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A35:I35"/>
    <mergeCell ref="A41:E41"/>
    <mergeCell ref="A64:I64"/>
    <mergeCell ref="A18:B18"/>
    <mergeCell ref="B31:C31"/>
    <mergeCell ref="C32:D32"/>
    <mergeCell ref="C33:D33"/>
    <mergeCell ref="I33:K33"/>
    <mergeCell ref="A34:I34"/>
    <mergeCell ref="I14:Q14"/>
    <mergeCell ref="T2:Y2"/>
    <mergeCell ref="T4:Y4"/>
    <mergeCell ref="T5:W5"/>
    <mergeCell ref="X5:Y5"/>
    <mergeCell ref="T6:W6"/>
    <mergeCell ref="X6:Y6"/>
    <mergeCell ref="I9:Q9"/>
    <mergeCell ref="I10:Q10"/>
    <mergeCell ref="I11:Q11"/>
    <mergeCell ref="I12:Q12"/>
    <mergeCell ref="I13:Q13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workbookViewId="0">
      <selection activeCell="I41" sqref="I41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1491.42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>
        <v>512.72</v>
      </c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>
        <v>63</v>
      </c>
      <c r="C4" s="40">
        <v>63</v>
      </c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2067.1400000000003</v>
      </c>
      <c r="C5" s="103">
        <f>SUM(C2:C4)</f>
        <v>1554.42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141" t="s">
        <v>23</v>
      </c>
      <c r="E7" s="141" t="s">
        <v>24</v>
      </c>
      <c r="H7" s="141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141" t="s">
        <v>25</v>
      </c>
      <c r="B8" s="141" t="s">
        <v>26</v>
      </c>
      <c r="C8" s="143" t="s">
        <v>214</v>
      </c>
      <c r="D8" s="61" t="s">
        <v>43</v>
      </c>
      <c r="E8" s="61" t="s">
        <v>215</v>
      </c>
      <c r="G8" s="141"/>
      <c r="H8" s="78" t="s">
        <v>215</v>
      </c>
      <c r="I8" s="141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2203.0300000000002</v>
      </c>
      <c r="D9" s="40">
        <f t="shared" ref="D9:D14" si="0">B9*C9</f>
        <v>44.060600000000008</v>
      </c>
      <c r="E9" s="41">
        <f t="shared" ref="E9:E14" si="1">B9*C9*$C$18</f>
        <v>91079.428684000028</v>
      </c>
      <c r="H9" s="41">
        <f t="shared" ref="H9:H14" si="2">B9*C9*$H$18</f>
        <v>68351.755131440019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1</v>
      </c>
      <c r="X9" s="12">
        <f>0.25*I21+K41</f>
        <v>30451.638782860005</v>
      </c>
      <c r="Y9" s="13">
        <f>W9*X9</f>
        <v>30451.638782860005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2203.0300000000002</v>
      </c>
      <c r="D10" s="40">
        <f t="shared" si="0"/>
        <v>13.21818</v>
      </c>
      <c r="E10" s="41">
        <f t="shared" si="1"/>
        <v>27323.828605200004</v>
      </c>
      <c r="H10" s="41">
        <f t="shared" si="2"/>
        <v>20505.526539432005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8543.9693914300024</v>
      </c>
      <c r="Y10" s="13">
        <f t="shared" ref="Y10:Y18" si="4">W10*X10</f>
        <v>8543.9693914300024</v>
      </c>
    </row>
    <row r="11" spans="1:25" ht="15">
      <c r="A11" s="36" t="s">
        <v>28</v>
      </c>
      <c r="B11" s="90">
        <v>1.0800000000000001E-2</v>
      </c>
      <c r="C11" s="40">
        <f t="shared" si="3"/>
        <v>2203.0300000000002</v>
      </c>
      <c r="D11" s="40">
        <f t="shared" si="0"/>
        <v>23.792724000000003</v>
      </c>
      <c r="E11" s="41">
        <f t="shared" si="1"/>
        <v>49182.891489360016</v>
      </c>
      <c r="H11" s="41">
        <f t="shared" si="2"/>
        <v>36909.947770977611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5468.1404105152014</v>
      </c>
      <c r="Y11" s="13">
        <f t="shared" si="4"/>
        <v>5468.1404105152014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2203.0300000000002</v>
      </c>
      <c r="D12" s="40">
        <f t="shared" si="0"/>
        <v>14.319695000000001</v>
      </c>
      <c r="E12" s="41">
        <f t="shared" si="1"/>
        <v>29600.814322300008</v>
      </c>
      <c r="H12" s="41">
        <f t="shared" si="2"/>
        <v>22214.320417718005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3075.8289809148005</v>
      </c>
      <c r="Y12" s="13">
        <f t="shared" si="4"/>
        <v>3075.8289809148005</v>
      </c>
    </row>
    <row r="13" spans="1:25" ht="15">
      <c r="A13" s="36" t="s">
        <v>30</v>
      </c>
      <c r="B13" s="90">
        <v>4.7000000000000002E-3</v>
      </c>
      <c r="C13" s="40">
        <f t="shared" si="3"/>
        <v>2203.0300000000002</v>
      </c>
      <c r="D13" s="40">
        <f t="shared" si="0"/>
        <v>10.354241000000002</v>
      </c>
      <c r="E13" s="41">
        <f t="shared" si="1"/>
        <v>21403.665740740009</v>
      </c>
      <c r="H13" s="41">
        <f>B13*C13*$H$19</f>
        <v>17646.861328888404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2647.0291993332607</v>
      </c>
      <c r="Y13" s="13">
        <f t="shared" si="4"/>
        <v>2647.0291993332607</v>
      </c>
    </row>
    <row r="14" spans="1:25" ht="30">
      <c r="A14" s="36" t="s">
        <v>31</v>
      </c>
      <c r="B14" s="90">
        <v>4.0000000000000001E-3</v>
      </c>
      <c r="C14" s="40">
        <f t="shared" si="3"/>
        <v>2203.0300000000002</v>
      </c>
      <c r="D14" s="40">
        <f t="shared" si="0"/>
        <v>8.8121200000000002</v>
      </c>
      <c r="E14" s="41">
        <f t="shared" si="1"/>
        <v>18215.885736800003</v>
      </c>
      <c r="H14" s="41">
        <f t="shared" si="2"/>
        <v>13670.351026288003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7381.9895541955229</v>
      </c>
      <c r="Y14" s="13">
        <f t="shared" si="4"/>
        <v>7381.9895541955229</v>
      </c>
    </row>
    <row r="15" spans="1:25" ht="30">
      <c r="D15" s="42">
        <f>SUM(D9:D14)</f>
        <v>114.55756000000002</v>
      </c>
      <c r="E15" s="42">
        <f>SUM(E9:E14)</f>
        <v>236806.51457840009</v>
      </c>
      <c r="H15" s="42">
        <f>SUM(H9:H14)</f>
        <v>179298.76221474403</v>
      </c>
      <c r="I15" s="139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1845.4973885488807</v>
      </c>
      <c r="Y15" s="13">
        <f t="shared" si="4"/>
        <v>1845.4973885488807</v>
      </c>
    </row>
    <row r="16" spans="1:25" ht="30">
      <c r="E16" s="41">
        <f>E15/C18</f>
        <v>114.55756000000002</v>
      </c>
      <c r="H16" s="41">
        <f>H15/C18</f>
        <v>86.737599879419875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8885.7281670872017</v>
      </c>
      <c r="Y16" s="13">
        <f t="shared" si="4"/>
        <v>8885.7281670872017</v>
      </c>
    </row>
    <row r="17" spans="1:25" ht="30">
      <c r="E17" s="43">
        <f>D15/1200</f>
        <v>9.5464633333333354E-2</v>
      </c>
      <c r="H17" s="43">
        <f>H16/1200</f>
        <v>7.2281333232849895E-2</v>
      </c>
      <c r="I17" s="43">
        <f>H16/1840</f>
        <v>4.7139999934467325E-2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2647.0291993332607</v>
      </c>
      <c r="Y17" s="13">
        <f t="shared" si="4"/>
        <v>2647.0291993332607</v>
      </c>
    </row>
    <row r="18" spans="1:25" ht="15">
      <c r="A18" s="206" t="s">
        <v>44</v>
      </c>
      <c r="B18" s="206"/>
      <c r="C18" s="62">
        <f>B5</f>
        <v>2067.1400000000003</v>
      </c>
      <c r="G18" s="142" t="s">
        <v>45</v>
      </c>
      <c r="H18" s="45">
        <f>(300+(500*0.83)+(C18-800)*0.66)</f>
        <v>1551.3124000000003</v>
      </c>
      <c r="I18" s="40">
        <f>H18/C18</f>
        <v>0.75046315198777058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1845.4973885488807</v>
      </c>
      <c r="Y18" s="13">
        <f t="shared" si="4"/>
        <v>1845.4973885488807</v>
      </c>
    </row>
    <row r="19" spans="1:25" ht="15">
      <c r="A19" s="142" t="s">
        <v>233</v>
      </c>
      <c r="B19" s="46">
        <v>41487</v>
      </c>
      <c r="C19" s="59">
        <v>1295.9000000000001</v>
      </c>
      <c r="G19" s="142" t="s">
        <v>48</v>
      </c>
      <c r="H19" s="45">
        <f>(500+(1000*0.83)+(C18-1500)*0.66)</f>
        <v>1704.3124000000003</v>
      </c>
      <c r="I19" s="40">
        <f>H19/C18</f>
        <v>0.82447845815958276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72792.348462767011</v>
      </c>
    </row>
    <row r="21" spans="1:25" ht="15">
      <c r="H21" s="60" t="s">
        <v>27</v>
      </c>
      <c r="I21" s="47">
        <f t="shared" ref="I21:I26" si="5">H9</f>
        <v>68351.755131440019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20505.526539432005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36909.947770977611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22214.320417718005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10252.763269716004</v>
      </c>
      <c r="Y24" s="13">
        <f>W24*X24</f>
        <v>10252.763269716004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17646.861328888404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5536.4921656466413</v>
      </c>
      <c r="Y25" s="13">
        <f t="shared" ref="Y25:Y26" si="6">W25*X25</f>
        <v>5536.4921656466413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13670.351026288003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2647.0291993332607</v>
      </c>
      <c r="Y26" s="13">
        <f t="shared" si="6"/>
        <v>2647.0291993332607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179298.76221474403</v>
      </c>
      <c r="J28" s="41"/>
      <c r="T28" s="11"/>
      <c r="U28" s="64" t="s">
        <v>17</v>
      </c>
      <c r="V28" s="8"/>
      <c r="W28" s="9"/>
      <c r="X28" s="16"/>
      <c r="Y28" s="17">
        <f>SUM(Y24:Y27)</f>
        <v>18436.284634695905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142" t="s">
        <v>49</v>
      </c>
      <c r="I30" s="42">
        <f>I28/C18</f>
        <v>86.737599879419875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17429.697558517204</v>
      </c>
      <c r="Y31" s="13">
        <f>W31*X31</f>
        <v>17429.697558517204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2734.0702052576007</v>
      </c>
      <c r="Y32" s="13">
        <f t="shared" ref="Y32:Y54" si="7">W32*X32</f>
        <v>2734.0702052576007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2734.0702052576007</v>
      </c>
      <c r="Y33" s="13">
        <f t="shared" si="7"/>
        <v>2734.0702052576007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4101.1053078864006</v>
      </c>
      <c r="Y34" s="13">
        <f t="shared" si="7"/>
        <v>4101.1053078864006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5126.3816348580012</v>
      </c>
      <c r="Y35" s="13">
        <f t="shared" si="7"/>
        <v>5126.3816348580012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3417.5877565720011</v>
      </c>
      <c r="Y36" s="13">
        <f t="shared" si="7"/>
        <v>3417.5877565720011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6151.6579618296009</v>
      </c>
      <c r="Y37" s="13">
        <f t="shared" si="7"/>
        <v>6151.6579618296009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6151.6579618296009</v>
      </c>
      <c r="Y38" s="13">
        <f t="shared" si="7"/>
        <v>6151.6579618296009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2647.0291993332607</v>
      </c>
      <c r="Y39" s="13">
        <f t="shared" si="7"/>
        <v>2647.0291993332607</v>
      </c>
    </row>
    <row r="40" spans="1:25" ht="15">
      <c r="A40" s="89" t="s">
        <v>236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2647.0291993332607</v>
      </c>
      <c r="Y40" s="13">
        <f t="shared" si="7"/>
        <v>2647.0291993332607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0.43</v>
      </c>
      <c r="H41" s="92">
        <v>10045</v>
      </c>
      <c r="I41" s="40">
        <f>G41*H41</f>
        <v>4319.3500000000004</v>
      </c>
      <c r="J41" s="112">
        <f>I41+D99</f>
        <v>9044.35</v>
      </c>
      <c r="K41" s="111">
        <f>J41+I41</f>
        <v>13363.7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1764.6861328888406</v>
      </c>
      <c r="Y41" s="13">
        <f t="shared" si="7"/>
        <v>1764.6861328888406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882.34306644442029</v>
      </c>
      <c r="Y42" s="13">
        <f t="shared" si="7"/>
        <v>882.34306644442029</v>
      </c>
    </row>
    <row r="43" spans="1:25" ht="15">
      <c r="I43" s="41">
        <f>I28+J41</f>
        <v>188343.11221474403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7381.9895541955229</v>
      </c>
      <c r="Y43" s="13">
        <f t="shared" si="7"/>
        <v>7381.9895541955229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3690.9947770977615</v>
      </c>
      <c r="Y44" s="13">
        <f t="shared" si="7"/>
        <v>3690.9947770977615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1845.4973885488807</v>
      </c>
      <c r="Y45" s="13">
        <f t="shared" si="7"/>
        <v>1845.4973885488807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3690.9947770977615</v>
      </c>
      <c r="Y46" s="13">
        <f t="shared" si="7"/>
        <v>3690.9947770977615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13328.592250630803</v>
      </c>
      <c r="Y47" s="13">
        <f t="shared" si="7"/>
        <v>13328.592250630803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1764.6861328888406</v>
      </c>
      <c r="Y48" s="13">
        <f t="shared" si="7"/>
        <v>1764.6861328888406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2214.5968662586565</v>
      </c>
      <c r="Y49" s="13">
        <f t="shared" si="7"/>
        <v>2214.5968662586565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1476.3979108391045</v>
      </c>
      <c r="Y50" s="13">
        <f t="shared" si="7"/>
        <v>1476.3979108391045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4101.1053078864006</v>
      </c>
      <c r="Y51" s="13">
        <f t="shared" si="7"/>
        <v>4101.1053078864006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4101.1053078864006</v>
      </c>
      <c r="Y52" s="13">
        <f t="shared" si="7"/>
        <v>4101.1053078864006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1367.0351026288004</v>
      </c>
      <c r="Y53" s="13">
        <f t="shared" si="7"/>
        <v>1367.0351026288004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4101.1053078864006</v>
      </c>
      <c r="Y54" s="13">
        <f t="shared" si="7"/>
        <v>4101.1053078864006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104851.41687385312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196080.04997131601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40176.802239122648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236256.85221043866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47</v>
      </c>
      <c r="E88" s="108" t="s">
        <v>235</v>
      </c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4230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4725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A35:I35"/>
    <mergeCell ref="A41:E41"/>
    <mergeCell ref="A64:I64"/>
    <mergeCell ref="A18:B18"/>
    <mergeCell ref="B31:C31"/>
    <mergeCell ref="C32:D32"/>
    <mergeCell ref="C33:D33"/>
    <mergeCell ref="I33:K33"/>
    <mergeCell ref="A34:I34"/>
    <mergeCell ref="I14:Q14"/>
    <mergeCell ref="T2:Y2"/>
    <mergeCell ref="T4:Y4"/>
    <mergeCell ref="T5:W5"/>
    <mergeCell ref="X5:Y5"/>
    <mergeCell ref="T6:W6"/>
    <mergeCell ref="X6:Y6"/>
    <mergeCell ref="I9:Q9"/>
    <mergeCell ref="I10:Q10"/>
    <mergeCell ref="I11:Q11"/>
    <mergeCell ref="I12:Q12"/>
    <mergeCell ref="I13:Q13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workbookViewId="0">
      <selection activeCell="E8" sqref="E8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1375.87</v>
      </c>
      <c r="C2" s="36">
        <v>1375.87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>
        <v>512.72</v>
      </c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>
        <v>63</v>
      </c>
      <c r="C4" s="40">
        <v>63</v>
      </c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1951.59</v>
      </c>
      <c r="C5" s="103">
        <f>SUM(C2:C4)</f>
        <v>1438.87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141" t="s">
        <v>23</v>
      </c>
      <c r="E7" s="141" t="s">
        <v>24</v>
      </c>
      <c r="H7" s="141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141" t="s">
        <v>25</v>
      </c>
      <c r="B8" s="141" t="s">
        <v>26</v>
      </c>
      <c r="C8" s="143" t="s">
        <v>214</v>
      </c>
      <c r="D8" s="61" t="s">
        <v>43</v>
      </c>
      <c r="E8" s="61" t="s">
        <v>215</v>
      </c>
      <c r="G8" s="141"/>
      <c r="H8" s="78" t="s">
        <v>215</v>
      </c>
      <c r="I8" s="141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2203.0300000000002</v>
      </c>
      <c r="D9" s="40">
        <f t="shared" ref="D9:D14" si="0">B9*C9</f>
        <v>44.060600000000008</v>
      </c>
      <c r="E9" s="41">
        <f t="shared" ref="E9:E14" si="1">B9*C9*$C$18</f>
        <v>85988.226354000013</v>
      </c>
      <c r="H9" s="41">
        <f t="shared" ref="H9:H14" si="2">B9*C9*$H$18</f>
        <v>64991.561593640006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1</v>
      </c>
      <c r="X9" s="12">
        <f>0.25*I21+K41</f>
        <v>24358.658798410004</v>
      </c>
      <c r="Y9" s="13">
        <f>W9*X9</f>
        <v>24358.658798410004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2203.0300000000002</v>
      </c>
      <c r="D10" s="40">
        <f t="shared" si="0"/>
        <v>13.21818</v>
      </c>
      <c r="E10" s="41">
        <f t="shared" si="1"/>
        <v>25796.4679062</v>
      </c>
      <c r="H10" s="41">
        <f t="shared" si="2"/>
        <v>19497.468478092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8123.9451992050008</v>
      </c>
      <c r="Y10" s="13">
        <f t="shared" ref="Y10:Y18" si="4">W10*X10</f>
        <v>8123.9451992050008</v>
      </c>
    </row>
    <row r="11" spans="1:25" ht="15">
      <c r="A11" s="36" t="s">
        <v>28</v>
      </c>
      <c r="B11" s="90">
        <v>1.0800000000000001E-2</v>
      </c>
      <c r="C11" s="40">
        <f t="shared" si="3"/>
        <v>2203.0300000000002</v>
      </c>
      <c r="D11" s="40">
        <f t="shared" si="0"/>
        <v>23.792724000000003</v>
      </c>
      <c r="E11" s="41">
        <f t="shared" si="1"/>
        <v>46433.642231160004</v>
      </c>
      <c r="H11" s="41">
        <f t="shared" si="2"/>
        <v>35095.443260565604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5199.3249274912005</v>
      </c>
      <c r="Y11" s="13">
        <f t="shared" si="4"/>
        <v>5199.3249274912005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2203.0300000000002</v>
      </c>
      <c r="D12" s="40">
        <f t="shared" si="0"/>
        <v>14.319695000000001</v>
      </c>
      <c r="E12" s="41">
        <f t="shared" si="1"/>
        <v>27946.173565050001</v>
      </c>
      <c r="H12" s="41">
        <f t="shared" si="2"/>
        <v>21122.257517933002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2924.6202717137999</v>
      </c>
      <c r="Y12" s="13">
        <f t="shared" si="4"/>
        <v>2924.6202717137999</v>
      </c>
    </row>
    <row r="13" spans="1:25" ht="15">
      <c r="A13" s="36" t="s">
        <v>30</v>
      </c>
      <c r="B13" s="90">
        <v>4.7000000000000002E-3</v>
      </c>
      <c r="C13" s="40">
        <f t="shared" si="3"/>
        <v>2203.0300000000002</v>
      </c>
      <c r="D13" s="40">
        <f t="shared" si="0"/>
        <v>10.354241000000002</v>
      </c>
      <c r="E13" s="41">
        <f t="shared" si="1"/>
        <v>20207.233193190004</v>
      </c>
      <c r="H13" s="41">
        <f>B13*C13*$H$19</f>
        <v>16857.215847505402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2528.5823771258101</v>
      </c>
      <c r="Y13" s="13">
        <f t="shared" si="4"/>
        <v>2528.5823771258101</v>
      </c>
    </row>
    <row r="14" spans="1:25" ht="30">
      <c r="A14" s="36" t="s">
        <v>31</v>
      </c>
      <c r="B14" s="90">
        <v>4.0000000000000001E-3</v>
      </c>
      <c r="C14" s="40">
        <f t="shared" si="3"/>
        <v>2203.0300000000002</v>
      </c>
      <c r="D14" s="40">
        <f t="shared" si="0"/>
        <v>8.8121200000000002</v>
      </c>
      <c r="E14" s="41">
        <f t="shared" si="1"/>
        <v>17197.6452708</v>
      </c>
      <c r="H14" s="41">
        <f t="shared" si="2"/>
        <v>12998.312318728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7019.0886521131215</v>
      </c>
      <c r="Y14" s="13">
        <f t="shared" si="4"/>
        <v>7019.0886521131215</v>
      </c>
    </row>
    <row r="15" spans="1:25" ht="30">
      <c r="D15" s="42">
        <f>SUM(D9:D14)</f>
        <v>114.55756000000002</v>
      </c>
      <c r="E15" s="42">
        <f>SUM(E9:E14)</f>
        <v>223569.38852040004</v>
      </c>
      <c r="H15" s="42">
        <f>SUM(H9:H14)</f>
        <v>170562.259016464</v>
      </c>
      <c r="I15" s="139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1754.7721630282804</v>
      </c>
      <c r="Y15" s="13">
        <f t="shared" si="4"/>
        <v>1754.7721630282804</v>
      </c>
    </row>
    <row r="16" spans="1:25" ht="30">
      <c r="E16" s="41">
        <f>E15/C18</f>
        <v>114.55756000000002</v>
      </c>
      <c r="H16" s="41">
        <f>H15/C18</f>
        <v>87.396563323476755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8448.9030071732013</v>
      </c>
      <c r="Y16" s="13">
        <f t="shared" si="4"/>
        <v>8448.9030071732013</v>
      </c>
    </row>
    <row r="17" spans="1:25" ht="30">
      <c r="E17" s="43">
        <f>D15/1200</f>
        <v>9.5464633333333354E-2</v>
      </c>
      <c r="H17" s="43">
        <f>H16/1200</f>
        <v>7.283046943623063E-2</v>
      </c>
      <c r="I17" s="43">
        <f>H16/1840</f>
        <v>4.7498132241019973E-2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2528.5823771258101</v>
      </c>
      <c r="Y17" s="13">
        <f t="shared" si="4"/>
        <v>2528.5823771258101</v>
      </c>
    </row>
    <row r="18" spans="1:25" ht="15">
      <c r="A18" s="206" t="s">
        <v>44</v>
      </c>
      <c r="B18" s="206"/>
      <c r="C18" s="62">
        <f>B5</f>
        <v>1951.59</v>
      </c>
      <c r="G18" s="142" t="s">
        <v>45</v>
      </c>
      <c r="H18" s="45">
        <f>(300+(500*0.83)+(C18-800)*0.66)</f>
        <v>1475.0493999999999</v>
      </c>
      <c r="I18" s="40">
        <f>H18/C18</f>
        <v>0.75581930630921446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1754.7721630282804</v>
      </c>
      <c r="Y18" s="13">
        <f t="shared" si="4"/>
        <v>1754.7721630282804</v>
      </c>
    </row>
    <row r="19" spans="1:25" ht="15">
      <c r="A19" s="142" t="s">
        <v>233</v>
      </c>
      <c r="B19" s="46">
        <v>41487</v>
      </c>
      <c r="C19" s="59">
        <v>1295.9000000000001</v>
      </c>
      <c r="G19" s="142" t="s">
        <v>48</v>
      </c>
      <c r="H19" s="45">
        <f>(500+(1000*0.83)+(C18-1500)*0.66)</f>
        <v>1628.0493999999999</v>
      </c>
      <c r="I19" s="40">
        <f>H19/C18</f>
        <v>0.8342169205622082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64641.249936414519</v>
      </c>
    </row>
    <row r="21" spans="1:25" ht="15">
      <c r="H21" s="60" t="s">
        <v>27</v>
      </c>
      <c r="I21" s="47">
        <f t="shared" ref="I21:I26" si="5">H9</f>
        <v>64991.561593640006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19497.468478092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35095.443260565604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21122.257517933002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9748.7342390460017</v>
      </c>
      <c r="Y24" s="13">
        <f>W24*X24</f>
        <v>9748.7342390460017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16857.215847505402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5264.3164890848402</v>
      </c>
      <c r="Y25" s="13">
        <f t="shared" ref="Y25:Y26" si="6">W25*X25</f>
        <v>5264.3164890848402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12998.312318728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2528.5823771258101</v>
      </c>
      <c r="Y26" s="13">
        <f t="shared" si="6"/>
        <v>2528.5823771258101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170562.259016464</v>
      </c>
      <c r="J28" s="41"/>
      <c r="T28" s="11"/>
      <c r="U28" s="64" t="s">
        <v>17</v>
      </c>
      <c r="V28" s="8"/>
      <c r="W28" s="9"/>
      <c r="X28" s="16"/>
      <c r="Y28" s="17">
        <f>SUM(Y24:Y27)</f>
        <v>17541.633105256653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142" t="s">
        <v>49</v>
      </c>
      <c r="I30" s="42">
        <f>I28/C18</f>
        <v>87.396563323476755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16572.848206378203</v>
      </c>
      <c r="Y31" s="13">
        <f>W31*X31</f>
        <v>16572.848206378203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2599.6624637456002</v>
      </c>
      <c r="Y32" s="13">
        <f t="shared" ref="Y32:Y54" si="7">W32*X32</f>
        <v>2599.6624637456002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2599.6624637456002</v>
      </c>
      <c r="Y33" s="13">
        <f t="shared" si="7"/>
        <v>2599.6624637456002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3899.4936956184001</v>
      </c>
      <c r="Y34" s="13">
        <f t="shared" si="7"/>
        <v>3899.4936956184001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4874.3671195229999</v>
      </c>
      <c r="Y35" s="13">
        <f t="shared" si="7"/>
        <v>4874.3671195229999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3249.5780796820004</v>
      </c>
      <c r="Y36" s="13">
        <f t="shared" si="7"/>
        <v>3249.5780796820004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5849.2405434275997</v>
      </c>
      <c r="Y37" s="13">
        <f t="shared" si="7"/>
        <v>5849.2405434275997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5849.2405434275997</v>
      </c>
      <c r="Y38" s="13">
        <f t="shared" si="7"/>
        <v>5849.2405434275997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2528.5823771258101</v>
      </c>
      <c r="Y39" s="13">
        <f t="shared" si="7"/>
        <v>2528.5823771258101</v>
      </c>
    </row>
    <row r="40" spans="1:25" ht="15">
      <c r="A40" s="89" t="s">
        <v>236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2528.5823771258101</v>
      </c>
      <c r="Y40" s="13">
        <f t="shared" si="7"/>
        <v>2528.5823771258101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0.43</v>
      </c>
      <c r="H41" s="92">
        <v>3936.94</v>
      </c>
      <c r="I41" s="40">
        <f>G41*H41</f>
        <v>1692.8842</v>
      </c>
      <c r="J41" s="112">
        <f>I41+D99</f>
        <v>6417.8842000000004</v>
      </c>
      <c r="K41" s="111">
        <f>J41+I41</f>
        <v>8110.7684000000008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1685.7215847505404</v>
      </c>
      <c r="Y41" s="13">
        <f t="shared" si="7"/>
        <v>1685.7215847505404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842.86079237527019</v>
      </c>
      <c r="Y42" s="13">
        <f t="shared" si="7"/>
        <v>842.86079237527019</v>
      </c>
    </row>
    <row r="43" spans="1:25" ht="15">
      <c r="I43" s="41">
        <f>I28+J41</f>
        <v>176980.143216464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7019.0886521131215</v>
      </c>
      <c r="Y43" s="13">
        <f t="shared" si="7"/>
        <v>7019.0886521131215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3509.5443260565607</v>
      </c>
      <c r="Y44" s="13">
        <f t="shared" si="7"/>
        <v>3509.5443260565607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1754.7721630282804</v>
      </c>
      <c r="Y45" s="13">
        <f t="shared" si="7"/>
        <v>1754.7721630282804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3509.5443260565607</v>
      </c>
      <c r="Y46" s="13">
        <f t="shared" si="7"/>
        <v>3509.5443260565607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12673.3545107598</v>
      </c>
      <c r="Y47" s="13">
        <f t="shared" si="7"/>
        <v>12673.3545107598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1685.7215847505404</v>
      </c>
      <c r="Y48" s="13">
        <f t="shared" si="7"/>
        <v>1685.7215847505404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2105.7265956339361</v>
      </c>
      <c r="Y49" s="13">
        <f t="shared" si="7"/>
        <v>2105.7265956339361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1403.8177304226242</v>
      </c>
      <c r="Y50" s="13">
        <f t="shared" si="7"/>
        <v>1403.8177304226242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3899.4936956183997</v>
      </c>
      <c r="Y51" s="13">
        <f t="shared" si="7"/>
        <v>3899.4936956183997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3899.4936956183997</v>
      </c>
      <c r="Y52" s="13">
        <f t="shared" si="7"/>
        <v>3899.4936956183997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1299.8312318728001</v>
      </c>
      <c r="Y53" s="13">
        <f t="shared" si="7"/>
        <v>1299.8312318728001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3899.4936956183997</v>
      </c>
      <c r="Y54" s="13">
        <f t="shared" si="7"/>
        <v>3899.4936956183997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99739.722454474861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181922.60549614602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37275.941866160312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219198.54736230633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47</v>
      </c>
      <c r="E88" s="108" t="s">
        <v>235</v>
      </c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4230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4725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A35:I35"/>
    <mergeCell ref="A41:E41"/>
    <mergeCell ref="A64:I64"/>
    <mergeCell ref="A18:B18"/>
    <mergeCell ref="B31:C31"/>
    <mergeCell ref="C32:D32"/>
    <mergeCell ref="C33:D33"/>
    <mergeCell ref="I33:K33"/>
    <mergeCell ref="A34:I34"/>
    <mergeCell ref="I14:Q14"/>
    <mergeCell ref="T2:Y2"/>
    <mergeCell ref="T4:Y4"/>
    <mergeCell ref="T5:W5"/>
    <mergeCell ref="X5:Y5"/>
    <mergeCell ref="T6:W6"/>
    <mergeCell ref="X6:Y6"/>
    <mergeCell ref="I9:Q9"/>
    <mergeCell ref="I10:Q10"/>
    <mergeCell ref="I11:Q11"/>
    <mergeCell ref="I12:Q12"/>
    <mergeCell ref="I13:Q13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topLeftCell="B15" workbookViewId="0">
      <selection activeCell="I22" sqref="I22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260</v>
      </c>
      <c r="B2" s="103">
        <v>1326</v>
      </c>
      <c r="C2" s="36">
        <v>1326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/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/>
      <c r="C4" s="40"/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1326</v>
      </c>
      <c r="C5" s="103">
        <f>SUM(C2:C4)</f>
        <v>1326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149" t="s">
        <v>23</v>
      </c>
      <c r="E7" s="149" t="s">
        <v>24</v>
      </c>
      <c r="H7" s="149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149" t="s">
        <v>25</v>
      </c>
      <c r="B8" s="149" t="s">
        <v>26</v>
      </c>
      <c r="C8" s="143" t="s">
        <v>214</v>
      </c>
      <c r="D8" s="61" t="s">
        <v>43</v>
      </c>
      <c r="E8" s="61" t="s">
        <v>215</v>
      </c>
      <c r="G8" s="149"/>
      <c r="H8" s="78" t="s">
        <v>215</v>
      </c>
      <c r="I8" s="149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1876.4259999999999</v>
      </c>
      <c r="D9" s="40">
        <f t="shared" ref="D9:D14" si="0">B9*C9</f>
        <v>37.52852</v>
      </c>
      <c r="E9" s="41">
        <f t="shared" ref="E9:E14" si="1">B9*C9*$C$18</f>
        <v>49762.817519999997</v>
      </c>
      <c r="H9" s="41">
        <f t="shared" ref="H9:H14" si="2">B9*C9*$H$18</f>
        <v>39861.292803200005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1</v>
      </c>
      <c r="X9" s="12">
        <f>0.25*I21+K41</f>
        <v>17761.136400800002</v>
      </c>
      <c r="Y9" s="13">
        <f>W9*X9</f>
        <v>17761.136400800002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1876.4259999999999</v>
      </c>
      <c r="D10" s="40">
        <f t="shared" si="0"/>
        <v>11.258555999999999</v>
      </c>
      <c r="E10" s="41">
        <f t="shared" si="1"/>
        <v>14928.845255999999</v>
      </c>
      <c r="H10" s="41">
        <f t="shared" si="2"/>
        <v>11958.38784096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4982.6616004000007</v>
      </c>
      <c r="Y10" s="13">
        <f t="shared" ref="Y10:Y18" si="4">W10*X10</f>
        <v>4982.6616004000007</v>
      </c>
    </row>
    <row r="11" spans="1:25" ht="15">
      <c r="A11" s="36" t="s">
        <v>28</v>
      </c>
      <c r="B11" s="90">
        <v>1.0800000000000001E-2</v>
      </c>
      <c r="C11" s="40">
        <f t="shared" si="3"/>
        <v>1876.4259999999999</v>
      </c>
      <c r="D11" s="40">
        <f t="shared" si="0"/>
        <v>20.265400800000002</v>
      </c>
      <c r="E11" s="41">
        <f t="shared" si="1"/>
        <v>26871.921460800004</v>
      </c>
      <c r="H11" s="41">
        <f t="shared" si="2"/>
        <v>21525.098113728003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3188.9034242560006</v>
      </c>
      <c r="Y11" s="13">
        <f t="shared" si="4"/>
        <v>3188.9034242560006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1876.4259999999999</v>
      </c>
      <c r="D12" s="40">
        <f t="shared" si="0"/>
        <v>12.196769</v>
      </c>
      <c r="E12" s="41">
        <f t="shared" si="1"/>
        <v>16172.915693999999</v>
      </c>
      <c r="H12" s="41">
        <f t="shared" si="2"/>
        <v>12954.920161040001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1793.7581761439999</v>
      </c>
      <c r="Y12" s="13">
        <f t="shared" si="4"/>
        <v>1793.7581761439999</v>
      </c>
    </row>
    <row r="13" spans="1:25" ht="15">
      <c r="A13" s="36" t="s">
        <v>30</v>
      </c>
      <c r="B13" s="90">
        <v>4.7000000000000002E-3</v>
      </c>
      <c r="C13" s="40">
        <f t="shared" si="3"/>
        <v>1876.4259999999999</v>
      </c>
      <c r="D13" s="40">
        <f t="shared" si="0"/>
        <v>8.8192021999999994</v>
      </c>
      <c r="E13" s="41">
        <f t="shared" si="1"/>
        <v>11694.2621172</v>
      </c>
      <c r="H13" s="41">
        <f>B13*C13*$H$19</f>
        <v>10716.741745351999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1607.5112618027999</v>
      </c>
      <c r="Y13" s="13">
        <f t="shared" si="4"/>
        <v>1607.5112618027999</v>
      </c>
    </row>
    <row r="14" spans="1:25" ht="30">
      <c r="A14" s="36" t="s">
        <v>31</v>
      </c>
      <c r="B14" s="90">
        <v>4.0000000000000001E-3</v>
      </c>
      <c r="C14" s="40">
        <f t="shared" si="3"/>
        <v>1876.4259999999999</v>
      </c>
      <c r="D14" s="40">
        <f t="shared" si="0"/>
        <v>7.5057039999999997</v>
      </c>
      <c r="E14" s="41">
        <f t="shared" si="1"/>
        <v>9952.5635039999997</v>
      </c>
      <c r="H14" s="41">
        <f t="shared" si="2"/>
        <v>7972.2585606400007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4305.0196227456008</v>
      </c>
      <c r="Y14" s="13">
        <f t="shared" si="4"/>
        <v>4305.0196227456008</v>
      </c>
    </row>
    <row r="15" spans="1:25" ht="30">
      <c r="D15" s="42">
        <f>SUM(D9:D14)</f>
        <v>97.574151999999984</v>
      </c>
      <c r="E15" s="42">
        <f>SUM(E9:E14)</f>
        <v>129383.32555200001</v>
      </c>
      <c r="H15" s="42">
        <f>SUM(H9:H14)</f>
        <v>104988.69922492001</v>
      </c>
      <c r="I15" s="147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1076.2549056864002</v>
      </c>
      <c r="Y15" s="13">
        <f t="shared" si="4"/>
        <v>1076.2549056864002</v>
      </c>
    </row>
    <row r="16" spans="1:25" ht="30">
      <c r="E16" s="41">
        <f>E15/C18</f>
        <v>97.574152000000012</v>
      </c>
      <c r="H16" s="41">
        <f>H15/C18</f>
        <v>79.176997907179498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5181.9680644160007</v>
      </c>
      <c r="Y16" s="13">
        <f t="shared" si="4"/>
        <v>5181.9680644160007</v>
      </c>
    </row>
    <row r="17" spans="1:25" ht="30">
      <c r="E17" s="43">
        <f>D15/1200</f>
        <v>8.1311793333333326E-2</v>
      </c>
      <c r="H17" s="43">
        <f>H16/1200</f>
        <v>6.5980831589316252E-2</v>
      </c>
      <c r="I17" s="43">
        <f>H16/1840</f>
        <v>4.3030977123467117E-2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1607.5112618027999</v>
      </c>
      <c r="Y17" s="13">
        <f t="shared" si="4"/>
        <v>1607.5112618027999</v>
      </c>
    </row>
    <row r="18" spans="1:25" ht="15">
      <c r="A18" s="206" t="s">
        <v>44</v>
      </c>
      <c r="B18" s="206"/>
      <c r="C18" s="62">
        <f>B5</f>
        <v>1326</v>
      </c>
      <c r="G18" s="150" t="s">
        <v>45</v>
      </c>
      <c r="H18" s="45">
        <f>(300+(500*0.83)+(C18-800)*0.66)</f>
        <v>1062.1600000000001</v>
      </c>
      <c r="I18" s="40">
        <f>H18/C18</f>
        <v>0.80102564102564111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1076.2549056864002</v>
      </c>
      <c r="Y18" s="13">
        <f t="shared" si="4"/>
        <v>1076.2549056864002</v>
      </c>
    </row>
    <row r="19" spans="1:25" ht="15">
      <c r="A19" s="150" t="s">
        <v>233</v>
      </c>
      <c r="B19" s="46">
        <v>41487</v>
      </c>
      <c r="C19" s="59">
        <v>1103.78</v>
      </c>
      <c r="G19" s="150" t="s">
        <v>48</v>
      </c>
      <c r="H19" s="45">
        <f>(500+(1000*0.83)+(C18-1500)*0.66)</f>
        <v>1215.1600000000001</v>
      </c>
      <c r="I19" s="40">
        <f>H19/C18</f>
        <v>0.91641025641025642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42580.979623740015</v>
      </c>
    </row>
    <row r="21" spans="1:25" ht="15">
      <c r="H21" s="60" t="s">
        <v>27</v>
      </c>
      <c r="I21" s="47">
        <f t="shared" ref="I21:I26" si="5">H9</f>
        <v>39861.292803200005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11958.38784096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21525.098113728003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12954.920161040001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5979.193920480001</v>
      </c>
      <c r="Y24" s="13">
        <f>W24*X24</f>
        <v>5979.193920480001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10716.741745351999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3228.7647170592004</v>
      </c>
      <c r="Y25" s="13">
        <f t="shared" ref="Y25:Y26" si="6">W25*X25</f>
        <v>3228.7647170592004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7972.2585606400007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1607.5112618027999</v>
      </c>
      <c r="Y26" s="13">
        <f t="shared" si="6"/>
        <v>1607.5112618027999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104988.69922492001</v>
      </c>
      <c r="J28" s="41"/>
      <c r="T28" s="11"/>
      <c r="U28" s="64" t="s">
        <v>17</v>
      </c>
      <c r="V28" s="8"/>
      <c r="W28" s="9"/>
      <c r="X28" s="16"/>
      <c r="Y28" s="17">
        <f>SUM(Y24:Y27)</f>
        <v>10815.469899342001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150" t="s">
        <v>49</v>
      </c>
      <c r="I30" s="42">
        <f>I28/C18</f>
        <v>79.176997907179498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10164.629664816002</v>
      </c>
      <c r="Y31" s="13">
        <f>W31*X31</f>
        <v>10164.629664816002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1594.4517121280003</v>
      </c>
      <c r="Y32" s="13">
        <f t="shared" ref="Y32:Y54" si="7">W32*X32</f>
        <v>1594.4517121280003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1594.4517121280003</v>
      </c>
      <c r="Y33" s="13">
        <f t="shared" si="7"/>
        <v>1594.4517121280003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2391.6775681920003</v>
      </c>
      <c r="Y34" s="13">
        <f t="shared" si="7"/>
        <v>2391.6775681920003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2989.5969602400005</v>
      </c>
      <c r="Y35" s="13">
        <f t="shared" si="7"/>
        <v>2989.5969602400005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1993.0646401600004</v>
      </c>
      <c r="Y36" s="13">
        <f t="shared" si="7"/>
        <v>1993.0646401600004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3587.5163522879998</v>
      </c>
      <c r="Y37" s="13">
        <f t="shared" si="7"/>
        <v>3587.5163522879998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3587.5163522879998</v>
      </c>
      <c r="Y38" s="13">
        <f t="shared" si="7"/>
        <v>3587.5163522879998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1607.5112618027999</v>
      </c>
      <c r="Y39" s="13">
        <f t="shared" si="7"/>
        <v>1607.5112618027999</v>
      </c>
    </row>
    <row r="40" spans="1:25" ht="15">
      <c r="A40" s="89" t="s">
        <v>236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1607.5112618027999</v>
      </c>
      <c r="Y40" s="13">
        <f t="shared" si="7"/>
        <v>1607.5112618027999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0.39</v>
      </c>
      <c r="H41" s="92">
        <v>3936.94</v>
      </c>
      <c r="I41" s="40">
        <f>G41*H41</f>
        <v>1535.4066</v>
      </c>
      <c r="J41" s="112">
        <f>I41+D99</f>
        <v>6260.4066000000003</v>
      </c>
      <c r="K41" s="111">
        <f>J41+I41</f>
        <v>7795.8132000000005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1071.6741745351999</v>
      </c>
      <c r="Y41" s="13">
        <f t="shared" si="7"/>
        <v>1071.6741745351999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535.83708726759994</v>
      </c>
      <c r="Y42" s="13">
        <f t="shared" si="7"/>
        <v>535.83708726759994</v>
      </c>
    </row>
    <row r="43" spans="1:25" ht="15">
      <c r="I43" s="41">
        <f>I28+J41</f>
        <v>111249.10582492001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4305.0196227456008</v>
      </c>
      <c r="Y43" s="13">
        <f t="shared" si="7"/>
        <v>4305.0196227456008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2152.5098113728004</v>
      </c>
      <c r="Y44" s="13">
        <f t="shared" si="7"/>
        <v>2152.5098113728004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1076.2549056864002</v>
      </c>
      <c r="Y45" s="13">
        <f t="shared" si="7"/>
        <v>1076.2549056864002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2152.5098113728004</v>
      </c>
      <c r="Y46" s="13">
        <f t="shared" si="7"/>
        <v>2152.5098113728004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7772.9520966240007</v>
      </c>
      <c r="Y47" s="13">
        <f t="shared" si="7"/>
        <v>7772.9520966240007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1071.6741745351999</v>
      </c>
      <c r="Y48" s="13">
        <f t="shared" si="7"/>
        <v>1071.6741745351999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1291.5058868236802</v>
      </c>
      <c r="Y49" s="13">
        <f t="shared" si="7"/>
        <v>1291.5058868236802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861.00392454912014</v>
      </c>
      <c r="Y50" s="13">
        <f t="shared" si="7"/>
        <v>861.00392454912014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2391.6775681920003</v>
      </c>
      <c r="Y51" s="13">
        <f t="shared" si="7"/>
        <v>2391.6775681920003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2391.6775681920003</v>
      </c>
      <c r="Y52" s="13">
        <f t="shared" si="7"/>
        <v>2391.6775681920003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797.22585606400014</v>
      </c>
      <c r="Y53" s="13">
        <f t="shared" si="7"/>
        <v>797.22585606400014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2391.6775681920003</v>
      </c>
      <c r="Y54" s="13">
        <f t="shared" si="7"/>
        <v>2391.6775681920003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61381.127541997994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114777.57706508001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23517.925540634893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138295.50260571489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47</v>
      </c>
      <c r="E88" s="108" t="s">
        <v>235</v>
      </c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4230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4725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I14:Q14"/>
    <mergeCell ref="T2:Y2"/>
    <mergeCell ref="T4:Y4"/>
    <mergeCell ref="T5:W5"/>
    <mergeCell ref="X5:Y5"/>
    <mergeCell ref="T6:W6"/>
    <mergeCell ref="X6:Y6"/>
    <mergeCell ref="I9:Q9"/>
    <mergeCell ref="I10:Q10"/>
    <mergeCell ref="I11:Q11"/>
    <mergeCell ref="I12:Q12"/>
    <mergeCell ref="I13:Q13"/>
    <mergeCell ref="A35:I35"/>
    <mergeCell ref="A41:E41"/>
    <mergeCell ref="A64:I64"/>
    <mergeCell ref="A18:B18"/>
    <mergeCell ref="B31:C31"/>
    <mergeCell ref="C32:D32"/>
    <mergeCell ref="C33:D33"/>
    <mergeCell ref="I33:K33"/>
    <mergeCell ref="A34:I34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topLeftCell="B24" workbookViewId="0">
      <selection activeCell="I21" sqref="I21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260</v>
      </c>
      <c r="B2" s="103">
        <v>1326</v>
      </c>
      <c r="C2" s="36">
        <v>1326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/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/>
      <c r="C4" s="40"/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1326</v>
      </c>
      <c r="C5" s="103">
        <f>SUM(C2:C4)</f>
        <v>1326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149" t="s">
        <v>23</v>
      </c>
      <c r="E7" s="149" t="s">
        <v>24</v>
      </c>
      <c r="H7" s="149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149" t="s">
        <v>25</v>
      </c>
      <c r="B8" s="149" t="s">
        <v>26</v>
      </c>
      <c r="C8" s="143" t="s">
        <v>214</v>
      </c>
      <c r="D8" s="61" t="s">
        <v>43</v>
      </c>
      <c r="E8" s="61" t="s">
        <v>215</v>
      </c>
      <c r="G8" s="149"/>
      <c r="H8" s="78" t="s">
        <v>215</v>
      </c>
      <c r="I8" s="149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1876.4259999999999</v>
      </c>
      <c r="D9" s="40">
        <f t="shared" ref="D9:D14" si="0">B9*C9</f>
        <v>37.52852</v>
      </c>
      <c r="E9" s="41">
        <f t="shared" ref="E9:E14" si="1">B9*C9*$C$18</f>
        <v>49762.817519999997</v>
      </c>
      <c r="H9" s="41">
        <f t="shared" ref="H9:H14" si="2">B9*C9*$H$18</f>
        <v>39861.292803200005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1</v>
      </c>
      <c r="X9" s="12">
        <f>0.25*I21+K41</f>
        <v>17761.136400800002</v>
      </c>
      <c r="Y9" s="13">
        <f>W9*X9</f>
        <v>17761.136400800002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1876.4259999999999</v>
      </c>
      <c r="D10" s="40">
        <f t="shared" si="0"/>
        <v>11.258555999999999</v>
      </c>
      <c r="E10" s="41">
        <f t="shared" si="1"/>
        <v>14928.845255999999</v>
      </c>
      <c r="H10" s="41">
        <f t="shared" si="2"/>
        <v>11958.38784096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4982.6616004000007</v>
      </c>
      <c r="Y10" s="13">
        <f t="shared" ref="Y10:Y18" si="4">W10*X10</f>
        <v>4982.6616004000007</v>
      </c>
    </row>
    <row r="11" spans="1:25" ht="15">
      <c r="A11" s="36" t="s">
        <v>28</v>
      </c>
      <c r="B11" s="90">
        <v>1.0800000000000001E-2</v>
      </c>
      <c r="C11" s="40">
        <f t="shared" si="3"/>
        <v>1876.4259999999999</v>
      </c>
      <c r="D11" s="40">
        <f t="shared" si="0"/>
        <v>20.265400800000002</v>
      </c>
      <c r="E11" s="41">
        <f t="shared" si="1"/>
        <v>26871.921460800004</v>
      </c>
      <c r="H11" s="41">
        <f t="shared" si="2"/>
        <v>21525.098113728003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3188.9034242560006</v>
      </c>
      <c r="Y11" s="13">
        <f t="shared" si="4"/>
        <v>3188.9034242560006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1876.4259999999999</v>
      </c>
      <c r="D12" s="40">
        <f t="shared" si="0"/>
        <v>12.196769</v>
      </c>
      <c r="E12" s="41">
        <f t="shared" si="1"/>
        <v>16172.915693999999</v>
      </c>
      <c r="H12" s="41">
        <f t="shared" si="2"/>
        <v>12954.920161040001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1793.7581761439999</v>
      </c>
      <c r="Y12" s="13">
        <f t="shared" si="4"/>
        <v>1793.7581761439999</v>
      </c>
    </row>
    <row r="13" spans="1:25" ht="15">
      <c r="A13" s="36" t="s">
        <v>30</v>
      </c>
      <c r="B13" s="90">
        <v>4.7000000000000002E-3</v>
      </c>
      <c r="C13" s="40">
        <f t="shared" si="3"/>
        <v>1876.4259999999999</v>
      </c>
      <c r="D13" s="40">
        <f t="shared" si="0"/>
        <v>8.8192021999999994</v>
      </c>
      <c r="E13" s="41">
        <f t="shared" si="1"/>
        <v>11694.2621172</v>
      </c>
      <c r="H13" s="41">
        <f>B13*C13*$H$19</f>
        <v>10716.741745351999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1607.5112618027999</v>
      </c>
      <c r="Y13" s="13">
        <f t="shared" si="4"/>
        <v>1607.5112618027999</v>
      </c>
    </row>
    <row r="14" spans="1:25" ht="30">
      <c r="A14" s="36" t="s">
        <v>31</v>
      </c>
      <c r="B14" s="90">
        <v>4.0000000000000001E-3</v>
      </c>
      <c r="C14" s="40">
        <f t="shared" si="3"/>
        <v>1876.4259999999999</v>
      </c>
      <c r="D14" s="40">
        <f t="shared" si="0"/>
        <v>7.5057039999999997</v>
      </c>
      <c r="E14" s="41">
        <f t="shared" si="1"/>
        <v>9952.5635039999997</v>
      </c>
      <c r="H14" s="41">
        <f t="shared" si="2"/>
        <v>7972.2585606400007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4305.0196227456008</v>
      </c>
      <c r="Y14" s="13">
        <f t="shared" si="4"/>
        <v>4305.0196227456008</v>
      </c>
    </row>
    <row r="15" spans="1:25" ht="30">
      <c r="D15" s="42">
        <f>SUM(D9:D14)</f>
        <v>97.574151999999984</v>
      </c>
      <c r="E15" s="42">
        <f>SUM(E9:E14)</f>
        <v>129383.32555200001</v>
      </c>
      <c r="H15" s="42">
        <f>SUM(H9:H14)</f>
        <v>104988.69922492001</v>
      </c>
      <c r="I15" s="147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1076.2549056864002</v>
      </c>
      <c r="Y15" s="13">
        <f t="shared" si="4"/>
        <v>1076.2549056864002</v>
      </c>
    </row>
    <row r="16" spans="1:25" ht="30">
      <c r="E16" s="41">
        <f>E15/C18</f>
        <v>97.574152000000012</v>
      </c>
      <c r="H16" s="41">
        <f>H15/C18</f>
        <v>79.176997907179498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5181.9680644160007</v>
      </c>
      <c r="Y16" s="13">
        <f t="shared" si="4"/>
        <v>5181.9680644160007</v>
      </c>
    </row>
    <row r="17" spans="1:25" ht="30">
      <c r="E17" s="43">
        <f>D15/1200</f>
        <v>8.1311793333333326E-2</v>
      </c>
      <c r="H17" s="43">
        <f>H16/1200</f>
        <v>6.5980831589316252E-2</v>
      </c>
      <c r="I17" s="43">
        <f>H16/1840</f>
        <v>4.3030977123467117E-2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1607.5112618027999</v>
      </c>
      <c r="Y17" s="13">
        <f t="shared" si="4"/>
        <v>1607.5112618027999</v>
      </c>
    </row>
    <row r="18" spans="1:25" ht="15">
      <c r="A18" s="206" t="s">
        <v>44</v>
      </c>
      <c r="B18" s="206"/>
      <c r="C18" s="62">
        <f>B5</f>
        <v>1326</v>
      </c>
      <c r="G18" s="150" t="s">
        <v>45</v>
      </c>
      <c r="H18" s="45">
        <f>(300+(500*0.83)+(C18-800)*0.66)</f>
        <v>1062.1600000000001</v>
      </c>
      <c r="I18" s="40">
        <f>H18/C18</f>
        <v>0.80102564102564111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1076.2549056864002</v>
      </c>
      <c r="Y18" s="13">
        <f t="shared" si="4"/>
        <v>1076.2549056864002</v>
      </c>
    </row>
    <row r="19" spans="1:25" ht="15">
      <c r="A19" s="150" t="s">
        <v>233</v>
      </c>
      <c r="B19" s="46">
        <v>41487</v>
      </c>
      <c r="C19" s="59">
        <v>1103.78</v>
      </c>
      <c r="G19" s="150" t="s">
        <v>48</v>
      </c>
      <c r="H19" s="45">
        <f>(500+(1000*0.83)+(C18-1500)*0.66)</f>
        <v>1215.1600000000001</v>
      </c>
      <c r="I19" s="40">
        <f>H19/C18</f>
        <v>0.91641025641025642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42580.979623740015</v>
      </c>
    </row>
    <row r="21" spans="1:25" ht="15">
      <c r="H21" s="60" t="s">
        <v>27</v>
      </c>
      <c r="I21" s="47">
        <f t="shared" ref="I21:I26" si="5">H9</f>
        <v>39861.292803200005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11958.38784096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21525.098113728003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12954.920161040001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5979.193920480001</v>
      </c>
      <c r="Y24" s="13">
        <f>W24*X24</f>
        <v>5979.193920480001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10716.741745351999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3228.7647170592004</v>
      </c>
      <c r="Y25" s="13">
        <f t="shared" ref="Y25:Y26" si="6">W25*X25</f>
        <v>3228.7647170592004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7972.2585606400007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1607.5112618027999</v>
      </c>
      <c r="Y26" s="13">
        <f t="shared" si="6"/>
        <v>1607.5112618027999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104988.69922492001</v>
      </c>
      <c r="J28" s="41"/>
      <c r="T28" s="11"/>
      <c r="U28" s="64" t="s">
        <v>17</v>
      </c>
      <c r="V28" s="8"/>
      <c r="W28" s="9"/>
      <c r="X28" s="16"/>
      <c r="Y28" s="17">
        <f>SUM(Y24:Y27)</f>
        <v>10815.469899342001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150" t="s">
        <v>49</v>
      </c>
      <c r="I30" s="42">
        <f>I28/C18</f>
        <v>79.176997907179498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10164.629664816002</v>
      </c>
      <c r="Y31" s="13">
        <f>W31*X31</f>
        <v>10164.629664816002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1594.4517121280003</v>
      </c>
      <c r="Y32" s="13">
        <f t="shared" ref="Y32:Y54" si="7">W32*X32</f>
        <v>1594.4517121280003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1594.4517121280003</v>
      </c>
      <c r="Y33" s="13">
        <f t="shared" si="7"/>
        <v>1594.4517121280003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2391.6775681920003</v>
      </c>
      <c r="Y34" s="13">
        <f t="shared" si="7"/>
        <v>2391.6775681920003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2989.5969602400005</v>
      </c>
      <c r="Y35" s="13">
        <f t="shared" si="7"/>
        <v>2989.5969602400005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1993.0646401600004</v>
      </c>
      <c r="Y36" s="13">
        <f t="shared" si="7"/>
        <v>1993.0646401600004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3587.5163522879998</v>
      </c>
      <c r="Y37" s="13">
        <f t="shared" si="7"/>
        <v>3587.5163522879998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3587.5163522879998</v>
      </c>
      <c r="Y38" s="13">
        <f t="shared" si="7"/>
        <v>3587.5163522879998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1607.5112618027999</v>
      </c>
      <c r="Y39" s="13">
        <f t="shared" si="7"/>
        <v>1607.5112618027999</v>
      </c>
    </row>
    <row r="40" spans="1:25" ht="15">
      <c r="A40" s="89" t="s">
        <v>236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1607.5112618027999</v>
      </c>
      <c r="Y40" s="13">
        <f t="shared" si="7"/>
        <v>1607.5112618027999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0.39</v>
      </c>
      <c r="H41" s="92">
        <v>3936.94</v>
      </c>
      <c r="I41" s="40">
        <f>G41*H41</f>
        <v>1535.4066</v>
      </c>
      <c r="J41" s="112">
        <f>I41+D99</f>
        <v>6260.4066000000003</v>
      </c>
      <c r="K41" s="111">
        <f>J41+I41</f>
        <v>7795.8132000000005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1071.6741745351999</v>
      </c>
      <c r="Y41" s="13">
        <f t="shared" si="7"/>
        <v>1071.6741745351999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535.83708726759994</v>
      </c>
      <c r="Y42" s="13">
        <f t="shared" si="7"/>
        <v>535.83708726759994</v>
      </c>
    </row>
    <row r="43" spans="1:25" ht="15">
      <c r="I43" s="41">
        <f>I28+J41</f>
        <v>111249.10582492001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4305.0196227456008</v>
      </c>
      <c r="Y43" s="13">
        <f t="shared" si="7"/>
        <v>4305.0196227456008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2152.5098113728004</v>
      </c>
      <c r="Y44" s="13">
        <f t="shared" si="7"/>
        <v>2152.5098113728004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1076.2549056864002</v>
      </c>
      <c r="Y45" s="13">
        <f t="shared" si="7"/>
        <v>1076.2549056864002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2152.5098113728004</v>
      </c>
      <c r="Y46" s="13">
        <f t="shared" si="7"/>
        <v>2152.5098113728004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7772.9520966240007</v>
      </c>
      <c r="Y47" s="13">
        <f t="shared" si="7"/>
        <v>7772.9520966240007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1071.6741745351999</v>
      </c>
      <c r="Y48" s="13">
        <f t="shared" si="7"/>
        <v>1071.6741745351999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1291.5058868236802</v>
      </c>
      <c r="Y49" s="13">
        <f t="shared" si="7"/>
        <v>1291.5058868236802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861.00392454912014</v>
      </c>
      <c r="Y50" s="13">
        <f t="shared" si="7"/>
        <v>861.00392454912014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2391.6775681920003</v>
      </c>
      <c r="Y51" s="13">
        <f t="shared" si="7"/>
        <v>2391.6775681920003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2391.6775681920003</v>
      </c>
      <c r="Y52" s="13">
        <f t="shared" si="7"/>
        <v>2391.6775681920003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797.22585606400014</v>
      </c>
      <c r="Y53" s="13">
        <f t="shared" si="7"/>
        <v>797.22585606400014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2391.6775681920003</v>
      </c>
      <c r="Y54" s="13">
        <f t="shared" si="7"/>
        <v>2391.6775681920003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61381.127541997994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114777.57706508001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23517.925540634893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138295.50260571489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47</v>
      </c>
      <c r="E88" s="108" t="s">
        <v>235</v>
      </c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4230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4725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I14:Q14"/>
    <mergeCell ref="T2:Y2"/>
    <mergeCell ref="T4:Y4"/>
    <mergeCell ref="T5:W5"/>
    <mergeCell ref="X5:Y5"/>
    <mergeCell ref="T6:W6"/>
    <mergeCell ref="X6:Y6"/>
    <mergeCell ref="I9:Q9"/>
    <mergeCell ref="I10:Q10"/>
    <mergeCell ref="I11:Q11"/>
    <mergeCell ref="I12:Q12"/>
    <mergeCell ref="I13:Q13"/>
    <mergeCell ref="A35:I35"/>
    <mergeCell ref="A41:E41"/>
    <mergeCell ref="A64:I64"/>
    <mergeCell ref="A18:B18"/>
    <mergeCell ref="B31:C31"/>
    <mergeCell ref="C32:D32"/>
    <mergeCell ref="C33:D33"/>
    <mergeCell ref="I33:K33"/>
    <mergeCell ref="A34:I34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7"/>
  <sheetViews>
    <sheetView topLeftCell="B13" workbookViewId="0">
      <selection activeCell="I22" sqref="I22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28515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260</v>
      </c>
      <c r="B2" s="103">
        <v>1989</v>
      </c>
      <c r="C2" s="36">
        <v>1326</v>
      </c>
      <c r="T2" s="169" t="s">
        <v>83</v>
      </c>
      <c r="U2" s="170"/>
      <c r="V2" s="170"/>
      <c r="W2" s="170"/>
      <c r="X2" s="170"/>
      <c r="Y2" s="171"/>
    </row>
    <row r="3" spans="1:25" ht="15.75">
      <c r="A3" s="89" t="s">
        <v>212</v>
      </c>
      <c r="B3" s="103"/>
      <c r="C3" s="36">
        <v>0</v>
      </c>
      <c r="T3" s="144"/>
      <c r="U3" s="145"/>
      <c r="V3" s="145"/>
      <c r="W3" s="145"/>
      <c r="X3" s="145"/>
      <c r="Y3" s="146"/>
    </row>
    <row r="4" spans="1:25">
      <c r="A4" s="89" t="s">
        <v>147</v>
      </c>
      <c r="B4" s="103"/>
      <c r="C4" s="40"/>
      <c r="T4" s="172" t="s">
        <v>84</v>
      </c>
      <c r="U4" s="173"/>
      <c r="V4" s="173"/>
      <c r="W4" s="173"/>
      <c r="X4" s="173"/>
      <c r="Y4" s="174"/>
    </row>
    <row r="5" spans="1:25" ht="15.75">
      <c r="A5" s="89"/>
      <c r="B5" s="103">
        <f>SUM(B2:B4)</f>
        <v>1989</v>
      </c>
      <c r="C5" s="103">
        <f>SUM(C2:C4)</f>
        <v>1326</v>
      </c>
      <c r="T5" s="175" t="s">
        <v>111</v>
      </c>
      <c r="U5" s="176"/>
      <c r="V5" s="176"/>
      <c r="W5" s="176"/>
      <c r="X5" s="177" t="s">
        <v>112</v>
      </c>
      <c r="Y5" s="178"/>
    </row>
    <row r="6" spans="1:25" ht="15.75">
      <c r="T6" s="179" t="s">
        <v>35</v>
      </c>
      <c r="U6" s="180"/>
      <c r="V6" s="180"/>
      <c r="W6" s="181"/>
      <c r="X6" s="182" t="s">
        <v>216</v>
      </c>
      <c r="Y6" s="183"/>
    </row>
    <row r="7" spans="1:25" ht="15.75">
      <c r="D7" s="149" t="s">
        <v>23</v>
      </c>
      <c r="E7" s="149" t="s">
        <v>24</v>
      </c>
      <c r="H7" s="149" t="s">
        <v>24</v>
      </c>
      <c r="T7" s="1" t="s">
        <v>22</v>
      </c>
      <c r="U7" s="2" t="s">
        <v>11</v>
      </c>
      <c r="V7" s="3" t="s">
        <v>12</v>
      </c>
      <c r="W7" s="4" t="s">
        <v>13</v>
      </c>
      <c r="X7" s="63" t="s">
        <v>50</v>
      </c>
      <c r="Y7" s="5" t="s">
        <v>0</v>
      </c>
    </row>
    <row r="8" spans="1:25" ht="25.5">
      <c r="A8" s="149" t="s">
        <v>25</v>
      </c>
      <c r="B8" s="149" t="s">
        <v>26</v>
      </c>
      <c r="C8" s="143" t="s">
        <v>214</v>
      </c>
      <c r="D8" s="61" t="s">
        <v>43</v>
      </c>
      <c r="E8" s="61" t="s">
        <v>215</v>
      </c>
      <c r="G8" s="149"/>
      <c r="H8" s="78" t="s">
        <v>215</v>
      </c>
      <c r="I8" s="149" t="str">
        <f>[1]Coefic.CEF!G2</f>
        <v>Observações:</v>
      </c>
      <c r="T8" s="1" t="s">
        <v>51</v>
      </c>
      <c r="U8" s="7" t="s">
        <v>52</v>
      </c>
      <c r="V8" s="3"/>
      <c r="W8" s="4"/>
      <c r="X8" s="63"/>
      <c r="Y8" s="5"/>
    </row>
    <row r="9" spans="1:25" ht="12.75" customHeight="1">
      <c r="A9" s="89" t="s">
        <v>117</v>
      </c>
      <c r="B9" s="90">
        <v>0.02</v>
      </c>
      <c r="C9" s="40">
        <f>$C$19*1.7</f>
        <v>1876.4259999999999</v>
      </c>
      <c r="D9" s="40">
        <f t="shared" ref="D9:D14" si="0">B9*C9</f>
        <v>37.52852</v>
      </c>
      <c r="E9" s="41">
        <f t="shared" ref="E9:E14" si="1">B9*C9*$C$18</f>
        <v>74644.226280000003</v>
      </c>
      <c r="H9" s="41">
        <f t="shared" ref="H9:H14" si="2">B9*C9*$H$18</f>
        <v>56283.022584799997</v>
      </c>
      <c r="I9" s="192" t="s">
        <v>39</v>
      </c>
      <c r="J9" s="193"/>
      <c r="K9" s="193"/>
      <c r="L9" s="193"/>
      <c r="M9" s="193"/>
      <c r="N9" s="193"/>
      <c r="O9" s="193"/>
      <c r="P9" s="193"/>
      <c r="Q9" s="193"/>
      <c r="R9" s="39">
        <v>0.02</v>
      </c>
      <c r="T9" s="11" t="s">
        <v>1</v>
      </c>
      <c r="U9" s="132" t="s">
        <v>113</v>
      </c>
      <c r="V9" s="8" t="s">
        <v>14</v>
      </c>
      <c r="W9" s="9">
        <v>1</v>
      </c>
      <c r="X9" s="12">
        <f>0.25*I21+K41</f>
        <v>21866.5688462</v>
      </c>
      <c r="Y9" s="13">
        <f>W9*X9</f>
        <v>21866.5688462</v>
      </c>
    </row>
    <row r="10" spans="1:25" ht="15">
      <c r="A10" s="89" t="s">
        <v>118</v>
      </c>
      <c r="B10" s="90">
        <f>R10</f>
        <v>5.9999999999999993E-3</v>
      </c>
      <c r="C10" s="40">
        <f t="shared" ref="C10:C14" si="3">$C$19*1.7</f>
        <v>1876.4259999999999</v>
      </c>
      <c r="D10" s="40">
        <f t="shared" si="0"/>
        <v>11.258555999999999</v>
      </c>
      <c r="E10" s="41">
        <f t="shared" si="1"/>
        <v>22393.267883999997</v>
      </c>
      <c r="H10" s="41">
        <f t="shared" si="2"/>
        <v>16884.906775439998</v>
      </c>
      <c r="I10" s="192" t="s">
        <v>38</v>
      </c>
      <c r="J10" s="193"/>
      <c r="K10" s="193"/>
      <c r="L10" s="193"/>
      <c r="M10" s="193"/>
      <c r="N10" s="193"/>
      <c r="O10" s="193"/>
      <c r="P10" s="193"/>
      <c r="Q10" s="193"/>
      <c r="R10" s="39">
        <f>0.0012+0.0048</f>
        <v>5.9999999999999993E-3</v>
      </c>
      <c r="T10" s="11" t="s">
        <v>2</v>
      </c>
      <c r="U10" s="132" t="s">
        <v>53</v>
      </c>
      <c r="V10" s="8" t="s">
        <v>14</v>
      </c>
      <c r="W10" s="9">
        <v>1</v>
      </c>
      <c r="X10" s="12">
        <f>(0.25*I21)/2</f>
        <v>7035.3778230999997</v>
      </c>
      <c r="Y10" s="13">
        <f t="shared" ref="Y10:Y18" si="4">W10*X10</f>
        <v>7035.3778230999997</v>
      </c>
    </row>
    <row r="11" spans="1:25" ht="15">
      <c r="A11" s="36" t="s">
        <v>28</v>
      </c>
      <c r="B11" s="90">
        <v>1.0800000000000001E-2</v>
      </c>
      <c r="C11" s="40">
        <f t="shared" si="3"/>
        <v>1876.4259999999999</v>
      </c>
      <c r="D11" s="40">
        <f t="shared" si="0"/>
        <v>20.265400800000002</v>
      </c>
      <c r="E11" s="41">
        <f t="shared" si="1"/>
        <v>40307.882191200006</v>
      </c>
      <c r="H11" s="41">
        <f t="shared" si="2"/>
        <v>30392.832195792002</v>
      </c>
      <c r="I11" s="192" t="s">
        <v>40</v>
      </c>
      <c r="J11" s="193"/>
      <c r="K11" s="193"/>
      <c r="L11" s="193"/>
      <c r="M11" s="193"/>
      <c r="N11" s="193"/>
      <c r="O11" s="193"/>
      <c r="P11" s="193"/>
      <c r="Q11" s="193"/>
      <c r="R11" s="39">
        <f>0.0037+0.0009+0.0004+0.001+0.001+0.0024+0.0004+0.0005+0.0005</f>
        <v>1.0800000000000001E-2</v>
      </c>
      <c r="T11" s="11" t="s">
        <v>3</v>
      </c>
      <c r="U11" s="132" t="s">
        <v>54</v>
      </c>
      <c r="V11" s="8" t="s">
        <v>14</v>
      </c>
      <c r="W11" s="9">
        <v>1</v>
      </c>
      <c r="X11" s="12">
        <f>0.08*I21</f>
        <v>4502.6418067839995</v>
      </c>
      <c r="Y11" s="13">
        <f t="shared" si="4"/>
        <v>4502.6418067839995</v>
      </c>
    </row>
    <row r="12" spans="1:25" ht="15">
      <c r="A12" s="36" t="s">
        <v>29</v>
      </c>
      <c r="B12" s="90">
        <f>R12</f>
        <v>6.4999999999999997E-3</v>
      </c>
      <c r="C12" s="40">
        <f t="shared" si="3"/>
        <v>1876.4259999999999</v>
      </c>
      <c r="D12" s="40">
        <f t="shared" si="0"/>
        <v>12.196769</v>
      </c>
      <c r="E12" s="41">
        <f t="shared" si="1"/>
        <v>24259.373541000001</v>
      </c>
      <c r="H12" s="41">
        <f t="shared" si="2"/>
        <v>18291.98234006</v>
      </c>
      <c r="I12" s="192" t="s">
        <v>119</v>
      </c>
      <c r="J12" s="192"/>
      <c r="K12" s="192"/>
      <c r="L12" s="192"/>
      <c r="M12" s="192"/>
      <c r="N12" s="192"/>
      <c r="O12" s="192"/>
      <c r="P12" s="192"/>
      <c r="Q12" s="192"/>
      <c r="R12" s="39">
        <v>6.4999999999999997E-3</v>
      </c>
      <c r="T12" s="11" t="s">
        <v>4</v>
      </c>
      <c r="U12" s="132" t="s">
        <v>55</v>
      </c>
      <c r="V12" s="8" t="s">
        <v>14</v>
      </c>
      <c r="W12" s="9">
        <v>1</v>
      </c>
      <c r="X12" s="12">
        <f>(0.075*I22)+(0.075*I22)</f>
        <v>2532.7360163159997</v>
      </c>
      <c r="Y12" s="13">
        <f t="shared" si="4"/>
        <v>2532.7360163159997</v>
      </c>
    </row>
    <row r="13" spans="1:25" ht="15">
      <c r="A13" s="36" t="s">
        <v>30</v>
      </c>
      <c r="B13" s="90">
        <v>4.7000000000000002E-3</v>
      </c>
      <c r="C13" s="40">
        <f t="shared" si="3"/>
        <v>1876.4259999999999</v>
      </c>
      <c r="D13" s="40">
        <f t="shared" si="0"/>
        <v>8.8192021999999994</v>
      </c>
      <c r="E13" s="41">
        <f t="shared" si="1"/>
        <v>17541.3931758</v>
      </c>
      <c r="H13" s="41">
        <f>B13*C13*$H$19</f>
        <v>14575.848244027999</v>
      </c>
      <c r="I13" s="192" t="s">
        <v>41</v>
      </c>
      <c r="J13" s="192"/>
      <c r="K13" s="192"/>
      <c r="L13" s="192"/>
      <c r="M13" s="192"/>
      <c r="N13" s="192"/>
      <c r="O13" s="192"/>
      <c r="P13" s="192"/>
      <c r="Q13" s="192"/>
      <c r="R13" s="39">
        <f>0.001+0.001+0.002+0.0007</f>
        <v>4.7000000000000002E-3</v>
      </c>
      <c r="T13" s="11" t="s">
        <v>15</v>
      </c>
      <c r="U13" s="132" t="s">
        <v>56</v>
      </c>
      <c r="V13" s="8" t="s">
        <v>14</v>
      </c>
      <c r="W13" s="9">
        <v>1</v>
      </c>
      <c r="X13" s="12">
        <f>0.15*I25</f>
        <v>2186.3772366041999</v>
      </c>
      <c r="Y13" s="13">
        <f t="shared" si="4"/>
        <v>2186.3772366041999</v>
      </c>
    </row>
    <row r="14" spans="1:25" ht="30">
      <c r="A14" s="36" t="s">
        <v>31</v>
      </c>
      <c r="B14" s="90">
        <v>4.0000000000000001E-3</v>
      </c>
      <c r="C14" s="40">
        <f t="shared" si="3"/>
        <v>1876.4259999999999</v>
      </c>
      <c r="D14" s="40">
        <f t="shared" si="0"/>
        <v>7.5057039999999997</v>
      </c>
      <c r="E14" s="41">
        <f t="shared" si="1"/>
        <v>14928.845255999999</v>
      </c>
      <c r="H14" s="41">
        <f t="shared" si="2"/>
        <v>11256.60451696</v>
      </c>
      <c r="I14" s="192" t="s">
        <v>42</v>
      </c>
      <c r="J14" s="192"/>
      <c r="K14" s="192"/>
      <c r="L14" s="192"/>
      <c r="M14" s="192"/>
      <c r="N14" s="192"/>
      <c r="O14" s="192"/>
      <c r="P14" s="192"/>
      <c r="Q14" s="192"/>
      <c r="R14" s="39">
        <v>4.0000000000000001E-3</v>
      </c>
      <c r="T14" s="11" t="s">
        <v>16</v>
      </c>
      <c r="U14" s="132" t="s">
        <v>114</v>
      </c>
      <c r="V14" s="8" t="s">
        <v>14</v>
      </c>
      <c r="W14" s="9">
        <v>1</v>
      </c>
      <c r="X14" s="12">
        <f>0.2*I23</f>
        <v>6078.5664391584005</v>
      </c>
      <c r="Y14" s="13">
        <f t="shared" si="4"/>
        <v>6078.5664391584005</v>
      </c>
    </row>
    <row r="15" spans="1:25" ht="30">
      <c r="D15" s="42">
        <f>SUM(D9:D14)</f>
        <v>97.574151999999984</v>
      </c>
      <c r="E15" s="42">
        <f>SUM(E9:E14)</f>
        <v>194074.98832800004</v>
      </c>
      <c r="H15" s="42">
        <f>SUM(H9:H14)</f>
        <v>147685.19665708</v>
      </c>
      <c r="I15" s="147"/>
      <c r="T15" s="11" t="s">
        <v>36</v>
      </c>
      <c r="U15" s="132" t="s">
        <v>132</v>
      </c>
      <c r="V15" s="8" t="s">
        <v>14</v>
      </c>
      <c r="W15" s="9">
        <v>1</v>
      </c>
      <c r="X15" s="12">
        <f>0.05*I23</f>
        <v>1519.6416097896001</v>
      </c>
      <c r="Y15" s="13">
        <f t="shared" si="4"/>
        <v>1519.6416097896001</v>
      </c>
    </row>
    <row r="16" spans="1:25" ht="30">
      <c r="E16" s="41">
        <f>E15/C18</f>
        <v>97.574152000000012</v>
      </c>
      <c r="H16" s="41">
        <f>H15/C18</f>
        <v>74.250978711452987</v>
      </c>
      <c r="T16" s="11" t="s">
        <v>85</v>
      </c>
      <c r="U16" s="133" t="s">
        <v>108</v>
      </c>
      <c r="V16" s="15" t="s">
        <v>14</v>
      </c>
      <c r="W16" s="9">
        <v>1</v>
      </c>
      <c r="X16" s="12">
        <f>0.4*I24</f>
        <v>7316.7929360240005</v>
      </c>
      <c r="Y16" s="13">
        <f t="shared" si="4"/>
        <v>7316.7929360240005</v>
      </c>
    </row>
    <row r="17" spans="1:25" ht="30">
      <c r="E17" s="43">
        <f>D15/1200</f>
        <v>8.1311793333333326E-2</v>
      </c>
      <c r="H17" s="43">
        <f>H16/1200</f>
        <v>6.1875815592877491E-2</v>
      </c>
      <c r="I17" s="43">
        <f>H16/1840</f>
        <v>4.0353792777963582E-2</v>
      </c>
      <c r="T17" s="11" t="s">
        <v>86</v>
      </c>
      <c r="U17" s="132" t="s">
        <v>57</v>
      </c>
      <c r="V17" s="8" t="s">
        <v>14</v>
      </c>
      <c r="W17" s="9">
        <v>1</v>
      </c>
      <c r="X17" s="12">
        <f>0.15*I25</f>
        <v>2186.3772366041999</v>
      </c>
      <c r="Y17" s="13">
        <f t="shared" si="4"/>
        <v>2186.3772366041999</v>
      </c>
    </row>
    <row r="18" spans="1:25" ht="15">
      <c r="A18" s="206" t="s">
        <v>44</v>
      </c>
      <c r="B18" s="206"/>
      <c r="C18" s="62">
        <f>B5</f>
        <v>1989</v>
      </c>
      <c r="G18" s="150" t="s">
        <v>45</v>
      </c>
      <c r="H18" s="45">
        <f>(300+(500*0.83)+(C18-800)*0.66)</f>
        <v>1499.74</v>
      </c>
      <c r="I18" s="40">
        <f>H18/C18</f>
        <v>0.75401709401709405</v>
      </c>
      <c r="T18" s="11" t="s">
        <v>58</v>
      </c>
      <c r="U18" s="132" t="s">
        <v>59</v>
      </c>
      <c r="V18" s="8" t="s">
        <v>14</v>
      </c>
      <c r="W18" s="9">
        <v>1</v>
      </c>
      <c r="X18" s="12">
        <f>0.05*I23</f>
        <v>1519.6416097896001</v>
      </c>
      <c r="Y18" s="13">
        <f t="shared" si="4"/>
        <v>1519.6416097896001</v>
      </c>
    </row>
    <row r="19" spans="1:25" ht="15">
      <c r="A19" s="150" t="s">
        <v>233</v>
      </c>
      <c r="B19" s="46">
        <v>41487</v>
      </c>
      <c r="C19" s="59">
        <v>1103.78</v>
      </c>
      <c r="G19" s="150" t="s">
        <v>48</v>
      </c>
      <c r="H19" s="45">
        <f>(500+(1000*0.83)+(C18-1500)*0.66)</f>
        <v>1652.74</v>
      </c>
      <c r="I19" s="40">
        <f>H19/C18</f>
        <v>0.83094017094017092</v>
      </c>
      <c r="T19" s="11"/>
      <c r="U19" s="14"/>
      <c r="V19" s="8"/>
      <c r="W19" s="9"/>
      <c r="X19" s="12"/>
      <c r="Y19" s="13"/>
    </row>
    <row r="20" spans="1:25" ht="16.5" thickBot="1">
      <c r="A20" s="78" t="s">
        <v>213</v>
      </c>
      <c r="T20" s="11"/>
      <c r="U20" s="64" t="s">
        <v>17</v>
      </c>
      <c r="V20" s="8"/>
      <c r="W20" s="9"/>
      <c r="X20" s="16"/>
      <c r="Y20" s="17">
        <f>SUM(Y9:Y19)</f>
        <v>56744.721560370002</v>
      </c>
    </row>
    <row r="21" spans="1:25" ht="15">
      <c r="H21" s="60" t="s">
        <v>27</v>
      </c>
      <c r="I21" s="47">
        <f t="shared" ref="I21:I26" si="5">H9</f>
        <v>56283.022584799997</v>
      </c>
      <c r="T21" s="18"/>
      <c r="U21" s="19"/>
      <c r="V21" s="20"/>
      <c r="W21" s="21"/>
      <c r="X21" s="22"/>
      <c r="Y21" s="23"/>
    </row>
    <row r="22" spans="1:25" ht="15">
      <c r="C22" s="36">
        <f>23000*0.0005</f>
        <v>11.5</v>
      </c>
      <c r="H22" s="48" t="s">
        <v>32</v>
      </c>
      <c r="I22" s="49">
        <f t="shared" si="5"/>
        <v>16884.906775439998</v>
      </c>
      <c r="T22" s="18"/>
      <c r="U22" s="19"/>
      <c r="V22" s="20"/>
      <c r="W22" s="24"/>
      <c r="X22" s="22"/>
      <c r="Y22" s="25"/>
    </row>
    <row r="23" spans="1:25" ht="15.75">
      <c r="A23" s="79"/>
      <c r="B23" s="79"/>
      <c r="C23" s="79"/>
      <c r="D23" s="79"/>
      <c r="E23" s="79"/>
      <c r="F23" s="79"/>
      <c r="H23" s="48" t="s">
        <v>33</v>
      </c>
      <c r="I23" s="49">
        <f t="shared" si="5"/>
        <v>30392.832195792002</v>
      </c>
      <c r="L23" s="89"/>
      <c r="T23" s="87" t="s">
        <v>60</v>
      </c>
      <c r="U23" s="65" t="s">
        <v>61</v>
      </c>
      <c r="V23" s="20"/>
      <c r="W23" s="24"/>
      <c r="X23" s="22"/>
      <c r="Y23" s="25"/>
    </row>
    <row r="24" spans="1:25" ht="15">
      <c r="A24" s="80"/>
      <c r="B24" s="81"/>
      <c r="C24" s="81"/>
      <c r="D24" s="80"/>
      <c r="E24" s="81"/>
      <c r="F24" s="79"/>
      <c r="H24" s="50" t="s">
        <v>29</v>
      </c>
      <c r="I24" s="51">
        <f t="shared" si="5"/>
        <v>18291.98234006</v>
      </c>
      <c r="J24" s="52"/>
      <c r="T24" s="11" t="s">
        <v>5</v>
      </c>
      <c r="U24" s="132" t="s">
        <v>62</v>
      </c>
      <c r="V24" s="8" t="s">
        <v>14</v>
      </c>
      <c r="W24" s="9">
        <v>1</v>
      </c>
      <c r="X24" s="12">
        <f>0.1*I21+0.05*I21</f>
        <v>8442.453387720001</v>
      </c>
      <c r="Y24" s="13">
        <f>W24*X24</f>
        <v>8442.453387720001</v>
      </c>
    </row>
    <row r="25" spans="1:25" ht="15">
      <c r="A25" s="79"/>
      <c r="B25" s="82"/>
      <c r="C25" s="83"/>
      <c r="D25" s="83"/>
      <c r="E25" s="84"/>
      <c r="F25" s="79"/>
      <c r="H25" s="48" t="s">
        <v>30</v>
      </c>
      <c r="I25" s="49">
        <f t="shared" si="5"/>
        <v>14575.848244027999</v>
      </c>
      <c r="J25" s="41"/>
      <c r="T25" s="11" t="s">
        <v>6</v>
      </c>
      <c r="U25" s="132" t="s">
        <v>63</v>
      </c>
      <c r="V25" s="8" t="s">
        <v>14</v>
      </c>
      <c r="W25" s="9">
        <v>1</v>
      </c>
      <c r="X25" s="12">
        <f>0.15*I23</f>
        <v>4558.9248293687997</v>
      </c>
      <c r="Y25" s="13">
        <f t="shared" ref="Y25:Y26" si="6">W25*X25</f>
        <v>4558.9248293687997</v>
      </c>
    </row>
    <row r="26" spans="1:25" ht="15">
      <c r="A26" s="79"/>
      <c r="B26" s="82"/>
      <c r="C26" s="83"/>
      <c r="D26" s="83"/>
      <c r="E26" s="84"/>
      <c r="F26" s="79"/>
      <c r="H26" s="53" t="s">
        <v>34</v>
      </c>
      <c r="I26" s="49">
        <f t="shared" si="5"/>
        <v>11256.60451696</v>
      </c>
      <c r="J26" s="41"/>
      <c r="T26" s="11" t="s">
        <v>7</v>
      </c>
      <c r="U26" s="132" t="s">
        <v>64</v>
      </c>
      <c r="V26" s="8" t="s">
        <v>14</v>
      </c>
      <c r="W26" s="9">
        <v>1</v>
      </c>
      <c r="X26" s="12">
        <f>0.15*I25</f>
        <v>2186.3772366041999</v>
      </c>
      <c r="Y26" s="13">
        <f t="shared" si="6"/>
        <v>2186.3772366041999</v>
      </c>
    </row>
    <row r="27" spans="1:25" ht="15">
      <c r="A27" s="79"/>
      <c r="B27" s="82"/>
      <c r="C27" s="83"/>
      <c r="D27" s="83"/>
      <c r="E27" s="84"/>
      <c r="F27" s="79"/>
      <c r="H27" s="54"/>
      <c r="I27" s="55"/>
      <c r="J27" s="41"/>
      <c r="T27" s="11"/>
      <c r="U27" s="14"/>
      <c r="V27" s="8"/>
      <c r="W27" s="9"/>
      <c r="X27" s="12"/>
      <c r="Y27" s="13"/>
    </row>
    <row r="28" spans="1:25" ht="16.5" thickBot="1">
      <c r="A28" s="79"/>
      <c r="B28" s="82"/>
      <c r="C28" s="83"/>
      <c r="D28" s="83"/>
      <c r="E28" s="84"/>
      <c r="F28" s="79"/>
      <c r="H28" s="56"/>
      <c r="I28" s="57">
        <f>SUM(I21:I26)</f>
        <v>147685.19665708</v>
      </c>
      <c r="J28" s="41"/>
      <c r="T28" s="11"/>
      <c r="U28" s="64" t="s">
        <v>17</v>
      </c>
      <c r="V28" s="8"/>
      <c r="W28" s="9"/>
      <c r="X28" s="16"/>
      <c r="Y28" s="17">
        <f>SUM(Y24:Y27)</f>
        <v>15187.755453693</v>
      </c>
    </row>
    <row r="29" spans="1:25" ht="15.75">
      <c r="A29" s="79"/>
      <c r="B29" s="82"/>
      <c r="C29" s="83"/>
      <c r="D29" s="83"/>
      <c r="E29" s="84"/>
      <c r="F29" s="79"/>
      <c r="I29" s="41"/>
      <c r="J29" s="41"/>
      <c r="T29" s="11"/>
      <c r="U29" s="14"/>
      <c r="V29" s="8"/>
      <c r="W29" s="9"/>
      <c r="X29" s="26"/>
      <c r="Y29" s="10"/>
    </row>
    <row r="30" spans="1:25" ht="15.75">
      <c r="A30" s="79"/>
      <c r="B30" s="82"/>
      <c r="C30" s="83"/>
      <c r="D30" s="83"/>
      <c r="E30" s="84"/>
      <c r="F30" s="79"/>
      <c r="H30" s="150" t="s">
        <v>49</v>
      </c>
      <c r="I30" s="42">
        <f>I28/C18</f>
        <v>74.250978711452987</v>
      </c>
      <c r="J30" s="41"/>
      <c r="T30" s="6">
        <v>3</v>
      </c>
      <c r="U30" s="65" t="s">
        <v>65</v>
      </c>
      <c r="V30" s="8"/>
      <c r="W30" s="9"/>
      <c r="X30" s="22"/>
      <c r="Y30" s="23"/>
    </row>
    <row r="31" spans="1:25" ht="15">
      <c r="A31" s="79"/>
      <c r="B31" s="188"/>
      <c r="C31" s="188"/>
      <c r="D31" s="85"/>
      <c r="E31" s="86"/>
      <c r="F31" s="79"/>
      <c r="T31" s="11" t="s">
        <v>8</v>
      </c>
      <c r="U31" s="132" t="s">
        <v>115</v>
      </c>
      <c r="V31" s="8" t="s">
        <v>14</v>
      </c>
      <c r="W31" s="9">
        <v>1</v>
      </c>
      <c r="X31" s="12">
        <f>0.255*I21</f>
        <v>14352.170759123999</v>
      </c>
      <c r="Y31" s="13">
        <f>W31*X31</f>
        <v>14352.170759123999</v>
      </c>
    </row>
    <row r="32" spans="1:25" ht="15">
      <c r="C32" s="188"/>
      <c r="D32" s="188"/>
      <c r="E32" s="41"/>
      <c r="T32" s="11" t="s">
        <v>9</v>
      </c>
      <c r="U32" s="132" t="s">
        <v>66</v>
      </c>
      <c r="V32" s="8" t="s">
        <v>14</v>
      </c>
      <c r="W32" s="9">
        <v>1</v>
      </c>
      <c r="X32" s="12">
        <f>0.04*I$21</f>
        <v>2251.3209033919998</v>
      </c>
      <c r="Y32" s="13">
        <f t="shared" ref="Y32:Y54" si="7">W32*X32</f>
        <v>2251.3209033919998</v>
      </c>
    </row>
    <row r="33" spans="1:25" ht="15">
      <c r="C33" s="188"/>
      <c r="D33" s="188"/>
      <c r="E33" s="43"/>
      <c r="I33" s="189"/>
      <c r="J33" s="189"/>
      <c r="K33" s="189"/>
      <c r="T33" s="11" t="s">
        <v>18</v>
      </c>
      <c r="U33" s="132" t="s">
        <v>67</v>
      </c>
      <c r="V33" s="8" t="s">
        <v>14</v>
      </c>
      <c r="W33" s="9">
        <v>1</v>
      </c>
      <c r="X33" s="12">
        <f t="shared" ref="X33" si="8">0.04*I$21</f>
        <v>2251.3209033919998</v>
      </c>
      <c r="Y33" s="13">
        <f t="shared" si="7"/>
        <v>2251.3209033919998</v>
      </c>
    </row>
    <row r="34" spans="1:25" ht="15">
      <c r="A34" s="191" t="s">
        <v>151</v>
      </c>
      <c r="B34" s="190"/>
      <c r="C34" s="190"/>
      <c r="D34" s="190"/>
      <c r="E34" s="190"/>
      <c r="F34" s="190"/>
      <c r="G34" s="190"/>
      <c r="H34" s="190"/>
      <c r="I34" s="190"/>
      <c r="T34" s="11" t="s">
        <v>37</v>
      </c>
      <c r="U34" s="132" t="s">
        <v>68</v>
      </c>
      <c r="V34" s="8" t="s">
        <v>14</v>
      </c>
      <c r="W34" s="9">
        <v>1</v>
      </c>
      <c r="X34" s="12">
        <f>0.06*I$21</f>
        <v>3376.9813550879999</v>
      </c>
      <c r="Y34" s="13">
        <f t="shared" si="7"/>
        <v>3376.9813550879999</v>
      </c>
    </row>
    <row r="35" spans="1:25" ht="15">
      <c r="A35" s="191" t="s">
        <v>150</v>
      </c>
      <c r="B35" s="191"/>
      <c r="C35" s="191"/>
      <c r="D35" s="191"/>
      <c r="E35" s="191"/>
      <c r="F35" s="191"/>
      <c r="G35" s="191"/>
      <c r="H35" s="191"/>
      <c r="I35" s="191"/>
      <c r="T35" s="11" t="s">
        <v>87</v>
      </c>
      <c r="U35" s="132" t="s">
        <v>69</v>
      </c>
      <c r="V35" s="8" t="s">
        <v>14</v>
      </c>
      <c r="W35" s="9">
        <v>1</v>
      </c>
      <c r="X35" s="12">
        <f>0.075*I$21</f>
        <v>4221.2266938599996</v>
      </c>
      <c r="Y35" s="13">
        <f t="shared" si="7"/>
        <v>4221.2266938599996</v>
      </c>
    </row>
    <row r="36" spans="1:25" ht="15">
      <c r="T36" s="11" t="s">
        <v>88</v>
      </c>
      <c r="U36" s="132" t="s">
        <v>131</v>
      </c>
      <c r="V36" s="8" t="s">
        <v>14</v>
      </c>
      <c r="W36" s="9">
        <v>1</v>
      </c>
      <c r="X36" s="12">
        <f>0.05*I$21</f>
        <v>2814.15112924</v>
      </c>
      <c r="Y36" s="13">
        <f t="shared" si="7"/>
        <v>2814.15112924</v>
      </c>
    </row>
    <row r="37" spans="1:25" ht="15">
      <c r="T37" s="11" t="s">
        <v>89</v>
      </c>
      <c r="U37" s="132" t="s">
        <v>70</v>
      </c>
      <c r="V37" s="8" t="s">
        <v>14</v>
      </c>
      <c r="W37" s="9">
        <v>1</v>
      </c>
      <c r="X37" s="12">
        <f>0.3*I22</f>
        <v>5065.4720326319994</v>
      </c>
      <c r="Y37" s="13">
        <f t="shared" si="7"/>
        <v>5065.4720326319994</v>
      </c>
    </row>
    <row r="38" spans="1:25" ht="15">
      <c r="A38" s="89" t="s">
        <v>106</v>
      </c>
      <c r="T38" s="11" t="s">
        <v>90</v>
      </c>
      <c r="U38" s="132" t="s">
        <v>71</v>
      </c>
      <c r="V38" s="8" t="s">
        <v>14</v>
      </c>
      <c r="W38" s="9">
        <v>1</v>
      </c>
      <c r="X38" s="12">
        <f>0.3*I22</f>
        <v>5065.4720326319994</v>
      </c>
      <c r="Y38" s="13">
        <f t="shared" si="7"/>
        <v>5065.4720326319994</v>
      </c>
    </row>
    <row r="39" spans="1:25" ht="15">
      <c r="T39" s="11" t="s">
        <v>91</v>
      </c>
      <c r="U39" s="132" t="s">
        <v>72</v>
      </c>
      <c r="V39" s="8" t="s">
        <v>14</v>
      </c>
      <c r="W39" s="9">
        <v>1</v>
      </c>
      <c r="X39" s="12">
        <f>0.15*I$25</f>
        <v>2186.3772366041999</v>
      </c>
      <c r="Y39" s="13">
        <f t="shared" si="7"/>
        <v>2186.3772366041999</v>
      </c>
    </row>
    <row r="40" spans="1:25" ht="15">
      <c r="A40" s="89" t="s">
        <v>236</v>
      </c>
      <c r="G40" s="100" t="s">
        <v>121</v>
      </c>
      <c r="H40" s="91" t="s">
        <v>120</v>
      </c>
      <c r="T40" s="11" t="s">
        <v>92</v>
      </c>
      <c r="U40" s="132" t="s">
        <v>73</v>
      </c>
      <c r="V40" s="8" t="s">
        <v>14</v>
      </c>
      <c r="W40" s="9">
        <v>1</v>
      </c>
      <c r="X40" s="12">
        <f t="shared" ref="X40" si="9">0.15*I$25</f>
        <v>2186.3772366041999</v>
      </c>
      <c r="Y40" s="13">
        <f t="shared" si="7"/>
        <v>2186.3772366041999</v>
      </c>
    </row>
    <row r="41" spans="1:25" ht="26.25" customHeight="1">
      <c r="A41" s="205" t="s">
        <v>107</v>
      </c>
      <c r="B41" s="205"/>
      <c r="C41" s="205"/>
      <c r="D41" s="205"/>
      <c r="E41" s="205"/>
      <c r="G41" s="100">
        <v>0.39</v>
      </c>
      <c r="H41" s="92">
        <v>3936.94</v>
      </c>
      <c r="I41" s="40">
        <f>G41*H41</f>
        <v>1535.4066</v>
      </c>
      <c r="J41" s="112">
        <f>I41+D99</f>
        <v>6260.4066000000003</v>
      </c>
      <c r="K41" s="111">
        <f>J41+I41</f>
        <v>7795.8132000000005</v>
      </c>
      <c r="T41" s="11" t="s">
        <v>93</v>
      </c>
      <c r="U41" s="132" t="s">
        <v>74</v>
      </c>
      <c r="V41" s="8" t="s">
        <v>14</v>
      </c>
      <c r="W41" s="9">
        <v>1</v>
      </c>
      <c r="X41" s="12">
        <f>0.1*I$25</f>
        <v>1457.5848244028</v>
      </c>
      <c r="Y41" s="13">
        <f t="shared" si="7"/>
        <v>1457.5848244028</v>
      </c>
    </row>
    <row r="42" spans="1:25" ht="15">
      <c r="T42" s="11" t="s">
        <v>94</v>
      </c>
      <c r="U42" s="132" t="s">
        <v>75</v>
      </c>
      <c r="V42" s="8" t="s">
        <v>14</v>
      </c>
      <c r="W42" s="9">
        <v>1</v>
      </c>
      <c r="X42" s="12">
        <f>0.05*I$25</f>
        <v>728.7924122014</v>
      </c>
      <c r="Y42" s="13">
        <f t="shared" si="7"/>
        <v>728.7924122014</v>
      </c>
    </row>
    <row r="43" spans="1:25" ht="15">
      <c r="I43" s="41">
        <f>I28+J41</f>
        <v>153945.60325707999</v>
      </c>
      <c r="T43" s="11" t="s">
        <v>95</v>
      </c>
      <c r="U43" s="132" t="s">
        <v>116</v>
      </c>
      <c r="V43" s="8" t="s">
        <v>14</v>
      </c>
      <c r="W43" s="9">
        <v>1</v>
      </c>
      <c r="X43" s="12">
        <f>0.2*I$23</f>
        <v>6078.5664391584005</v>
      </c>
      <c r="Y43" s="13">
        <f t="shared" si="7"/>
        <v>6078.5664391584005</v>
      </c>
    </row>
    <row r="44" spans="1:25" ht="15">
      <c r="T44" s="11" t="s">
        <v>96</v>
      </c>
      <c r="U44" s="132" t="s">
        <v>76</v>
      </c>
      <c r="V44" s="8" t="s">
        <v>14</v>
      </c>
      <c r="W44" s="9">
        <v>1</v>
      </c>
      <c r="X44" s="12">
        <f>0.1*I$23</f>
        <v>3039.2832195792002</v>
      </c>
      <c r="Y44" s="13">
        <f t="shared" si="7"/>
        <v>3039.2832195792002</v>
      </c>
    </row>
    <row r="45" spans="1:25" ht="15">
      <c r="A45" s="36" t="s">
        <v>133</v>
      </c>
      <c r="T45" s="11" t="s">
        <v>97</v>
      </c>
      <c r="U45" s="132" t="s">
        <v>77</v>
      </c>
      <c r="V45" s="8" t="s">
        <v>14</v>
      </c>
      <c r="W45" s="9">
        <v>1</v>
      </c>
      <c r="X45" s="12">
        <f>0.05*I$23</f>
        <v>1519.6416097896001</v>
      </c>
      <c r="Y45" s="13">
        <f t="shared" si="7"/>
        <v>1519.6416097896001</v>
      </c>
    </row>
    <row r="46" spans="1:25" ht="30">
      <c r="A46" s="36" t="s">
        <v>134</v>
      </c>
      <c r="T46" s="11" t="s">
        <v>98</v>
      </c>
      <c r="U46" s="132" t="s">
        <v>129</v>
      </c>
      <c r="V46" s="15" t="s">
        <v>14</v>
      </c>
      <c r="W46" s="9">
        <v>1</v>
      </c>
      <c r="X46" s="12">
        <f>0.1*I$23</f>
        <v>3039.2832195792002</v>
      </c>
      <c r="Y46" s="13">
        <f t="shared" si="7"/>
        <v>3039.2832195792002</v>
      </c>
    </row>
    <row r="47" spans="1:25" ht="30">
      <c r="A47" s="36" t="s">
        <v>165</v>
      </c>
      <c r="T47" s="11" t="s">
        <v>99</v>
      </c>
      <c r="U47" s="132" t="s">
        <v>109</v>
      </c>
      <c r="V47" s="8" t="s">
        <v>14</v>
      </c>
      <c r="W47" s="9">
        <v>1</v>
      </c>
      <c r="X47" s="12">
        <f>0.6*I24</f>
        <v>10975.189404036</v>
      </c>
      <c r="Y47" s="13">
        <f t="shared" si="7"/>
        <v>10975.189404036</v>
      </c>
    </row>
    <row r="48" spans="1:25" ht="15">
      <c r="A48" s="36" t="s">
        <v>135</v>
      </c>
      <c r="T48" s="11" t="s">
        <v>100</v>
      </c>
      <c r="U48" s="132" t="s">
        <v>78</v>
      </c>
      <c r="V48" s="8" t="s">
        <v>14</v>
      </c>
      <c r="W48" s="9">
        <v>1</v>
      </c>
      <c r="X48" s="12">
        <f>0.1*I25</f>
        <v>1457.5848244028</v>
      </c>
      <c r="Y48" s="13">
        <f t="shared" si="7"/>
        <v>1457.5848244028</v>
      </c>
    </row>
    <row r="49" spans="1:25" ht="15">
      <c r="A49" s="36" t="s">
        <v>136</v>
      </c>
      <c r="T49" s="11" t="s">
        <v>101</v>
      </c>
      <c r="U49" s="132" t="s">
        <v>79</v>
      </c>
      <c r="V49" s="8" t="s">
        <v>14</v>
      </c>
      <c r="W49" s="9">
        <v>1</v>
      </c>
      <c r="X49" s="12">
        <f>0.06*I$23</f>
        <v>1823.5699317475201</v>
      </c>
      <c r="Y49" s="13">
        <f t="shared" si="7"/>
        <v>1823.5699317475201</v>
      </c>
    </row>
    <row r="50" spans="1:25" ht="15">
      <c r="A50" s="36" t="s">
        <v>137</v>
      </c>
      <c r="T50" s="11" t="s">
        <v>102</v>
      </c>
      <c r="U50" s="132" t="s">
        <v>80</v>
      </c>
      <c r="V50" s="8" t="s">
        <v>14</v>
      </c>
      <c r="W50" s="9">
        <v>1</v>
      </c>
      <c r="X50" s="12">
        <f>0.04*I$23</f>
        <v>1215.7132878316802</v>
      </c>
      <c r="Y50" s="13">
        <f t="shared" si="7"/>
        <v>1215.7132878316802</v>
      </c>
    </row>
    <row r="51" spans="1:25" ht="15">
      <c r="A51" s="36" t="s">
        <v>138</v>
      </c>
      <c r="T51" s="11" t="s">
        <v>103</v>
      </c>
      <c r="U51" s="132" t="s">
        <v>81</v>
      </c>
      <c r="V51" s="8" t="s">
        <v>14</v>
      </c>
      <c r="W51" s="9">
        <v>1</v>
      </c>
      <c r="X51" s="12">
        <f>0.3*I$26</f>
        <v>3376.9813550879999</v>
      </c>
      <c r="Y51" s="13">
        <f t="shared" si="7"/>
        <v>3376.9813550879999</v>
      </c>
    </row>
    <row r="52" spans="1:25" ht="15">
      <c r="A52" s="36" t="s">
        <v>166</v>
      </c>
      <c r="T52" s="11" t="s">
        <v>104</v>
      </c>
      <c r="U52" s="132" t="s">
        <v>110</v>
      </c>
      <c r="V52" s="8" t="s">
        <v>14</v>
      </c>
      <c r="W52" s="9">
        <v>1</v>
      </c>
      <c r="X52" s="12">
        <f t="shared" ref="X52:X54" si="10">0.3*I$26</f>
        <v>3376.9813550879999</v>
      </c>
      <c r="Y52" s="13">
        <f t="shared" si="7"/>
        <v>3376.9813550879999</v>
      </c>
    </row>
    <row r="53" spans="1:25" ht="15">
      <c r="A53" s="36" t="s">
        <v>139</v>
      </c>
      <c r="T53" s="11" t="s">
        <v>105</v>
      </c>
      <c r="U53" s="132" t="s">
        <v>82</v>
      </c>
      <c r="V53" s="8" t="s">
        <v>14</v>
      </c>
      <c r="W53" s="9">
        <v>1</v>
      </c>
      <c r="X53" s="12">
        <f>0.1*I$26</f>
        <v>1125.6604516960001</v>
      </c>
      <c r="Y53" s="13">
        <f t="shared" si="7"/>
        <v>1125.6604516960001</v>
      </c>
    </row>
    <row r="54" spans="1:25" ht="45">
      <c r="A54" s="36" t="s">
        <v>140</v>
      </c>
      <c r="T54" s="11" t="s">
        <v>130</v>
      </c>
      <c r="U54" s="132" t="s">
        <v>128</v>
      </c>
      <c r="V54" s="15" t="s">
        <v>14</v>
      </c>
      <c r="W54" s="9">
        <v>1</v>
      </c>
      <c r="X54" s="12">
        <f t="shared" si="10"/>
        <v>3376.9813550879999</v>
      </c>
      <c r="Y54" s="13">
        <f t="shared" si="7"/>
        <v>3376.9813550879999</v>
      </c>
    </row>
    <row r="55" spans="1:25" ht="15">
      <c r="A55" s="36" t="s">
        <v>141</v>
      </c>
      <c r="T55" s="67"/>
      <c r="U55" s="14"/>
      <c r="V55" s="68"/>
      <c r="W55" s="69"/>
      <c r="X55" s="70"/>
      <c r="Y55" s="71"/>
    </row>
    <row r="56" spans="1:25" ht="15.75">
      <c r="A56" s="36" t="s">
        <v>142</v>
      </c>
      <c r="T56" s="72"/>
      <c r="U56" s="73" t="s">
        <v>17</v>
      </c>
      <c r="V56" s="74"/>
      <c r="W56" s="75"/>
      <c r="X56" s="76"/>
      <c r="Y56" s="77">
        <f>SUM(Y31:Y55)</f>
        <v>86362.683972257044</v>
      </c>
    </row>
    <row r="57" spans="1:25" ht="15">
      <c r="A57" s="36" t="s">
        <v>143</v>
      </c>
      <c r="T57" s="27"/>
      <c r="U57" s="19"/>
      <c r="V57" s="20"/>
      <c r="W57" s="24"/>
      <c r="X57" s="21"/>
      <c r="Y57" s="28"/>
    </row>
    <row r="58" spans="1:25" ht="15.75">
      <c r="A58" s="36" t="s">
        <v>144</v>
      </c>
      <c r="T58" s="27"/>
      <c r="U58" s="29" t="s">
        <v>19</v>
      </c>
      <c r="V58" s="20"/>
      <c r="W58" s="24"/>
      <c r="X58" s="21"/>
      <c r="Y58" s="17">
        <f>+Y20+Y28+Y56</f>
        <v>158295.16098632006</v>
      </c>
    </row>
    <row r="59" spans="1:25" ht="15.75">
      <c r="A59" s="36" t="s">
        <v>167</v>
      </c>
      <c r="T59" s="27"/>
      <c r="U59" s="29" t="s">
        <v>20</v>
      </c>
      <c r="V59" s="20" t="s">
        <v>10</v>
      </c>
      <c r="W59" s="88">
        <v>20.49</v>
      </c>
      <c r="X59" s="21"/>
      <c r="Y59" s="17">
        <f>Y58*W59/100</f>
        <v>32434.678486096975</v>
      </c>
    </row>
    <row r="60" spans="1:25" ht="16.5" thickBot="1">
      <c r="A60" s="36" t="s">
        <v>168</v>
      </c>
      <c r="T60" s="30"/>
      <c r="U60" s="31" t="s">
        <v>21</v>
      </c>
      <c r="V60" s="32"/>
      <c r="W60" s="33"/>
      <c r="X60" s="34"/>
      <c r="Y60" s="35">
        <f>Y58+Y59</f>
        <v>190729.83947241702</v>
      </c>
    </row>
    <row r="61" spans="1:25">
      <c r="A61" s="36" t="s">
        <v>169</v>
      </c>
    </row>
    <row r="62" spans="1:25">
      <c r="A62" s="36" t="s">
        <v>170</v>
      </c>
    </row>
    <row r="64" spans="1:25" ht="15">
      <c r="A64" s="203" t="s">
        <v>171</v>
      </c>
      <c r="B64" s="204"/>
      <c r="C64" s="204"/>
      <c r="D64" s="204"/>
      <c r="E64" s="204"/>
      <c r="F64" s="204"/>
      <c r="G64" s="204"/>
      <c r="H64" s="204"/>
      <c r="I64" s="20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172</v>
      </c>
      <c r="B66"/>
      <c r="C66"/>
      <c r="D66"/>
      <c r="E66"/>
      <c r="F66"/>
      <c r="G66"/>
      <c r="H66"/>
      <c r="I66"/>
    </row>
    <row r="67" spans="1:9">
      <c r="A67" t="s">
        <v>173</v>
      </c>
      <c r="B67"/>
      <c r="C67"/>
      <c r="D67"/>
      <c r="E67"/>
      <c r="F67"/>
      <c r="G67"/>
      <c r="H67"/>
      <c r="I67"/>
    </row>
    <row r="68" spans="1:9">
      <c r="A68" t="s">
        <v>174</v>
      </c>
      <c r="B68"/>
      <c r="C68"/>
      <c r="D68"/>
      <c r="E68"/>
      <c r="F68"/>
      <c r="G68"/>
      <c r="H68"/>
      <c r="I68"/>
    </row>
    <row r="69" spans="1:9">
      <c r="A69" t="s">
        <v>175</v>
      </c>
      <c r="B69"/>
      <c r="C69"/>
      <c r="D69"/>
      <c r="E69"/>
      <c r="F69"/>
      <c r="G69"/>
      <c r="H69"/>
      <c r="I69"/>
    </row>
    <row r="70" spans="1:9">
      <c r="A70" t="s">
        <v>176</v>
      </c>
      <c r="B70"/>
      <c r="C70"/>
      <c r="D70"/>
      <c r="E70"/>
      <c r="F70"/>
      <c r="G70"/>
      <c r="H70"/>
      <c r="I70"/>
    </row>
    <row r="71" spans="1:9">
      <c r="A71" t="s">
        <v>177</v>
      </c>
      <c r="B71"/>
      <c r="C71"/>
      <c r="D71"/>
      <c r="E71"/>
      <c r="F71"/>
      <c r="G71"/>
      <c r="H71"/>
      <c r="I71"/>
    </row>
    <row r="72" spans="1:9">
      <c r="A72" t="s">
        <v>178</v>
      </c>
      <c r="B72"/>
      <c r="C72"/>
      <c r="D72"/>
      <c r="E72"/>
      <c r="F72"/>
      <c r="G72"/>
      <c r="H72"/>
      <c r="I72"/>
    </row>
    <row r="73" spans="1:9">
      <c r="A73" t="s">
        <v>179</v>
      </c>
      <c r="B73"/>
      <c r="C73"/>
      <c r="D73"/>
      <c r="E73"/>
      <c r="F73"/>
      <c r="G73"/>
      <c r="H73"/>
      <c r="I73"/>
    </row>
    <row r="74" spans="1:9">
      <c r="A74" t="s">
        <v>180</v>
      </c>
      <c r="B74"/>
      <c r="C74"/>
      <c r="D74"/>
      <c r="E74"/>
      <c r="F74"/>
      <c r="G74"/>
      <c r="H74"/>
      <c r="I74"/>
    </row>
    <row r="75" spans="1:9">
      <c r="A75" t="s">
        <v>181</v>
      </c>
      <c r="B75"/>
      <c r="C75"/>
      <c r="D75"/>
      <c r="E75"/>
      <c r="F75"/>
      <c r="G75"/>
      <c r="H75"/>
      <c r="I75"/>
    </row>
    <row r="76" spans="1:9">
      <c r="A76" t="s">
        <v>182</v>
      </c>
      <c r="B76"/>
      <c r="C76"/>
      <c r="D76"/>
      <c r="E76"/>
      <c r="F76"/>
      <c r="G76"/>
      <c r="H76"/>
      <c r="I76"/>
    </row>
    <row r="77" spans="1:9">
      <c r="A77" t="s">
        <v>183</v>
      </c>
      <c r="B77"/>
      <c r="C77"/>
      <c r="D77"/>
      <c r="E77"/>
      <c r="F77"/>
      <c r="G77"/>
      <c r="H77"/>
      <c r="I77"/>
    </row>
    <row r="78" spans="1:9">
      <c r="A78" t="s">
        <v>184</v>
      </c>
      <c r="B78"/>
      <c r="C78"/>
      <c r="D78"/>
      <c r="E78"/>
      <c r="F78"/>
      <c r="G78"/>
      <c r="H78"/>
      <c r="I78"/>
    </row>
    <row r="79" spans="1:9">
      <c r="A79" t="s">
        <v>185</v>
      </c>
      <c r="B79"/>
      <c r="C79"/>
      <c r="D79"/>
      <c r="E79"/>
      <c r="F79"/>
      <c r="G79"/>
      <c r="H79"/>
      <c r="I79"/>
    </row>
    <row r="80" spans="1:9">
      <c r="A80" t="s">
        <v>186</v>
      </c>
      <c r="B80"/>
      <c r="C80"/>
      <c r="D80"/>
      <c r="E80"/>
      <c r="F80"/>
      <c r="G80"/>
      <c r="H80"/>
      <c r="I80"/>
    </row>
    <row r="81" spans="1:9">
      <c r="A81" t="s">
        <v>187</v>
      </c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 s="108" t="s">
        <v>202</v>
      </c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 t="s">
        <v>189</v>
      </c>
      <c r="B88"/>
      <c r="C88" s="94"/>
      <c r="D88" s="109">
        <v>47</v>
      </c>
      <c r="E88" s="108" t="s">
        <v>235</v>
      </c>
      <c r="F88"/>
      <c r="G88"/>
      <c r="H88"/>
      <c r="I88"/>
    </row>
    <row r="89" spans="1:9">
      <c r="A89"/>
      <c r="B89"/>
      <c r="C89" s="94"/>
      <c r="D89" s="94"/>
      <c r="E89"/>
      <c r="F89"/>
      <c r="G89"/>
      <c r="H89"/>
      <c r="I89"/>
    </row>
    <row r="90" spans="1:9">
      <c r="A90" s="108"/>
      <c r="B90"/>
      <c r="C90"/>
      <c r="D90"/>
      <c r="E90"/>
      <c r="F90"/>
      <c r="G90"/>
      <c r="H90"/>
      <c r="I90"/>
    </row>
    <row r="91" spans="1:9">
      <c r="A91"/>
      <c r="B91"/>
      <c r="C91" s="104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 t="s">
        <v>194</v>
      </c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 s="108" t="s">
        <v>199</v>
      </c>
      <c r="B95"/>
      <c r="C95"/>
      <c r="D95" s="105">
        <f>90*D88</f>
        <v>4230</v>
      </c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 t="s">
        <v>195</v>
      </c>
      <c r="B97"/>
      <c r="C97" s="104"/>
      <c r="D97" s="105">
        <v>495</v>
      </c>
      <c r="E97" s="104"/>
      <c r="F97"/>
      <c r="G97"/>
      <c r="H97"/>
      <c r="I97"/>
    </row>
    <row r="98" spans="1:9">
      <c r="A98"/>
      <c r="B98"/>
      <c r="C98" s="104"/>
      <c r="D98"/>
      <c r="E98"/>
      <c r="F98"/>
      <c r="G98"/>
      <c r="H98"/>
      <c r="I98"/>
    </row>
    <row r="99" spans="1:9">
      <c r="A99"/>
      <c r="B99"/>
      <c r="C99" s="104"/>
      <c r="D99" s="110">
        <f>D95+D97</f>
        <v>4725</v>
      </c>
      <c r="E99"/>
      <c r="F99"/>
      <c r="G99"/>
      <c r="H99"/>
      <c r="I99"/>
    </row>
    <row r="100" spans="1:9">
      <c r="A100"/>
      <c r="B100"/>
      <c r="C100" s="104"/>
      <c r="D100"/>
      <c r="E100"/>
      <c r="F100"/>
      <c r="G100"/>
      <c r="H100"/>
      <c r="I100"/>
    </row>
    <row r="101" spans="1:9">
      <c r="A101"/>
      <c r="B101"/>
      <c r="C101" s="104"/>
      <c r="D101"/>
      <c r="E101"/>
      <c r="F101"/>
      <c r="G101"/>
      <c r="H101"/>
      <c r="I101"/>
    </row>
    <row r="102" spans="1:9">
      <c r="A102"/>
      <c r="B102"/>
      <c r="C102" s="106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 s="107"/>
      <c r="E107"/>
      <c r="F107"/>
      <c r="G107"/>
      <c r="H107"/>
      <c r="I107"/>
    </row>
  </sheetData>
  <mergeCells count="21">
    <mergeCell ref="I14:Q14"/>
    <mergeCell ref="T2:Y2"/>
    <mergeCell ref="T4:Y4"/>
    <mergeCell ref="T5:W5"/>
    <mergeCell ref="X5:Y5"/>
    <mergeCell ref="T6:W6"/>
    <mergeCell ref="X6:Y6"/>
    <mergeCell ref="I9:Q9"/>
    <mergeCell ref="I10:Q10"/>
    <mergeCell ref="I11:Q11"/>
    <mergeCell ref="I12:Q12"/>
    <mergeCell ref="I13:Q13"/>
    <mergeCell ref="A35:I35"/>
    <mergeCell ref="A41:E41"/>
    <mergeCell ref="A64:I64"/>
    <mergeCell ref="A18:B18"/>
    <mergeCell ref="B31:C31"/>
    <mergeCell ref="C32:D32"/>
    <mergeCell ref="C33:D33"/>
    <mergeCell ref="I33:K33"/>
    <mergeCell ref="A34:I34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6" max="32" man="1"/>
    <brk id="10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0"/>
  <sheetViews>
    <sheetView topLeftCell="A31" zoomScale="75" zoomScaleNormal="75" workbookViewId="0">
      <selection activeCell="H64" sqref="H64"/>
    </sheetView>
  </sheetViews>
  <sheetFormatPr defaultRowHeight="12.75"/>
  <cols>
    <col min="1" max="1" width="6.7109375" bestFit="1" customWidth="1"/>
    <col min="2" max="2" width="81.42578125" customWidth="1"/>
    <col min="3" max="3" width="7.5703125" customWidth="1"/>
    <col min="4" max="4" width="10" bestFit="1" customWidth="1"/>
    <col min="5" max="5" width="15.140625" bestFit="1" customWidth="1"/>
    <col min="6" max="6" width="16.5703125" customWidth="1"/>
  </cols>
  <sheetData>
    <row r="1" spans="1:13" ht="13.5" thickBot="1"/>
    <row r="2" spans="1:13" ht="15.75">
      <c r="A2" s="169" t="s">
        <v>83</v>
      </c>
      <c r="B2" s="170"/>
      <c r="C2" s="170"/>
      <c r="D2" s="170"/>
      <c r="E2" s="170"/>
      <c r="F2" s="171"/>
    </row>
    <row r="3" spans="1:13">
      <c r="A3" s="172" t="s">
        <v>84</v>
      </c>
      <c r="B3" s="173"/>
      <c r="C3" s="173"/>
      <c r="D3" s="173"/>
      <c r="E3" s="173"/>
      <c r="F3" s="174"/>
    </row>
    <row r="4" spans="1:13" ht="15.75">
      <c r="A4" s="175" t="s">
        <v>111</v>
      </c>
      <c r="B4" s="176"/>
      <c r="C4" s="176"/>
      <c r="D4" s="176"/>
      <c r="E4" s="177" t="s">
        <v>112</v>
      </c>
      <c r="F4" s="178"/>
    </row>
    <row r="5" spans="1:13" ht="15.75">
      <c r="A5" s="179" t="s">
        <v>35</v>
      </c>
      <c r="B5" s="180"/>
      <c r="C5" s="180"/>
      <c r="D5" s="181"/>
      <c r="E5" s="182" t="s">
        <v>216</v>
      </c>
      <c r="F5" s="183"/>
      <c r="H5" s="95">
        <f>SUM(H9:H54)</f>
        <v>1</v>
      </c>
      <c r="I5" s="95">
        <f t="shared" ref="I5:M5" si="0">SUM(I9:I54)</f>
        <v>1</v>
      </c>
      <c r="J5" s="95">
        <f t="shared" si="0"/>
        <v>1</v>
      </c>
      <c r="K5" s="95">
        <f t="shared" si="0"/>
        <v>1</v>
      </c>
      <c r="L5" s="95">
        <f t="shared" si="0"/>
        <v>1</v>
      </c>
      <c r="M5" s="95">
        <f t="shared" si="0"/>
        <v>1</v>
      </c>
    </row>
    <row r="6" spans="1:13" ht="15.75">
      <c r="A6" s="1" t="s">
        <v>22</v>
      </c>
      <c r="B6" s="2" t="s">
        <v>11</v>
      </c>
      <c r="C6" s="3" t="s">
        <v>12</v>
      </c>
      <c r="D6" s="4" t="s">
        <v>13</v>
      </c>
      <c r="E6" s="63" t="s">
        <v>50</v>
      </c>
      <c r="F6" s="5" t="s">
        <v>0</v>
      </c>
      <c r="H6" s="94">
        <v>15</v>
      </c>
      <c r="I6" s="94">
        <v>16</v>
      </c>
      <c r="J6" s="94">
        <v>17</v>
      </c>
      <c r="K6" s="94">
        <v>18</v>
      </c>
      <c r="L6" s="94">
        <v>19</v>
      </c>
      <c r="M6" s="94">
        <v>20</v>
      </c>
    </row>
    <row r="7" spans="1:13" ht="15.75">
      <c r="A7" s="157"/>
      <c r="B7" s="158" t="s">
        <v>255</v>
      </c>
      <c r="C7" s="159"/>
      <c r="D7" s="160"/>
      <c r="E7" s="161"/>
      <c r="F7" s="162"/>
      <c r="H7" s="94"/>
      <c r="I7" s="94"/>
      <c r="J7" s="94"/>
      <c r="K7" s="94"/>
      <c r="L7" s="94"/>
      <c r="M7" s="94"/>
    </row>
    <row r="8" spans="1:13" ht="15.75">
      <c r="A8" s="1" t="s">
        <v>51</v>
      </c>
      <c r="B8" s="7" t="s">
        <v>52</v>
      </c>
      <c r="C8" s="3"/>
      <c r="D8" s="4"/>
      <c r="E8" s="63"/>
      <c r="F8" s="5"/>
      <c r="H8" s="93" t="s">
        <v>122</v>
      </c>
      <c r="I8" s="93" t="s">
        <v>123</v>
      </c>
      <c r="J8" s="93" t="s">
        <v>124</v>
      </c>
      <c r="K8" s="93" t="s">
        <v>125</v>
      </c>
      <c r="L8" s="93" t="s">
        <v>126</v>
      </c>
      <c r="M8" s="93" t="s">
        <v>127</v>
      </c>
    </row>
    <row r="9" spans="1:13" ht="15">
      <c r="A9" s="11" t="s">
        <v>1</v>
      </c>
      <c r="B9" s="132" t="s">
        <v>113</v>
      </c>
      <c r="C9" s="8" t="s">
        <v>14</v>
      </c>
      <c r="D9" s="163">
        <v>1</v>
      </c>
      <c r="E9" s="66">
        <f>0.25*HON__CEF!I40+HON__CEF!B83</f>
        <v>9329.3601798807504</v>
      </c>
      <c r="F9" s="164">
        <f>D9*E9</f>
        <v>9329.3601798807504</v>
      </c>
      <c r="H9" s="94"/>
      <c r="I9" s="94">
        <v>0.25</v>
      </c>
      <c r="J9" s="94"/>
      <c r="K9" s="94"/>
      <c r="L9" s="94"/>
      <c r="M9" s="94"/>
    </row>
    <row r="10" spans="1:13" ht="15">
      <c r="A10" s="11" t="s">
        <v>2</v>
      </c>
      <c r="B10" s="132" t="s">
        <v>53</v>
      </c>
      <c r="C10" s="8" t="s">
        <v>14</v>
      </c>
      <c r="D10" s="163">
        <v>1</v>
      </c>
      <c r="E10" s="12">
        <f>(0.25*HON__CEF!I39)/2</f>
        <v>2030.9862998012502</v>
      </c>
      <c r="F10" s="13">
        <f t="shared" ref="F10:F18" si="1">D10*E10</f>
        <v>2030.9862998012502</v>
      </c>
      <c r="H10" s="94">
        <v>0.25</v>
      </c>
      <c r="I10" s="94"/>
      <c r="J10" s="94"/>
      <c r="K10" s="94"/>
      <c r="L10" s="94"/>
      <c r="M10" s="94"/>
    </row>
    <row r="11" spans="1:13" ht="15">
      <c r="A11" s="11" t="s">
        <v>3</v>
      </c>
      <c r="B11" s="132" t="s">
        <v>54</v>
      </c>
      <c r="C11" s="8" t="s">
        <v>14</v>
      </c>
      <c r="D11" s="163">
        <v>1</v>
      </c>
      <c r="E11" s="12">
        <f>0.08*HON__CEF!I39</f>
        <v>1299.8312318728001</v>
      </c>
      <c r="F11" s="13">
        <f t="shared" si="1"/>
        <v>1299.8312318728001</v>
      </c>
      <c r="H11" s="94">
        <v>0.08</v>
      </c>
      <c r="I11" s="94"/>
      <c r="J11" s="94"/>
      <c r="K11" s="94"/>
      <c r="L11" s="94"/>
      <c r="M11" s="94"/>
    </row>
    <row r="12" spans="1:13" ht="15">
      <c r="A12" s="11" t="s">
        <v>4</v>
      </c>
      <c r="B12" s="132" t="s">
        <v>55</v>
      </c>
      <c r="C12" s="8" t="s">
        <v>14</v>
      </c>
      <c r="D12" s="163">
        <v>1</v>
      </c>
      <c r="E12" s="12">
        <f>(0.075*HON__CEF!I40)+(0.075*HON__CEF!I45)</f>
        <v>1827.887669821125</v>
      </c>
      <c r="F12" s="13">
        <f t="shared" si="1"/>
        <v>1827.887669821125</v>
      </c>
      <c r="H12" s="94"/>
      <c r="I12" s="94">
        <v>0.15</v>
      </c>
      <c r="J12" s="94"/>
      <c r="K12" s="94"/>
      <c r="L12" s="94"/>
      <c r="M12" s="94"/>
    </row>
    <row r="13" spans="1:13" ht="15">
      <c r="A13" s="11" t="s">
        <v>15</v>
      </c>
      <c r="B13" s="132" t="s">
        <v>56</v>
      </c>
      <c r="C13" s="8" t="s">
        <v>14</v>
      </c>
      <c r="D13" s="163">
        <v>1</v>
      </c>
      <c r="E13" s="12">
        <f>0.15*HON__CEF!I43</f>
        <v>632.14559428145253</v>
      </c>
      <c r="F13" s="13">
        <f t="shared" si="1"/>
        <v>632.14559428145253</v>
      </c>
      <c r="H13" s="94"/>
      <c r="I13" s="94"/>
      <c r="J13" s="94"/>
      <c r="K13" s="94"/>
      <c r="L13" s="94">
        <v>0.15</v>
      </c>
      <c r="M13" s="94"/>
    </row>
    <row r="14" spans="1:13" ht="30">
      <c r="A14" s="11" t="s">
        <v>16</v>
      </c>
      <c r="B14" s="132" t="s">
        <v>114</v>
      </c>
      <c r="C14" s="8" t="s">
        <v>14</v>
      </c>
      <c r="D14" s="163">
        <v>1</v>
      </c>
      <c r="E14" s="12">
        <f>0.2*HON__CEF!I41</f>
        <v>1754.7721630282804</v>
      </c>
      <c r="F14" s="13">
        <f t="shared" si="1"/>
        <v>1754.7721630282804</v>
      </c>
      <c r="H14" s="94"/>
      <c r="I14" s="94"/>
      <c r="J14" s="94">
        <v>0.2</v>
      </c>
      <c r="K14" s="94"/>
      <c r="L14" s="94"/>
      <c r="M14" s="94"/>
    </row>
    <row r="15" spans="1:13" ht="30">
      <c r="A15" s="11" t="s">
        <v>36</v>
      </c>
      <c r="B15" s="132" t="s">
        <v>132</v>
      </c>
      <c r="C15" s="8" t="s">
        <v>14</v>
      </c>
      <c r="D15" s="163">
        <v>1</v>
      </c>
      <c r="E15" s="12">
        <f>0.05*HON__CEF!I41</f>
        <v>438.69304075707009</v>
      </c>
      <c r="F15" s="13">
        <f t="shared" si="1"/>
        <v>438.69304075707009</v>
      </c>
      <c r="H15" s="94"/>
      <c r="I15" s="94"/>
      <c r="J15" s="94">
        <v>0.05</v>
      </c>
      <c r="K15" s="94"/>
      <c r="L15" s="94"/>
      <c r="M15" s="94"/>
    </row>
    <row r="16" spans="1:13" ht="30">
      <c r="A16" s="11" t="s">
        <v>85</v>
      </c>
      <c r="B16" s="133" t="s">
        <v>108</v>
      </c>
      <c r="C16" s="15" t="s">
        <v>14</v>
      </c>
      <c r="D16" s="163">
        <v>1</v>
      </c>
      <c r="E16" s="12">
        <f>0.4*HON__CEF!I42</f>
        <v>2112.2257517933003</v>
      </c>
      <c r="F16" s="13">
        <f t="shared" si="1"/>
        <v>2112.2257517933003</v>
      </c>
      <c r="H16" s="94"/>
      <c r="I16" s="94"/>
      <c r="J16" s="94"/>
      <c r="K16" s="94">
        <v>0.4</v>
      </c>
      <c r="L16" s="94"/>
      <c r="M16" s="94"/>
    </row>
    <row r="17" spans="1:13" ht="30">
      <c r="A17" s="11" t="s">
        <v>86</v>
      </c>
      <c r="B17" s="132" t="s">
        <v>57</v>
      </c>
      <c r="C17" s="8" t="s">
        <v>14</v>
      </c>
      <c r="D17" s="163">
        <v>1</v>
      </c>
      <c r="E17" s="12">
        <f>0.15*HON__CEF!I43</f>
        <v>632.14559428145253</v>
      </c>
      <c r="F17" s="13">
        <f t="shared" si="1"/>
        <v>632.14559428145253</v>
      </c>
      <c r="H17" s="94"/>
      <c r="I17" s="94"/>
      <c r="J17" s="94"/>
      <c r="K17" s="94"/>
      <c r="L17" s="94">
        <v>0.15</v>
      </c>
      <c r="M17" s="94"/>
    </row>
    <row r="18" spans="1:13" ht="15">
      <c r="A18" s="11" t="s">
        <v>58</v>
      </c>
      <c r="B18" s="132" t="s">
        <v>59</v>
      </c>
      <c r="C18" s="8" t="s">
        <v>14</v>
      </c>
      <c r="D18" s="163">
        <v>1</v>
      </c>
      <c r="E18" s="12">
        <f>0.05*HON__CEF!I41</f>
        <v>438.69304075707009</v>
      </c>
      <c r="F18" s="13">
        <f t="shared" si="1"/>
        <v>438.69304075707009</v>
      </c>
      <c r="H18" s="94"/>
      <c r="I18" s="94"/>
      <c r="J18" s="94">
        <v>0.05</v>
      </c>
      <c r="K18" s="94"/>
      <c r="L18" s="94"/>
      <c r="M18" s="94"/>
    </row>
    <row r="19" spans="1:13" ht="15">
      <c r="A19" s="11"/>
      <c r="B19" s="14"/>
      <c r="C19" s="8"/>
      <c r="D19" s="9"/>
      <c r="E19" s="12"/>
      <c r="F19" s="13"/>
      <c r="H19" s="94"/>
      <c r="I19" s="94"/>
      <c r="J19" s="94"/>
      <c r="K19" s="94"/>
      <c r="L19" s="94"/>
      <c r="M19" s="94"/>
    </row>
    <row r="20" spans="1:13" ht="15.75">
      <c r="A20" s="11"/>
      <c r="B20" s="64" t="s">
        <v>17</v>
      </c>
      <c r="C20" s="8"/>
      <c r="D20" s="9"/>
      <c r="E20" s="16"/>
      <c r="F20" s="17">
        <f>SUM(F9:F19)</f>
        <v>20496.740566274548</v>
      </c>
      <c r="H20" s="94"/>
      <c r="I20" s="94"/>
      <c r="J20" s="94"/>
      <c r="K20" s="94"/>
      <c r="L20" s="94"/>
      <c r="M20" s="94"/>
    </row>
    <row r="21" spans="1:13" ht="15">
      <c r="A21" s="18"/>
      <c r="B21" s="19"/>
      <c r="C21" s="20"/>
      <c r="D21" s="21"/>
      <c r="E21" s="22"/>
      <c r="F21" s="23"/>
      <c r="H21" s="94"/>
      <c r="I21" s="94"/>
      <c r="J21" s="94"/>
      <c r="K21" s="94"/>
      <c r="L21" s="94"/>
      <c r="M21" s="94"/>
    </row>
    <row r="22" spans="1:13" ht="15">
      <c r="A22" s="18"/>
      <c r="B22" s="19"/>
      <c r="C22" s="20"/>
      <c r="D22" s="24"/>
      <c r="E22" s="22"/>
      <c r="F22" s="25"/>
      <c r="H22" s="94"/>
      <c r="I22" s="94"/>
      <c r="J22" s="94"/>
      <c r="K22" s="94"/>
      <c r="L22" s="94"/>
      <c r="M22" s="94"/>
    </row>
    <row r="23" spans="1:13" ht="15.75">
      <c r="A23" s="87" t="s">
        <v>60</v>
      </c>
      <c r="B23" s="65" t="s">
        <v>61</v>
      </c>
      <c r="C23" s="20"/>
      <c r="D23" s="24"/>
      <c r="E23" s="22"/>
      <c r="F23" s="25"/>
      <c r="H23" s="94"/>
      <c r="I23" s="94"/>
      <c r="J23" s="94"/>
      <c r="K23" s="94"/>
      <c r="L23" s="94"/>
      <c r="M23" s="94"/>
    </row>
    <row r="24" spans="1:13" ht="15">
      <c r="A24" s="11" t="s">
        <v>5</v>
      </c>
      <c r="B24" s="132" t="s">
        <v>62</v>
      </c>
      <c r="C24" s="8" t="s">
        <v>14</v>
      </c>
      <c r="D24" s="9">
        <v>1</v>
      </c>
      <c r="E24" s="12">
        <f>0.1*HON__CEF!I39+0.05*HON__CEF!I39</f>
        <v>2437.1835597615004</v>
      </c>
      <c r="F24" s="13">
        <f>D24*E24</f>
        <v>2437.1835597615004</v>
      </c>
      <c r="H24" s="94">
        <v>0.15</v>
      </c>
      <c r="I24" s="94"/>
      <c r="J24" s="94"/>
      <c r="K24" s="94"/>
      <c r="L24" s="94"/>
      <c r="M24" s="94"/>
    </row>
    <row r="25" spans="1:13" ht="15">
      <c r="A25" s="11" t="s">
        <v>6</v>
      </c>
      <c r="B25" s="132" t="s">
        <v>63</v>
      </c>
      <c r="C25" s="8" t="s">
        <v>14</v>
      </c>
      <c r="D25" s="9">
        <v>1</v>
      </c>
      <c r="E25" s="12">
        <f>0.15*HON__CEF!I41</f>
        <v>1316.0791222712101</v>
      </c>
      <c r="F25" s="13">
        <f t="shared" ref="F25:F26" si="2">D25*E25</f>
        <v>1316.0791222712101</v>
      </c>
      <c r="H25" s="94"/>
      <c r="I25" s="94"/>
      <c r="J25" s="94">
        <v>0.15</v>
      </c>
      <c r="K25" s="94"/>
      <c r="L25" s="94"/>
      <c r="M25" s="94"/>
    </row>
    <row r="26" spans="1:13" ht="15">
      <c r="A26" s="11" t="s">
        <v>7</v>
      </c>
      <c r="B26" s="132" t="s">
        <v>64</v>
      </c>
      <c r="C26" s="8" t="s">
        <v>14</v>
      </c>
      <c r="D26" s="9">
        <v>1</v>
      </c>
      <c r="E26" s="12">
        <f>0.15*HON__CEF!I43</f>
        <v>632.14559428145253</v>
      </c>
      <c r="F26" s="13">
        <f t="shared" si="2"/>
        <v>632.14559428145253</v>
      </c>
      <c r="H26" s="94"/>
      <c r="I26" s="94"/>
      <c r="J26" s="94"/>
      <c r="K26" s="94"/>
      <c r="L26" s="94">
        <v>0.15</v>
      </c>
      <c r="M26" s="94"/>
    </row>
    <row r="27" spans="1:13" ht="15">
      <c r="A27" s="11"/>
      <c r="B27" s="14"/>
      <c r="C27" s="8"/>
      <c r="D27" s="9"/>
      <c r="E27" s="12"/>
      <c r="F27" s="13"/>
      <c r="H27" s="94"/>
      <c r="I27" s="94"/>
      <c r="J27" s="94"/>
      <c r="K27" s="94"/>
      <c r="L27" s="94"/>
      <c r="M27" s="94"/>
    </row>
    <row r="28" spans="1:13" ht="15.75">
      <c r="A28" s="11"/>
      <c r="B28" s="64" t="s">
        <v>17</v>
      </c>
      <c r="C28" s="8"/>
      <c r="D28" s="9"/>
      <c r="E28" s="16"/>
      <c r="F28" s="17">
        <f>SUM(F24:F27)</f>
        <v>4385.4082763141632</v>
      </c>
      <c r="H28" s="94"/>
      <c r="I28" s="94"/>
      <c r="J28" s="94"/>
      <c r="K28" s="94"/>
      <c r="L28" s="94"/>
      <c r="M28" s="94"/>
    </row>
    <row r="29" spans="1:13" ht="15.75">
      <c r="A29" s="11"/>
      <c r="B29" s="14"/>
      <c r="C29" s="8"/>
      <c r="D29" s="9"/>
      <c r="E29" s="26"/>
      <c r="F29" s="10"/>
      <c r="H29" s="94"/>
      <c r="I29" s="94"/>
      <c r="J29" s="94"/>
      <c r="K29" s="94"/>
      <c r="L29" s="94"/>
      <c r="M29" s="94"/>
    </row>
    <row r="30" spans="1:13" ht="15.75">
      <c r="A30" s="6">
        <v>3</v>
      </c>
      <c r="B30" s="65" t="s">
        <v>65</v>
      </c>
      <c r="C30" s="8"/>
      <c r="D30" s="9"/>
      <c r="E30" s="22"/>
      <c r="F30" s="23"/>
      <c r="H30" s="94"/>
      <c r="I30" s="94"/>
      <c r="J30" s="94"/>
      <c r="K30" s="94"/>
      <c r="L30" s="94"/>
      <c r="M30" s="94"/>
    </row>
    <row r="31" spans="1:13" ht="15">
      <c r="A31" s="11" t="s">
        <v>8</v>
      </c>
      <c r="B31" s="132" t="s">
        <v>115</v>
      </c>
      <c r="C31" s="8" t="s">
        <v>14</v>
      </c>
      <c r="D31" s="9">
        <v>1</v>
      </c>
      <c r="E31" s="12">
        <f>0.255*HON__CEF!I39</f>
        <v>4143.2120515945508</v>
      </c>
      <c r="F31" s="13">
        <f>D31*E31</f>
        <v>4143.2120515945508</v>
      </c>
      <c r="H31" s="94">
        <v>0.255</v>
      </c>
      <c r="I31" s="94"/>
      <c r="J31" s="94"/>
      <c r="K31" s="94"/>
      <c r="L31" s="94"/>
      <c r="M31" s="94"/>
    </row>
    <row r="32" spans="1:13" ht="15">
      <c r="A32" s="11" t="s">
        <v>9</v>
      </c>
      <c r="B32" s="132" t="s">
        <v>66</v>
      </c>
      <c r="C32" s="8" t="s">
        <v>14</v>
      </c>
      <c r="D32" s="9">
        <v>1</v>
      </c>
      <c r="E32" s="12">
        <f>0.04*HON__CEF!I39</f>
        <v>649.91561593640006</v>
      </c>
      <c r="F32" s="13">
        <f t="shared" ref="F32:F54" si="3">D32*E32</f>
        <v>649.91561593640006</v>
      </c>
      <c r="H32" s="94">
        <v>0.04</v>
      </c>
      <c r="I32" s="94"/>
      <c r="J32" s="94"/>
      <c r="K32" s="94"/>
      <c r="L32" s="94"/>
      <c r="M32" s="94"/>
    </row>
    <row r="33" spans="1:13" ht="15">
      <c r="A33" s="11" t="s">
        <v>18</v>
      </c>
      <c r="B33" s="132" t="s">
        <v>67</v>
      </c>
      <c r="C33" s="8" t="s">
        <v>14</v>
      </c>
      <c r="D33" s="9">
        <v>1</v>
      </c>
      <c r="E33" s="12">
        <f>0.04*HON__CEF!I39</f>
        <v>649.91561593640006</v>
      </c>
      <c r="F33" s="13">
        <f t="shared" si="3"/>
        <v>649.91561593640006</v>
      </c>
      <c r="H33" s="94">
        <v>0.04</v>
      </c>
      <c r="I33" s="94"/>
      <c r="J33" s="94"/>
      <c r="K33" s="94"/>
      <c r="L33" s="94"/>
      <c r="M33" s="94"/>
    </row>
    <row r="34" spans="1:13" ht="15">
      <c r="A34" s="11" t="s">
        <v>37</v>
      </c>
      <c r="B34" s="132" t="s">
        <v>68</v>
      </c>
      <c r="C34" s="8" t="s">
        <v>14</v>
      </c>
      <c r="D34" s="9">
        <v>1</v>
      </c>
      <c r="E34" s="12">
        <f>0.06*HON__CEF!I39</f>
        <v>974.87342390460003</v>
      </c>
      <c r="F34" s="13">
        <f t="shared" si="3"/>
        <v>974.87342390460003</v>
      </c>
      <c r="H34" s="94">
        <v>0.06</v>
      </c>
      <c r="I34" s="94"/>
      <c r="J34" s="94"/>
      <c r="K34" s="94"/>
      <c r="L34" s="94"/>
      <c r="M34" s="94"/>
    </row>
    <row r="35" spans="1:13" ht="15">
      <c r="A35" s="11" t="s">
        <v>87</v>
      </c>
      <c r="B35" s="132" t="s">
        <v>69</v>
      </c>
      <c r="C35" s="8" t="s">
        <v>14</v>
      </c>
      <c r="D35" s="9">
        <v>1</v>
      </c>
      <c r="E35" s="12">
        <f>0.075*HON__CEF!I39</f>
        <v>1218.59177988075</v>
      </c>
      <c r="F35" s="13">
        <f t="shared" si="3"/>
        <v>1218.59177988075</v>
      </c>
      <c r="H35" s="94">
        <v>7.4999999999999997E-2</v>
      </c>
      <c r="I35" s="94"/>
      <c r="J35" s="94"/>
      <c r="K35" s="94"/>
      <c r="L35" s="94"/>
      <c r="M35" s="94"/>
    </row>
    <row r="36" spans="1:13" ht="15">
      <c r="A36" s="11" t="s">
        <v>88</v>
      </c>
      <c r="B36" s="132" t="s">
        <v>131</v>
      </c>
      <c r="C36" s="8" t="s">
        <v>14</v>
      </c>
      <c r="D36" s="9">
        <v>1</v>
      </c>
      <c r="E36" s="12">
        <f>0.05*HON__CEF!I39</f>
        <v>812.3945199205001</v>
      </c>
      <c r="F36" s="13">
        <f t="shared" si="3"/>
        <v>812.3945199205001</v>
      </c>
      <c r="H36" s="94">
        <v>0.05</v>
      </c>
      <c r="I36" s="94"/>
      <c r="J36" s="94"/>
      <c r="K36" s="94"/>
      <c r="L36" s="94"/>
      <c r="M36" s="94"/>
    </row>
    <row r="37" spans="1:13" ht="15">
      <c r="A37" s="11" t="s">
        <v>89</v>
      </c>
      <c r="B37" s="132" t="s">
        <v>70</v>
      </c>
      <c r="C37" s="8" t="s">
        <v>14</v>
      </c>
      <c r="D37" s="9">
        <v>1</v>
      </c>
      <c r="E37" s="12">
        <f>0.3*HON__CEF!I45</f>
        <v>5849.2405434275997</v>
      </c>
      <c r="F37" s="13">
        <f t="shared" si="3"/>
        <v>5849.2405434275997</v>
      </c>
      <c r="H37" s="94"/>
      <c r="I37" s="94">
        <v>0.3</v>
      </c>
      <c r="J37" s="94"/>
      <c r="K37" s="94"/>
      <c r="L37" s="94"/>
      <c r="M37" s="94"/>
    </row>
    <row r="38" spans="1:13" ht="15">
      <c r="A38" s="11" t="s">
        <v>90</v>
      </c>
      <c r="B38" s="132" t="s">
        <v>71</v>
      </c>
      <c r="C38" s="8" t="s">
        <v>14</v>
      </c>
      <c r="D38" s="9">
        <v>1</v>
      </c>
      <c r="E38" s="12">
        <f>0.3*HON__CEF!I40</f>
        <v>1462.3101358568999</v>
      </c>
      <c r="F38" s="13">
        <f t="shared" si="3"/>
        <v>1462.3101358568999</v>
      </c>
      <c r="H38" s="94"/>
      <c r="I38" s="94">
        <v>0.3</v>
      </c>
      <c r="J38" s="94"/>
      <c r="K38" s="94"/>
      <c r="L38" s="94"/>
      <c r="M38" s="94"/>
    </row>
    <row r="39" spans="1:13" ht="15">
      <c r="A39" s="11" t="s">
        <v>91</v>
      </c>
      <c r="B39" s="132" t="s">
        <v>72</v>
      </c>
      <c r="C39" s="8" t="s">
        <v>14</v>
      </c>
      <c r="D39" s="9">
        <v>1</v>
      </c>
      <c r="E39" s="12">
        <f>0.15*HON__CEF!I43</f>
        <v>632.14559428145253</v>
      </c>
      <c r="F39" s="13">
        <f t="shared" si="3"/>
        <v>632.14559428145253</v>
      </c>
      <c r="H39" s="94"/>
      <c r="I39" s="94"/>
      <c r="J39" s="94"/>
      <c r="K39" s="94"/>
      <c r="L39" s="94">
        <v>0.15</v>
      </c>
      <c r="M39" s="94"/>
    </row>
    <row r="40" spans="1:13" ht="15">
      <c r="A40" s="11" t="s">
        <v>92</v>
      </c>
      <c r="B40" s="132" t="s">
        <v>73</v>
      </c>
      <c r="C40" s="8" t="s">
        <v>14</v>
      </c>
      <c r="D40" s="9">
        <v>1</v>
      </c>
      <c r="E40" s="12">
        <f>0.15*HON__CEF!I43</f>
        <v>632.14559428145253</v>
      </c>
      <c r="F40" s="13">
        <f t="shared" si="3"/>
        <v>632.14559428145253</v>
      </c>
      <c r="H40" s="94"/>
      <c r="I40" s="94"/>
      <c r="J40" s="94"/>
      <c r="K40" s="94"/>
      <c r="L40" s="94">
        <v>0.15</v>
      </c>
      <c r="M40" s="94"/>
    </row>
    <row r="41" spans="1:13" ht="15">
      <c r="A41" s="11" t="s">
        <v>93</v>
      </c>
      <c r="B41" s="132" t="s">
        <v>74</v>
      </c>
      <c r="C41" s="8" t="s">
        <v>14</v>
      </c>
      <c r="D41" s="9">
        <v>1</v>
      </c>
      <c r="E41" s="12">
        <f>0.1*HON__CEF!I43</f>
        <v>421.4303961876351</v>
      </c>
      <c r="F41" s="13">
        <f t="shared" si="3"/>
        <v>421.4303961876351</v>
      </c>
      <c r="H41" s="94"/>
      <c r="I41" s="94"/>
      <c r="J41" s="94"/>
      <c r="K41" s="94"/>
      <c r="L41" s="94">
        <v>0.1</v>
      </c>
      <c r="M41" s="94"/>
    </row>
    <row r="42" spans="1:13" ht="15">
      <c r="A42" s="11" t="s">
        <v>94</v>
      </c>
      <c r="B42" s="132" t="s">
        <v>75</v>
      </c>
      <c r="C42" s="8" t="s">
        <v>14</v>
      </c>
      <c r="D42" s="9">
        <v>1</v>
      </c>
      <c r="E42" s="12">
        <f>0.05*HON__CEF!I43</f>
        <v>210.71519809381755</v>
      </c>
      <c r="F42" s="13">
        <f t="shared" si="3"/>
        <v>210.71519809381755</v>
      </c>
      <c r="H42" s="94"/>
      <c r="I42" s="94"/>
      <c r="J42" s="94"/>
      <c r="K42" s="94"/>
      <c r="L42" s="94">
        <v>0.05</v>
      </c>
      <c r="M42" s="94"/>
    </row>
    <row r="43" spans="1:13" ht="15">
      <c r="A43" s="11" t="s">
        <v>95</v>
      </c>
      <c r="B43" s="132" t="s">
        <v>116</v>
      </c>
      <c r="C43" s="8" t="s">
        <v>14</v>
      </c>
      <c r="D43" s="9">
        <v>1</v>
      </c>
      <c r="E43" s="12">
        <f>0.2*HON__CEF!I41</f>
        <v>1754.7721630282804</v>
      </c>
      <c r="F43" s="13">
        <f t="shared" si="3"/>
        <v>1754.7721630282804</v>
      </c>
      <c r="H43" s="94"/>
      <c r="I43" s="94"/>
      <c r="J43" s="94">
        <v>0.2</v>
      </c>
      <c r="K43" s="94"/>
      <c r="L43" s="94"/>
      <c r="M43" s="94"/>
    </row>
    <row r="44" spans="1:13" ht="15">
      <c r="A44" s="11" t="s">
        <v>96</v>
      </c>
      <c r="B44" s="132" t="s">
        <v>76</v>
      </c>
      <c r="C44" s="8" t="s">
        <v>14</v>
      </c>
      <c r="D44" s="9">
        <v>1</v>
      </c>
      <c r="E44" s="12">
        <f>0.1*HON__CEF!I41</f>
        <v>877.38608151414019</v>
      </c>
      <c r="F44" s="13">
        <f t="shared" si="3"/>
        <v>877.38608151414019</v>
      </c>
      <c r="H44" s="94"/>
      <c r="I44" s="94"/>
      <c r="J44" s="94">
        <v>0.1</v>
      </c>
      <c r="K44" s="94"/>
      <c r="L44" s="94"/>
      <c r="M44" s="94"/>
    </row>
    <row r="45" spans="1:13" ht="15">
      <c r="A45" s="11" t="s">
        <v>97</v>
      </c>
      <c r="B45" s="132" t="s">
        <v>77</v>
      </c>
      <c r="C45" s="8" t="s">
        <v>14</v>
      </c>
      <c r="D45" s="9">
        <v>1</v>
      </c>
      <c r="E45" s="12">
        <f>0.05*HON__CEF!I41</f>
        <v>438.69304075707009</v>
      </c>
      <c r="F45" s="13">
        <f t="shared" si="3"/>
        <v>438.69304075707009</v>
      </c>
      <c r="H45" s="94"/>
      <c r="I45" s="94"/>
      <c r="J45" s="94">
        <v>0.05</v>
      </c>
      <c r="K45" s="94"/>
      <c r="L45" s="94"/>
      <c r="M45" s="94"/>
    </row>
    <row r="46" spans="1:13" ht="30">
      <c r="A46" s="11" t="s">
        <v>98</v>
      </c>
      <c r="B46" s="132" t="s">
        <v>129</v>
      </c>
      <c r="C46" s="15" t="s">
        <v>14</v>
      </c>
      <c r="D46" s="9">
        <v>1</v>
      </c>
      <c r="E46" s="12">
        <f>0.1*HON__CEF!I41</f>
        <v>877.38608151414019</v>
      </c>
      <c r="F46" s="13">
        <f t="shared" si="3"/>
        <v>877.38608151414019</v>
      </c>
      <c r="H46" s="94"/>
      <c r="I46" s="94"/>
      <c r="J46" s="94">
        <v>0.1</v>
      </c>
      <c r="K46" s="94"/>
      <c r="L46" s="94"/>
      <c r="M46" s="94"/>
    </row>
    <row r="47" spans="1:13" ht="30">
      <c r="A47" s="11" t="s">
        <v>99</v>
      </c>
      <c r="B47" s="132" t="s">
        <v>109</v>
      </c>
      <c r="C47" s="8" t="s">
        <v>14</v>
      </c>
      <c r="D47" s="9">
        <v>1</v>
      </c>
      <c r="E47" s="12">
        <f>0.6*HON__CEF!I42</f>
        <v>3168.33862768995</v>
      </c>
      <c r="F47" s="13">
        <f t="shared" si="3"/>
        <v>3168.33862768995</v>
      </c>
      <c r="H47" s="94"/>
      <c r="I47" s="94"/>
      <c r="J47" s="94"/>
      <c r="K47" s="94">
        <v>0.6</v>
      </c>
      <c r="L47" s="94"/>
      <c r="M47" s="94"/>
    </row>
    <row r="48" spans="1:13" ht="15">
      <c r="A48" s="11" t="s">
        <v>100</v>
      </c>
      <c r="B48" s="132" t="s">
        <v>78</v>
      </c>
      <c r="C48" s="8" t="s">
        <v>14</v>
      </c>
      <c r="D48" s="9">
        <v>1</v>
      </c>
      <c r="E48" s="12">
        <f>0.1*HON__CEF!I43</f>
        <v>421.4303961876351</v>
      </c>
      <c r="F48" s="13">
        <f t="shared" si="3"/>
        <v>421.4303961876351</v>
      </c>
      <c r="H48" s="94"/>
      <c r="I48" s="94"/>
      <c r="J48" s="94"/>
      <c r="K48" s="94"/>
      <c r="L48" s="94">
        <v>0.1</v>
      </c>
      <c r="M48" s="94"/>
    </row>
    <row r="49" spans="1:13" ht="15">
      <c r="A49" s="11" t="s">
        <v>101</v>
      </c>
      <c r="B49" s="132" t="s">
        <v>79</v>
      </c>
      <c r="C49" s="8" t="s">
        <v>14</v>
      </c>
      <c r="D49" s="9">
        <v>1</v>
      </c>
      <c r="E49" s="12">
        <f>0.06*HON__CEF!I41</f>
        <v>526.43164890848402</v>
      </c>
      <c r="F49" s="13">
        <f t="shared" si="3"/>
        <v>526.43164890848402</v>
      </c>
      <c r="H49" s="94"/>
      <c r="I49" s="94"/>
      <c r="J49" s="94">
        <v>0.06</v>
      </c>
      <c r="K49" s="94"/>
      <c r="L49" s="94"/>
      <c r="M49" s="94"/>
    </row>
    <row r="50" spans="1:13" ht="15">
      <c r="A50" s="11" t="s">
        <v>102</v>
      </c>
      <c r="B50" s="132" t="s">
        <v>80</v>
      </c>
      <c r="C50" s="8" t="s">
        <v>14</v>
      </c>
      <c r="D50" s="9">
        <v>1</v>
      </c>
      <c r="E50" s="12">
        <f>0.04*HON__CEF!I41</f>
        <v>350.95443260565605</v>
      </c>
      <c r="F50" s="13">
        <f t="shared" si="3"/>
        <v>350.95443260565605</v>
      </c>
      <c r="H50" s="94"/>
      <c r="I50" s="94"/>
      <c r="J50" s="94">
        <v>0.04</v>
      </c>
      <c r="K50" s="94"/>
      <c r="L50" s="94"/>
      <c r="M50" s="94"/>
    </row>
    <row r="51" spans="1:13" ht="15">
      <c r="A51" s="11" t="s">
        <v>103</v>
      </c>
      <c r="B51" s="132" t="s">
        <v>81</v>
      </c>
      <c r="C51" s="8" t="s">
        <v>14</v>
      </c>
      <c r="D51" s="9">
        <v>1</v>
      </c>
      <c r="E51" s="12">
        <f>0.3*HON__CEF!I44</f>
        <v>974.87342390459992</v>
      </c>
      <c r="F51" s="13">
        <f t="shared" si="3"/>
        <v>974.87342390459992</v>
      </c>
      <c r="H51" s="94"/>
      <c r="I51" s="94"/>
      <c r="J51" s="94"/>
      <c r="K51" s="94"/>
      <c r="L51" s="94"/>
      <c r="M51" s="94">
        <v>0.3</v>
      </c>
    </row>
    <row r="52" spans="1:13" ht="15">
      <c r="A52" s="11" t="s">
        <v>104</v>
      </c>
      <c r="B52" s="132" t="s">
        <v>110</v>
      </c>
      <c r="C52" s="8" t="s">
        <v>14</v>
      </c>
      <c r="D52" s="9">
        <v>1</v>
      </c>
      <c r="E52" s="12">
        <f>0.3*HON__CEF!I44</f>
        <v>974.87342390459992</v>
      </c>
      <c r="F52" s="13">
        <f t="shared" si="3"/>
        <v>974.87342390459992</v>
      </c>
      <c r="H52" s="94"/>
      <c r="I52" s="94"/>
      <c r="J52" s="94"/>
      <c r="K52" s="94"/>
      <c r="L52" s="94"/>
      <c r="M52" s="94">
        <v>0.3</v>
      </c>
    </row>
    <row r="53" spans="1:13" ht="15">
      <c r="A53" s="11" t="s">
        <v>105</v>
      </c>
      <c r="B53" s="132" t="s">
        <v>82</v>
      </c>
      <c r="C53" s="8" t="s">
        <v>14</v>
      </c>
      <c r="D53" s="9">
        <v>1</v>
      </c>
      <c r="E53" s="12">
        <f>0.1*HON__CEF!I44</f>
        <v>324.95780796820003</v>
      </c>
      <c r="F53" s="13">
        <f t="shared" si="3"/>
        <v>324.95780796820003</v>
      </c>
      <c r="H53" s="94"/>
      <c r="I53" s="94"/>
      <c r="J53" s="94"/>
      <c r="K53" s="94"/>
      <c r="L53" s="94"/>
      <c r="M53" s="94">
        <v>0.1</v>
      </c>
    </row>
    <row r="54" spans="1:13" ht="45">
      <c r="A54" s="11" t="s">
        <v>130</v>
      </c>
      <c r="B54" s="132" t="s">
        <v>128</v>
      </c>
      <c r="C54" s="15" t="s">
        <v>14</v>
      </c>
      <c r="D54" s="9">
        <v>1</v>
      </c>
      <c r="E54" s="66">
        <f>0.3*HON__CEF!I44</f>
        <v>974.87342390459992</v>
      </c>
      <c r="F54" s="13">
        <f t="shared" si="3"/>
        <v>974.87342390459992</v>
      </c>
      <c r="H54" s="94"/>
      <c r="I54" s="94"/>
      <c r="J54" s="94"/>
      <c r="K54" s="94"/>
      <c r="L54" s="94"/>
      <c r="M54" s="94">
        <v>0.3</v>
      </c>
    </row>
    <row r="55" spans="1:13" ht="15">
      <c r="A55" s="67"/>
      <c r="B55" s="14"/>
      <c r="C55" s="68"/>
      <c r="D55" s="69"/>
      <c r="E55" s="70"/>
      <c r="F55" s="71"/>
      <c r="H55" s="94"/>
      <c r="I55" s="94"/>
      <c r="J55" s="94"/>
      <c r="K55" s="94"/>
      <c r="L55" s="94"/>
      <c r="M55" s="94"/>
    </row>
    <row r="56" spans="1:13" ht="15.75">
      <c r="A56" s="72"/>
      <c r="B56" s="73" t="s">
        <v>17</v>
      </c>
      <c r="C56" s="74"/>
      <c r="D56" s="75"/>
      <c r="E56" s="76"/>
      <c r="F56" s="77">
        <f>SUM(F31:F55)</f>
        <v>29321.861021189419</v>
      </c>
      <c r="H56" s="94"/>
      <c r="I56" s="94"/>
      <c r="J56" s="94"/>
      <c r="K56" s="94"/>
      <c r="L56" s="94"/>
      <c r="M56" s="94"/>
    </row>
    <row r="57" spans="1:13" ht="15">
      <c r="A57" s="27"/>
      <c r="B57" s="19"/>
      <c r="C57" s="20"/>
      <c r="D57" s="24"/>
      <c r="E57" s="21"/>
      <c r="F57" s="28"/>
      <c r="H57" s="94"/>
      <c r="I57" s="94"/>
      <c r="J57" s="94"/>
      <c r="K57" s="94"/>
      <c r="L57" s="94"/>
      <c r="M57" s="94"/>
    </row>
    <row r="58" spans="1:13" ht="15.75">
      <c r="A58" s="27"/>
      <c r="B58" s="29" t="s">
        <v>19</v>
      </c>
      <c r="C58" s="20"/>
      <c r="D58" s="24"/>
      <c r="E58" s="21"/>
      <c r="F58" s="17">
        <f>+F20+F28+F56</f>
        <v>54204.009863778134</v>
      </c>
      <c r="H58" s="94"/>
      <c r="I58" s="94"/>
      <c r="J58" s="94"/>
      <c r="K58" s="94"/>
      <c r="L58" s="94"/>
      <c r="M58" s="94"/>
    </row>
    <row r="59" spans="1:13" ht="15.75">
      <c r="A59" s="27"/>
      <c r="B59" s="29" t="s">
        <v>20</v>
      </c>
      <c r="C59" s="20" t="s">
        <v>10</v>
      </c>
      <c r="D59" s="88">
        <v>19.12</v>
      </c>
      <c r="E59" s="21"/>
      <c r="F59" s="17">
        <f>F58*D59/100</f>
        <v>10363.80668595438</v>
      </c>
      <c r="H59" s="94"/>
      <c r="I59" s="94"/>
      <c r="J59" s="94"/>
      <c r="K59" s="94"/>
      <c r="L59" s="94"/>
      <c r="M59" s="94"/>
    </row>
    <row r="60" spans="1:13" ht="16.5" thickBot="1">
      <c r="A60" s="30"/>
      <c r="B60" s="31" t="s">
        <v>21</v>
      </c>
      <c r="C60" s="32"/>
      <c r="D60" s="33"/>
      <c r="E60" s="34"/>
      <c r="F60" s="35">
        <f>F58+F59</f>
        <v>64567.81654973251</v>
      </c>
    </row>
  </sheetData>
  <mergeCells count="6">
    <mergeCell ref="A2:F2"/>
    <mergeCell ref="A3:F3"/>
    <mergeCell ref="A4:D4"/>
    <mergeCell ref="E4:F4"/>
    <mergeCell ref="A5:D5"/>
    <mergeCell ref="E5:F5"/>
  </mergeCells>
  <pageMargins left="0.62992125984251968" right="0.51181102362204722" top="0.55118110236220474" bottom="0.78740157480314965" header="0.31496062992125984" footer="0.31496062992125984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0"/>
  <sheetViews>
    <sheetView topLeftCell="A31" zoomScale="75" zoomScaleNormal="75" workbookViewId="0">
      <selection activeCell="F63" sqref="F63"/>
    </sheetView>
  </sheetViews>
  <sheetFormatPr defaultRowHeight="12.75"/>
  <cols>
    <col min="1" max="1" width="6.7109375" bestFit="1" customWidth="1"/>
    <col min="2" max="2" width="81.42578125" customWidth="1"/>
    <col min="3" max="3" width="7.5703125" customWidth="1"/>
    <col min="4" max="4" width="10" bestFit="1" customWidth="1"/>
    <col min="5" max="5" width="15.140625" bestFit="1" customWidth="1"/>
    <col min="6" max="6" width="16.5703125" customWidth="1"/>
  </cols>
  <sheetData>
    <row r="1" spans="1:13" ht="13.5" thickBot="1"/>
    <row r="2" spans="1:13" ht="15.75">
      <c r="A2" s="169" t="s">
        <v>83</v>
      </c>
      <c r="B2" s="170"/>
      <c r="C2" s="170"/>
      <c r="D2" s="170"/>
      <c r="E2" s="170"/>
      <c r="F2" s="171"/>
    </row>
    <row r="3" spans="1:13">
      <c r="A3" s="172" t="s">
        <v>84</v>
      </c>
      <c r="B3" s="173"/>
      <c r="C3" s="173"/>
      <c r="D3" s="173"/>
      <c r="E3" s="173"/>
      <c r="F3" s="174"/>
    </row>
    <row r="4" spans="1:13" ht="15.75">
      <c r="A4" s="175" t="s">
        <v>111</v>
      </c>
      <c r="B4" s="176"/>
      <c r="C4" s="176"/>
      <c r="D4" s="176"/>
      <c r="E4" s="177" t="s">
        <v>112</v>
      </c>
      <c r="F4" s="178"/>
    </row>
    <row r="5" spans="1:13" ht="15.75">
      <c r="A5" s="179" t="s">
        <v>35</v>
      </c>
      <c r="B5" s="180"/>
      <c r="C5" s="180"/>
      <c r="D5" s="181"/>
      <c r="E5" s="182" t="s">
        <v>216</v>
      </c>
      <c r="F5" s="183"/>
      <c r="H5" s="95">
        <f>SUM(H9:H54)</f>
        <v>1</v>
      </c>
      <c r="I5" s="95">
        <f t="shared" ref="I5:M5" si="0">SUM(I9:I54)</f>
        <v>1</v>
      </c>
      <c r="J5" s="95">
        <f t="shared" si="0"/>
        <v>1</v>
      </c>
      <c r="K5" s="95">
        <f t="shared" si="0"/>
        <v>1</v>
      </c>
      <c r="L5" s="95">
        <f t="shared" si="0"/>
        <v>1</v>
      </c>
      <c r="M5" s="95">
        <f t="shared" si="0"/>
        <v>1</v>
      </c>
    </row>
    <row r="6" spans="1:13" ht="15.75">
      <c r="A6" s="1" t="s">
        <v>22</v>
      </c>
      <c r="B6" s="2" t="s">
        <v>11</v>
      </c>
      <c r="C6" s="3" t="s">
        <v>12</v>
      </c>
      <c r="D6" s="4" t="s">
        <v>13</v>
      </c>
      <c r="E6" s="63" t="s">
        <v>50</v>
      </c>
      <c r="F6" s="5" t="s">
        <v>0</v>
      </c>
      <c r="H6" s="94">
        <v>15</v>
      </c>
      <c r="I6" s="94">
        <v>16</v>
      </c>
      <c r="J6" s="94">
        <v>17</v>
      </c>
      <c r="K6" s="94">
        <v>18</v>
      </c>
      <c r="L6" s="94">
        <v>19</v>
      </c>
      <c r="M6" s="94">
        <v>20</v>
      </c>
    </row>
    <row r="7" spans="1:13" ht="15.75">
      <c r="A7" s="157"/>
      <c r="B7" s="158" t="s">
        <v>264</v>
      </c>
      <c r="C7" s="159"/>
      <c r="D7" s="160"/>
      <c r="E7" s="161"/>
      <c r="F7" s="162"/>
      <c r="H7" s="94"/>
      <c r="I7" s="94"/>
      <c r="J7" s="94"/>
      <c r="K7" s="94"/>
      <c r="L7" s="94"/>
      <c r="M7" s="94"/>
    </row>
    <row r="8" spans="1:13" ht="15.75">
      <c r="A8" s="1" t="s">
        <v>51</v>
      </c>
      <c r="B8" s="7" t="s">
        <v>52</v>
      </c>
      <c r="C8" s="3"/>
      <c r="D8" s="4"/>
      <c r="E8" s="63"/>
      <c r="F8" s="5"/>
      <c r="H8" s="93" t="s">
        <v>122</v>
      </c>
      <c r="I8" s="93" t="s">
        <v>123</v>
      </c>
      <c r="J8" s="93" t="s">
        <v>124</v>
      </c>
      <c r="K8" s="93" t="s">
        <v>125</v>
      </c>
      <c r="L8" s="93" t="s">
        <v>126</v>
      </c>
      <c r="M8" s="93" t="s">
        <v>127</v>
      </c>
    </row>
    <row r="9" spans="1:13" ht="15">
      <c r="A9" s="11" t="s">
        <v>1</v>
      </c>
      <c r="B9" s="132" t="s">
        <v>113</v>
      </c>
      <c r="C9" s="8" t="s">
        <v>14</v>
      </c>
      <c r="D9" s="163">
        <v>0</v>
      </c>
      <c r="E9" s="66">
        <f>0.25*HON__CEF!I92+HON__CEF!C128</f>
        <v>9836.4097278979498</v>
      </c>
      <c r="F9" s="164">
        <f>D9*E9</f>
        <v>0</v>
      </c>
      <c r="H9" s="94"/>
      <c r="I9" s="94">
        <v>0.25</v>
      </c>
      <c r="J9" s="94"/>
      <c r="K9" s="94"/>
      <c r="L9" s="94"/>
      <c r="M9" s="94"/>
    </row>
    <row r="10" spans="1:13" ht="15">
      <c r="A10" s="11" t="s">
        <v>2</v>
      </c>
      <c r="B10" s="132" t="s">
        <v>53</v>
      </c>
      <c r="C10" s="8" t="s">
        <v>14</v>
      </c>
      <c r="D10" s="163">
        <v>2</v>
      </c>
      <c r="E10" s="12">
        <f>(0.25*HON__CEF!I91)/2</f>
        <v>2404.4618930832503</v>
      </c>
      <c r="F10" s="13">
        <f t="shared" ref="F10:F18" si="1">D10*E10</f>
        <v>4808.9237861665006</v>
      </c>
      <c r="H10" s="94">
        <v>0.25</v>
      </c>
      <c r="I10" s="94"/>
      <c r="J10" s="94"/>
      <c r="K10" s="94"/>
      <c r="L10" s="94"/>
      <c r="M10" s="94"/>
    </row>
    <row r="11" spans="1:13" ht="15">
      <c r="A11" s="11" t="s">
        <v>3</v>
      </c>
      <c r="B11" s="132" t="s">
        <v>54</v>
      </c>
      <c r="C11" s="8" t="s">
        <v>14</v>
      </c>
      <c r="D11" s="163">
        <v>2</v>
      </c>
      <c r="E11" s="12">
        <f>0.08*HON__CEF!I91</f>
        <v>1538.8556115732802</v>
      </c>
      <c r="F11" s="13">
        <f t="shared" si="1"/>
        <v>3077.7112231465603</v>
      </c>
      <c r="H11" s="94">
        <v>0.08</v>
      </c>
      <c r="I11" s="94"/>
      <c r="J11" s="94"/>
      <c r="K11" s="94"/>
      <c r="L11" s="94"/>
      <c r="M11" s="94"/>
    </row>
    <row r="12" spans="1:13" ht="15">
      <c r="A12" s="11" t="s">
        <v>4</v>
      </c>
      <c r="B12" s="132" t="s">
        <v>55</v>
      </c>
      <c r="C12" s="8" t="s">
        <v>14</v>
      </c>
      <c r="D12" s="163">
        <v>2</v>
      </c>
      <c r="E12" s="12">
        <f>(0.075*HON__CEF!I92)+(0.075*HON__CEF!I97)</f>
        <v>1509.0580464413849</v>
      </c>
      <c r="F12" s="13">
        <f t="shared" si="1"/>
        <v>3018.1160928827699</v>
      </c>
      <c r="H12" s="94"/>
      <c r="I12" s="94">
        <v>0.15</v>
      </c>
      <c r="J12" s="94"/>
      <c r="K12" s="94"/>
      <c r="L12" s="94"/>
      <c r="M12" s="94"/>
    </row>
    <row r="13" spans="1:13" ht="15">
      <c r="A13" s="11" t="s">
        <v>15</v>
      </c>
      <c r="B13" s="132" t="s">
        <v>56</v>
      </c>
      <c r="C13" s="8" t="s">
        <v>14</v>
      </c>
      <c r="D13" s="163">
        <v>2</v>
      </c>
      <c r="E13" s="12">
        <f>0.15*HON__CEF!I95</f>
        <v>1085.5807996682863</v>
      </c>
      <c r="F13" s="13">
        <f t="shared" si="1"/>
        <v>2171.1615993365726</v>
      </c>
      <c r="H13" s="94"/>
      <c r="I13" s="94"/>
      <c r="J13" s="94"/>
      <c r="K13" s="94"/>
      <c r="L13" s="94">
        <v>0.15</v>
      </c>
      <c r="M13" s="94"/>
    </row>
    <row r="14" spans="1:13" ht="30">
      <c r="A14" s="11" t="s">
        <v>16</v>
      </c>
      <c r="B14" s="132" t="s">
        <v>114</v>
      </c>
      <c r="C14" s="8" t="s">
        <v>14</v>
      </c>
      <c r="D14" s="163">
        <v>2</v>
      </c>
      <c r="E14" s="12">
        <f>0.2*HON__CEF!I93</f>
        <v>2938.4590001730485</v>
      </c>
      <c r="F14" s="13">
        <f t="shared" si="1"/>
        <v>5876.918000346097</v>
      </c>
      <c r="H14" s="94"/>
      <c r="I14" s="94"/>
      <c r="J14" s="94">
        <v>0.2</v>
      </c>
      <c r="K14" s="94"/>
      <c r="L14" s="94"/>
      <c r="M14" s="94"/>
    </row>
    <row r="15" spans="1:13" ht="30">
      <c r="A15" s="11" t="s">
        <v>36</v>
      </c>
      <c r="B15" s="132" t="s">
        <v>132</v>
      </c>
      <c r="C15" s="8" t="s">
        <v>14</v>
      </c>
      <c r="D15" s="163">
        <v>2</v>
      </c>
      <c r="E15" s="12">
        <f>0.05*HON__CEF!I93</f>
        <v>734.61475004326212</v>
      </c>
      <c r="F15" s="13">
        <f t="shared" si="1"/>
        <v>1469.2295000865242</v>
      </c>
      <c r="H15" s="94"/>
      <c r="I15" s="94"/>
      <c r="J15" s="94">
        <v>0.05</v>
      </c>
      <c r="K15" s="94"/>
      <c r="L15" s="94"/>
      <c r="M15" s="94"/>
    </row>
    <row r="16" spans="1:13" ht="30">
      <c r="A16" s="11" t="s">
        <v>85</v>
      </c>
      <c r="B16" s="133" t="s">
        <v>108</v>
      </c>
      <c r="C16" s="15" t="s">
        <v>14</v>
      </c>
      <c r="D16" s="163">
        <v>2</v>
      </c>
      <c r="E16" s="12">
        <f>0.4*HON__CEF!I94</f>
        <v>3537.0339816897804</v>
      </c>
      <c r="F16" s="13">
        <f t="shared" si="1"/>
        <v>7074.0679633795608</v>
      </c>
      <c r="H16" s="94"/>
      <c r="I16" s="94"/>
      <c r="J16" s="94"/>
      <c r="K16" s="94">
        <v>0.4</v>
      </c>
      <c r="L16" s="94"/>
      <c r="M16" s="94"/>
    </row>
    <row r="17" spans="1:13" ht="30">
      <c r="A17" s="11" t="s">
        <v>86</v>
      </c>
      <c r="B17" s="132" t="s">
        <v>57</v>
      </c>
      <c r="C17" s="8" t="s">
        <v>14</v>
      </c>
      <c r="D17" s="163">
        <v>2</v>
      </c>
      <c r="E17" s="12">
        <f>0.15*HON__CEF!I95</f>
        <v>1085.5807996682863</v>
      </c>
      <c r="F17" s="13">
        <f t="shared" si="1"/>
        <v>2171.1615993365726</v>
      </c>
      <c r="H17" s="94"/>
      <c r="I17" s="94"/>
      <c r="J17" s="94"/>
      <c r="K17" s="94"/>
      <c r="L17" s="94">
        <v>0.15</v>
      </c>
      <c r="M17" s="94"/>
    </row>
    <row r="18" spans="1:13" ht="15">
      <c r="A18" s="11" t="s">
        <v>58</v>
      </c>
      <c r="B18" s="132" t="s">
        <v>59</v>
      </c>
      <c r="C18" s="8" t="s">
        <v>14</v>
      </c>
      <c r="D18" s="163">
        <v>2</v>
      </c>
      <c r="E18" s="12">
        <f>0.05*HON__CEF!I93</f>
        <v>734.61475004326212</v>
      </c>
      <c r="F18" s="13">
        <f t="shared" si="1"/>
        <v>1469.2295000865242</v>
      </c>
      <c r="H18" s="94"/>
      <c r="I18" s="94"/>
      <c r="J18" s="94">
        <v>0.05</v>
      </c>
      <c r="K18" s="94"/>
      <c r="L18" s="94"/>
      <c r="M18" s="94"/>
    </row>
    <row r="19" spans="1:13" ht="15">
      <c r="A19" s="11"/>
      <c r="B19" s="14"/>
      <c r="C19" s="8"/>
      <c r="D19" s="9"/>
      <c r="E19" s="12"/>
      <c r="F19" s="13"/>
      <c r="H19" s="94"/>
      <c r="I19" s="94"/>
      <c r="J19" s="94"/>
      <c r="K19" s="94"/>
      <c r="L19" s="94"/>
      <c r="M19" s="94"/>
    </row>
    <row r="20" spans="1:13" ht="15.75">
      <c r="A20" s="11"/>
      <c r="B20" s="64" t="s">
        <v>17</v>
      </c>
      <c r="C20" s="8"/>
      <c r="D20" s="9"/>
      <c r="E20" s="16"/>
      <c r="F20" s="17">
        <f>SUM(F9:F19)</f>
        <v>31136.519264767681</v>
      </c>
      <c r="H20" s="94"/>
      <c r="I20" s="94"/>
      <c r="J20" s="94"/>
      <c r="K20" s="94"/>
      <c r="L20" s="94"/>
      <c r="M20" s="94"/>
    </row>
    <row r="21" spans="1:13" ht="15">
      <c r="A21" s="18"/>
      <c r="B21" s="19"/>
      <c r="C21" s="20"/>
      <c r="D21" s="21"/>
      <c r="E21" s="22"/>
      <c r="F21" s="23"/>
      <c r="H21" s="94"/>
      <c r="I21" s="94"/>
      <c r="J21" s="94"/>
      <c r="K21" s="94"/>
      <c r="L21" s="94"/>
      <c r="M21" s="94"/>
    </row>
    <row r="22" spans="1:13" ht="15">
      <c r="A22" s="18"/>
      <c r="B22" s="19"/>
      <c r="C22" s="20"/>
      <c r="D22" s="24"/>
      <c r="E22" s="22"/>
      <c r="F22" s="25"/>
      <c r="H22" s="94"/>
      <c r="I22" s="94"/>
      <c r="J22" s="94"/>
      <c r="K22" s="94"/>
      <c r="L22" s="94"/>
      <c r="M22" s="94"/>
    </row>
    <row r="23" spans="1:13" ht="15.75">
      <c r="A23" s="87" t="s">
        <v>60</v>
      </c>
      <c r="B23" s="65" t="s">
        <v>61</v>
      </c>
      <c r="C23" s="20"/>
      <c r="D23" s="24"/>
      <c r="E23" s="22"/>
      <c r="F23" s="25"/>
      <c r="H23" s="94"/>
      <c r="I23" s="94"/>
      <c r="J23" s="94"/>
      <c r="K23" s="94"/>
      <c r="L23" s="94"/>
      <c r="M23" s="94"/>
    </row>
    <row r="24" spans="1:13" ht="15">
      <c r="A24" s="11" t="s">
        <v>5</v>
      </c>
      <c r="B24" s="132" t="s">
        <v>62</v>
      </c>
      <c r="C24" s="8" t="s">
        <v>14</v>
      </c>
      <c r="D24" s="9">
        <v>2</v>
      </c>
      <c r="E24" s="12">
        <f>0.1*HON__CEF!I91+0.05*HON__CEF!I91</f>
        <v>2885.3542716999004</v>
      </c>
      <c r="F24" s="13">
        <f>D24*E24</f>
        <v>5770.7085433998009</v>
      </c>
      <c r="H24" s="94">
        <v>0.15</v>
      </c>
      <c r="I24" s="94"/>
      <c r="J24" s="94"/>
      <c r="K24" s="94"/>
      <c r="L24" s="94"/>
      <c r="M24" s="94"/>
    </row>
    <row r="25" spans="1:13" ht="15">
      <c r="A25" s="11" t="s">
        <v>6</v>
      </c>
      <c r="B25" s="132" t="s">
        <v>63</v>
      </c>
      <c r="C25" s="8" t="s">
        <v>14</v>
      </c>
      <c r="D25" s="9">
        <v>2</v>
      </c>
      <c r="E25" s="12">
        <f>0.15*HON__CEF!I93</f>
        <v>2203.8442501297864</v>
      </c>
      <c r="F25" s="13">
        <f t="shared" ref="F25:F26" si="2">D25*E25</f>
        <v>4407.6885002595727</v>
      </c>
      <c r="H25" s="94"/>
      <c r="I25" s="94"/>
      <c r="J25" s="94">
        <v>0.15</v>
      </c>
      <c r="K25" s="94"/>
      <c r="L25" s="94"/>
      <c r="M25" s="94"/>
    </row>
    <row r="26" spans="1:13" ht="15">
      <c r="A26" s="11" t="s">
        <v>7</v>
      </c>
      <c r="B26" s="132" t="s">
        <v>64</v>
      </c>
      <c r="C26" s="8" t="s">
        <v>14</v>
      </c>
      <c r="D26" s="9">
        <v>2</v>
      </c>
      <c r="E26" s="12">
        <f>0.15*HON__CEF!I95</f>
        <v>1085.5807996682863</v>
      </c>
      <c r="F26" s="13">
        <f t="shared" si="2"/>
        <v>2171.1615993365726</v>
      </c>
      <c r="H26" s="94"/>
      <c r="I26" s="94"/>
      <c r="J26" s="94"/>
      <c r="K26" s="94"/>
      <c r="L26" s="94">
        <v>0.15</v>
      </c>
      <c r="M26" s="94"/>
    </row>
    <row r="27" spans="1:13" ht="15">
      <c r="A27" s="11"/>
      <c r="B27" s="14"/>
      <c r="C27" s="8"/>
      <c r="D27" s="9"/>
      <c r="E27" s="12"/>
      <c r="F27" s="13"/>
      <c r="H27" s="94"/>
      <c r="I27" s="94"/>
      <c r="J27" s="94"/>
      <c r="K27" s="94"/>
      <c r="L27" s="94"/>
      <c r="M27" s="94"/>
    </row>
    <row r="28" spans="1:13" ht="15.75">
      <c r="A28" s="11"/>
      <c r="B28" s="64" t="s">
        <v>17</v>
      </c>
      <c r="C28" s="8"/>
      <c r="D28" s="9"/>
      <c r="E28" s="16"/>
      <c r="F28" s="17">
        <f>SUM(F24:F27)</f>
        <v>12349.558642995946</v>
      </c>
      <c r="H28" s="94"/>
      <c r="I28" s="94"/>
      <c r="J28" s="94"/>
      <c r="K28" s="94"/>
      <c r="L28" s="94"/>
      <c r="M28" s="94"/>
    </row>
    <row r="29" spans="1:13" ht="15.75">
      <c r="A29" s="11"/>
      <c r="B29" s="14"/>
      <c r="C29" s="8"/>
      <c r="D29" s="9"/>
      <c r="E29" s="26"/>
      <c r="F29" s="10"/>
      <c r="H29" s="94"/>
      <c r="I29" s="94"/>
      <c r="J29" s="94"/>
      <c r="K29" s="94"/>
      <c r="L29" s="94"/>
      <c r="M29" s="94"/>
    </row>
    <row r="30" spans="1:13" ht="15.75">
      <c r="A30" s="6">
        <v>3</v>
      </c>
      <c r="B30" s="65" t="s">
        <v>65</v>
      </c>
      <c r="C30" s="8"/>
      <c r="D30" s="9"/>
      <c r="E30" s="22"/>
      <c r="F30" s="23"/>
      <c r="H30" s="94"/>
      <c r="I30" s="94"/>
      <c r="J30" s="94"/>
      <c r="K30" s="94"/>
      <c r="L30" s="94"/>
      <c r="M30" s="94"/>
    </row>
    <row r="31" spans="1:13" ht="15">
      <c r="A31" s="11" t="s">
        <v>8</v>
      </c>
      <c r="B31" s="132" t="s">
        <v>115</v>
      </c>
      <c r="C31" s="8" t="s">
        <v>14</v>
      </c>
      <c r="D31" s="9">
        <v>2</v>
      </c>
      <c r="E31" s="12">
        <f>0.255*HON__CEF!I91</f>
        <v>4905.1022618898305</v>
      </c>
      <c r="F31" s="13">
        <f>D31*E31</f>
        <v>9810.204523779661</v>
      </c>
      <c r="H31" s="94">
        <v>0.255</v>
      </c>
      <c r="I31" s="94"/>
      <c r="J31" s="94"/>
      <c r="K31" s="94"/>
      <c r="L31" s="94"/>
      <c r="M31" s="94"/>
    </row>
    <row r="32" spans="1:13" ht="15">
      <c r="A32" s="11" t="s">
        <v>9</v>
      </c>
      <c r="B32" s="132" t="s">
        <v>66</v>
      </c>
      <c r="C32" s="8" t="s">
        <v>14</v>
      </c>
      <c r="D32" s="9">
        <v>2</v>
      </c>
      <c r="E32" s="12">
        <f>0.04*HON__CEF!I91</f>
        <v>769.42780578664008</v>
      </c>
      <c r="F32" s="13">
        <f t="shared" ref="F32:F54" si="3">D32*E32</f>
        <v>1538.8556115732802</v>
      </c>
      <c r="H32" s="94">
        <v>0.04</v>
      </c>
      <c r="I32" s="94"/>
      <c r="J32" s="94"/>
      <c r="K32" s="94"/>
      <c r="L32" s="94"/>
      <c r="M32" s="94"/>
    </row>
    <row r="33" spans="1:13" ht="15">
      <c r="A33" s="11" t="s">
        <v>18</v>
      </c>
      <c r="B33" s="132" t="s">
        <v>67</v>
      </c>
      <c r="C33" s="8" t="s">
        <v>14</v>
      </c>
      <c r="D33" s="9">
        <v>2</v>
      </c>
      <c r="E33" s="12">
        <f>0.04*HON__CEF!I91</f>
        <v>769.42780578664008</v>
      </c>
      <c r="F33" s="13">
        <f t="shared" si="3"/>
        <v>1538.8556115732802</v>
      </c>
      <c r="H33" s="94">
        <v>0.04</v>
      </c>
      <c r="I33" s="94"/>
      <c r="J33" s="94"/>
      <c r="K33" s="94"/>
      <c r="L33" s="94"/>
      <c r="M33" s="94"/>
    </row>
    <row r="34" spans="1:13" ht="15">
      <c r="A34" s="11" t="s">
        <v>37</v>
      </c>
      <c r="B34" s="132" t="s">
        <v>68</v>
      </c>
      <c r="C34" s="8" t="s">
        <v>14</v>
      </c>
      <c r="D34" s="9">
        <v>2</v>
      </c>
      <c r="E34" s="12">
        <f>0.06*HON__CEF!I91</f>
        <v>1154.1417086799602</v>
      </c>
      <c r="F34" s="13">
        <f t="shared" si="3"/>
        <v>2308.2834173599203</v>
      </c>
      <c r="H34" s="94">
        <v>0.06</v>
      </c>
      <c r="I34" s="94"/>
      <c r="J34" s="94"/>
      <c r="K34" s="94"/>
      <c r="L34" s="94"/>
      <c r="M34" s="94"/>
    </row>
    <row r="35" spans="1:13" ht="15">
      <c r="A35" s="11" t="s">
        <v>87</v>
      </c>
      <c r="B35" s="132" t="s">
        <v>69</v>
      </c>
      <c r="C35" s="8" t="s">
        <v>14</v>
      </c>
      <c r="D35" s="9">
        <v>2</v>
      </c>
      <c r="E35" s="12">
        <f>0.075*HON__CEF!I91</f>
        <v>1442.6771358499502</v>
      </c>
      <c r="F35" s="13">
        <f t="shared" si="3"/>
        <v>2885.3542716999004</v>
      </c>
      <c r="H35" s="94">
        <v>7.4999999999999997E-2</v>
      </c>
      <c r="I35" s="94"/>
      <c r="J35" s="94"/>
      <c r="K35" s="94"/>
      <c r="L35" s="94"/>
      <c r="M35" s="94"/>
    </row>
    <row r="36" spans="1:13" ht="15">
      <c r="A36" s="11" t="s">
        <v>88</v>
      </c>
      <c r="B36" s="132" t="s">
        <v>131</v>
      </c>
      <c r="C36" s="8" t="s">
        <v>14</v>
      </c>
      <c r="D36" s="9">
        <v>2</v>
      </c>
      <c r="E36" s="12">
        <f>0.05*HON__CEF!I91</f>
        <v>961.78475723330018</v>
      </c>
      <c r="F36" s="13">
        <f t="shared" si="3"/>
        <v>1923.5695144666004</v>
      </c>
      <c r="H36" s="94">
        <v>0.05</v>
      </c>
      <c r="I36" s="94"/>
      <c r="J36" s="94"/>
      <c r="K36" s="94"/>
      <c r="L36" s="94"/>
      <c r="M36" s="94"/>
    </row>
    <row r="37" spans="1:13" ht="15">
      <c r="A37" s="11" t="s">
        <v>89</v>
      </c>
      <c r="B37" s="132" t="s">
        <v>70</v>
      </c>
      <c r="C37" s="8" t="s">
        <v>14</v>
      </c>
      <c r="D37" s="9">
        <v>2</v>
      </c>
      <c r="E37" s="12">
        <f>0.3*HON__CEF!I97</f>
        <v>3587.5163522879998</v>
      </c>
      <c r="F37" s="13">
        <f t="shared" si="3"/>
        <v>7175.0327045759996</v>
      </c>
      <c r="H37" s="94"/>
      <c r="I37" s="94">
        <v>0.3</v>
      </c>
      <c r="J37" s="94"/>
      <c r="K37" s="94"/>
      <c r="L37" s="94"/>
      <c r="M37" s="94"/>
    </row>
    <row r="38" spans="1:13" ht="15">
      <c r="A38" s="11" t="s">
        <v>90</v>
      </c>
      <c r="B38" s="132" t="s">
        <v>71</v>
      </c>
      <c r="C38" s="8" t="s">
        <v>14</v>
      </c>
      <c r="D38" s="9">
        <v>2</v>
      </c>
      <c r="E38" s="12">
        <f>0.3*HON__CEF!I92</f>
        <v>2448.7158334775399</v>
      </c>
      <c r="F38" s="13">
        <f t="shared" si="3"/>
        <v>4897.4316669550799</v>
      </c>
      <c r="H38" s="94"/>
      <c r="I38" s="94">
        <v>0.3</v>
      </c>
      <c r="J38" s="94"/>
      <c r="K38" s="94"/>
      <c r="L38" s="94"/>
      <c r="M38" s="94"/>
    </row>
    <row r="39" spans="1:13" ht="15">
      <c r="A39" s="11" t="s">
        <v>91</v>
      </c>
      <c r="B39" s="132" t="s">
        <v>72</v>
      </c>
      <c r="C39" s="8" t="s">
        <v>14</v>
      </c>
      <c r="D39" s="9">
        <v>2</v>
      </c>
      <c r="E39" s="12">
        <f>0.15*HON__CEF!I95</f>
        <v>1085.5807996682863</v>
      </c>
      <c r="F39" s="13">
        <f t="shared" si="3"/>
        <v>2171.1615993365726</v>
      </c>
      <c r="H39" s="94"/>
      <c r="I39" s="94"/>
      <c r="J39" s="94"/>
      <c r="K39" s="94"/>
      <c r="L39" s="94">
        <v>0.15</v>
      </c>
      <c r="M39" s="94"/>
    </row>
    <row r="40" spans="1:13" ht="15">
      <c r="A40" s="11" t="s">
        <v>92</v>
      </c>
      <c r="B40" s="132" t="s">
        <v>73</v>
      </c>
      <c r="C40" s="8" t="s">
        <v>14</v>
      </c>
      <c r="D40" s="9">
        <v>2</v>
      </c>
      <c r="E40" s="12">
        <f>0.15*HON__CEF!I95</f>
        <v>1085.5807996682863</v>
      </c>
      <c r="F40" s="13">
        <f t="shared" si="3"/>
        <v>2171.1615993365726</v>
      </c>
      <c r="H40" s="94"/>
      <c r="I40" s="94"/>
      <c r="J40" s="94"/>
      <c r="K40" s="94"/>
      <c r="L40" s="94">
        <v>0.15</v>
      </c>
      <c r="M40" s="94"/>
    </row>
    <row r="41" spans="1:13" ht="15">
      <c r="A41" s="11" t="s">
        <v>93</v>
      </c>
      <c r="B41" s="132" t="s">
        <v>74</v>
      </c>
      <c r="C41" s="8" t="s">
        <v>14</v>
      </c>
      <c r="D41" s="9">
        <v>2</v>
      </c>
      <c r="E41" s="12">
        <f>0.1*HON__CEF!I95</f>
        <v>723.72053311219099</v>
      </c>
      <c r="F41" s="13">
        <f t="shared" si="3"/>
        <v>1447.441066224382</v>
      </c>
      <c r="H41" s="94"/>
      <c r="I41" s="94"/>
      <c r="J41" s="94"/>
      <c r="K41" s="94"/>
      <c r="L41" s="94">
        <v>0.1</v>
      </c>
      <c r="M41" s="94"/>
    </row>
    <row r="42" spans="1:13" ht="15">
      <c r="A42" s="11" t="s">
        <v>94</v>
      </c>
      <c r="B42" s="132" t="s">
        <v>75</v>
      </c>
      <c r="C42" s="8" t="s">
        <v>14</v>
      </c>
      <c r="D42" s="9">
        <v>2</v>
      </c>
      <c r="E42" s="12">
        <f>0.05*HON__CEF!I95</f>
        <v>361.8602665560955</v>
      </c>
      <c r="F42" s="13">
        <f t="shared" si="3"/>
        <v>723.72053311219099</v>
      </c>
      <c r="H42" s="94"/>
      <c r="I42" s="94"/>
      <c r="J42" s="94"/>
      <c r="K42" s="94"/>
      <c r="L42" s="94">
        <v>0.05</v>
      </c>
      <c r="M42" s="94"/>
    </row>
    <row r="43" spans="1:13" ht="15">
      <c r="A43" s="11" t="s">
        <v>95</v>
      </c>
      <c r="B43" s="132" t="s">
        <v>116</v>
      </c>
      <c r="C43" s="8" t="s">
        <v>14</v>
      </c>
      <c r="D43" s="9">
        <v>2</v>
      </c>
      <c r="E43" s="12">
        <f>0.2*HON__CEF!I93</f>
        <v>2938.4590001730485</v>
      </c>
      <c r="F43" s="13">
        <f t="shared" si="3"/>
        <v>5876.918000346097</v>
      </c>
      <c r="H43" s="94"/>
      <c r="I43" s="94"/>
      <c r="J43" s="94">
        <v>0.2</v>
      </c>
      <c r="K43" s="94"/>
      <c r="L43" s="94"/>
      <c r="M43" s="94"/>
    </row>
    <row r="44" spans="1:13" ht="15">
      <c r="A44" s="11" t="s">
        <v>96</v>
      </c>
      <c r="B44" s="132" t="s">
        <v>76</v>
      </c>
      <c r="C44" s="8" t="s">
        <v>14</v>
      </c>
      <c r="D44" s="9">
        <v>2</v>
      </c>
      <c r="E44" s="12">
        <f>0.1*HON__CEF!I93</f>
        <v>1469.2295000865242</v>
      </c>
      <c r="F44" s="13">
        <f t="shared" si="3"/>
        <v>2938.4590001730485</v>
      </c>
      <c r="H44" s="94"/>
      <c r="I44" s="94"/>
      <c r="J44" s="94">
        <v>0.1</v>
      </c>
      <c r="K44" s="94"/>
      <c r="L44" s="94"/>
      <c r="M44" s="94"/>
    </row>
    <row r="45" spans="1:13" ht="15">
      <c r="A45" s="11" t="s">
        <v>97</v>
      </c>
      <c r="B45" s="132" t="s">
        <v>77</v>
      </c>
      <c r="C45" s="8" t="s">
        <v>14</v>
      </c>
      <c r="D45" s="9">
        <v>2</v>
      </c>
      <c r="E45" s="12">
        <f>0.05*HON__CEF!I93</f>
        <v>734.61475004326212</v>
      </c>
      <c r="F45" s="13">
        <f t="shared" si="3"/>
        <v>1469.2295000865242</v>
      </c>
      <c r="H45" s="94"/>
      <c r="I45" s="94"/>
      <c r="J45" s="94">
        <v>0.05</v>
      </c>
      <c r="K45" s="94"/>
      <c r="L45" s="94"/>
      <c r="M45" s="94"/>
    </row>
    <row r="46" spans="1:13" ht="30">
      <c r="A46" s="11" t="s">
        <v>98</v>
      </c>
      <c r="B46" s="132" t="s">
        <v>129</v>
      </c>
      <c r="C46" s="15" t="s">
        <v>14</v>
      </c>
      <c r="D46" s="9">
        <v>2</v>
      </c>
      <c r="E46" s="12">
        <f>0.1*HON__CEF!I93</f>
        <v>1469.2295000865242</v>
      </c>
      <c r="F46" s="13">
        <f t="shared" si="3"/>
        <v>2938.4590001730485</v>
      </c>
      <c r="H46" s="94"/>
      <c r="I46" s="94"/>
      <c r="J46" s="94">
        <v>0.1</v>
      </c>
      <c r="K46" s="94"/>
      <c r="L46" s="94"/>
      <c r="M46" s="94"/>
    </row>
    <row r="47" spans="1:13" ht="30">
      <c r="A47" s="11" t="s">
        <v>99</v>
      </c>
      <c r="B47" s="132" t="s">
        <v>109</v>
      </c>
      <c r="C47" s="8" t="s">
        <v>14</v>
      </c>
      <c r="D47" s="9">
        <v>2</v>
      </c>
      <c r="E47" s="12">
        <f>0.6*HON__CEF!I94</f>
        <v>5305.5509725346701</v>
      </c>
      <c r="F47" s="13">
        <f t="shared" si="3"/>
        <v>10611.10194506934</v>
      </c>
      <c r="H47" s="94"/>
      <c r="I47" s="94"/>
      <c r="J47" s="94"/>
      <c r="K47" s="94">
        <v>0.6</v>
      </c>
      <c r="L47" s="94"/>
      <c r="M47" s="94"/>
    </row>
    <row r="48" spans="1:13" ht="15">
      <c r="A48" s="11" t="s">
        <v>100</v>
      </c>
      <c r="B48" s="132" t="s">
        <v>78</v>
      </c>
      <c r="C48" s="8" t="s">
        <v>14</v>
      </c>
      <c r="D48" s="9">
        <v>2</v>
      </c>
      <c r="E48" s="12">
        <f>0.1*HON__CEF!I95</f>
        <v>723.72053311219099</v>
      </c>
      <c r="F48" s="13">
        <f t="shared" si="3"/>
        <v>1447.441066224382</v>
      </c>
      <c r="H48" s="94"/>
      <c r="I48" s="94"/>
      <c r="J48" s="94"/>
      <c r="K48" s="94"/>
      <c r="L48" s="94">
        <v>0.1</v>
      </c>
      <c r="M48" s="94"/>
    </row>
    <row r="49" spans="1:13" ht="15">
      <c r="A49" s="11" t="s">
        <v>101</v>
      </c>
      <c r="B49" s="132" t="s">
        <v>79</v>
      </c>
      <c r="C49" s="8" t="s">
        <v>14</v>
      </c>
      <c r="D49" s="9">
        <v>2</v>
      </c>
      <c r="E49" s="12">
        <f>0.06*HON__CEF!I93</f>
        <v>881.5377000519145</v>
      </c>
      <c r="F49" s="13">
        <f t="shared" si="3"/>
        <v>1763.075400103829</v>
      </c>
      <c r="H49" s="94"/>
      <c r="I49" s="94"/>
      <c r="J49" s="94">
        <v>0.06</v>
      </c>
      <c r="K49" s="94"/>
      <c r="L49" s="94"/>
      <c r="M49" s="94"/>
    </row>
    <row r="50" spans="1:13" ht="15">
      <c r="A50" s="11" t="s">
        <v>102</v>
      </c>
      <c r="B50" s="132" t="s">
        <v>80</v>
      </c>
      <c r="C50" s="8" t="s">
        <v>14</v>
      </c>
      <c r="D50" s="9">
        <v>2</v>
      </c>
      <c r="E50" s="12">
        <f>0.04*HON__CEF!I93</f>
        <v>587.69180003460974</v>
      </c>
      <c r="F50" s="13">
        <f t="shared" si="3"/>
        <v>1175.3836000692195</v>
      </c>
      <c r="H50" s="94"/>
      <c r="I50" s="94"/>
      <c r="J50" s="94">
        <v>0.04</v>
      </c>
      <c r="K50" s="94"/>
      <c r="L50" s="94"/>
      <c r="M50" s="94"/>
    </row>
    <row r="51" spans="1:13" ht="15">
      <c r="A51" s="11" t="s">
        <v>103</v>
      </c>
      <c r="B51" s="132" t="s">
        <v>81</v>
      </c>
      <c r="C51" s="8" t="s">
        <v>14</v>
      </c>
      <c r="D51" s="9">
        <v>2</v>
      </c>
      <c r="E51" s="12">
        <f>0.3*HON__CEF!I96</f>
        <v>1632.4772223183602</v>
      </c>
      <c r="F51" s="13">
        <f t="shared" si="3"/>
        <v>3264.9544446367204</v>
      </c>
      <c r="H51" s="94"/>
      <c r="I51" s="94"/>
      <c r="J51" s="94"/>
      <c r="K51" s="94"/>
      <c r="L51" s="94"/>
      <c r="M51" s="94">
        <v>0.3</v>
      </c>
    </row>
    <row r="52" spans="1:13" ht="15">
      <c r="A52" s="11" t="s">
        <v>104</v>
      </c>
      <c r="B52" s="132" t="s">
        <v>110</v>
      </c>
      <c r="C52" s="8" t="s">
        <v>14</v>
      </c>
      <c r="D52" s="9">
        <v>2</v>
      </c>
      <c r="E52" s="12">
        <f>0.3*HON__CEF!I96</f>
        <v>1632.4772223183602</v>
      </c>
      <c r="F52" s="13">
        <f t="shared" si="3"/>
        <v>3264.9544446367204</v>
      </c>
      <c r="H52" s="94"/>
      <c r="I52" s="94"/>
      <c r="J52" s="94"/>
      <c r="K52" s="94"/>
      <c r="L52" s="94"/>
      <c r="M52" s="94">
        <v>0.3</v>
      </c>
    </row>
    <row r="53" spans="1:13" ht="15">
      <c r="A53" s="11" t="s">
        <v>105</v>
      </c>
      <c r="B53" s="132" t="s">
        <v>82</v>
      </c>
      <c r="C53" s="8" t="s">
        <v>14</v>
      </c>
      <c r="D53" s="9">
        <v>2</v>
      </c>
      <c r="E53" s="12">
        <f>0.1*HON__CEF!I96</f>
        <v>544.1590741061201</v>
      </c>
      <c r="F53" s="13">
        <f t="shared" si="3"/>
        <v>1088.3181482122402</v>
      </c>
      <c r="H53" s="94"/>
      <c r="I53" s="94"/>
      <c r="J53" s="94"/>
      <c r="K53" s="94"/>
      <c r="L53" s="94"/>
      <c r="M53" s="94">
        <v>0.1</v>
      </c>
    </row>
    <row r="54" spans="1:13" ht="45">
      <c r="A54" s="11" t="s">
        <v>130</v>
      </c>
      <c r="B54" s="132" t="s">
        <v>128</v>
      </c>
      <c r="C54" s="15" t="s">
        <v>14</v>
      </c>
      <c r="D54" s="9">
        <v>2</v>
      </c>
      <c r="E54" s="66">
        <f>0.3*HON__CEF!I96</f>
        <v>1632.4772223183602</v>
      </c>
      <c r="F54" s="13">
        <f t="shared" si="3"/>
        <v>3264.9544446367204</v>
      </c>
      <c r="H54" s="94"/>
      <c r="I54" s="94"/>
      <c r="J54" s="94"/>
      <c r="K54" s="94"/>
      <c r="L54" s="94"/>
      <c r="M54" s="94">
        <v>0.3</v>
      </c>
    </row>
    <row r="55" spans="1:13" ht="15">
      <c r="A55" s="67"/>
      <c r="B55" s="14"/>
      <c r="C55" s="68"/>
      <c r="D55" s="69"/>
      <c r="E55" s="70"/>
      <c r="F55" s="71"/>
      <c r="H55" s="94"/>
      <c r="I55" s="94"/>
      <c r="J55" s="94"/>
      <c r="K55" s="94"/>
      <c r="L55" s="94"/>
      <c r="M55" s="94"/>
    </row>
    <row r="56" spans="1:13" ht="15.75">
      <c r="A56" s="72"/>
      <c r="B56" s="73" t="s">
        <v>17</v>
      </c>
      <c r="C56" s="74"/>
      <c r="D56" s="75"/>
      <c r="E56" s="76"/>
      <c r="F56" s="77">
        <f>SUM(F31:F55)</f>
        <v>77694.32111436133</v>
      </c>
      <c r="H56" s="94"/>
      <c r="I56" s="94"/>
      <c r="J56" s="94"/>
      <c r="K56" s="94"/>
      <c r="L56" s="94"/>
      <c r="M56" s="94"/>
    </row>
    <row r="57" spans="1:13" ht="15">
      <c r="A57" s="27"/>
      <c r="B57" s="19"/>
      <c r="C57" s="20"/>
      <c r="D57" s="24"/>
      <c r="E57" s="21"/>
      <c r="F57" s="28"/>
      <c r="H57" s="94"/>
      <c r="I57" s="94"/>
      <c r="J57" s="94"/>
      <c r="K57" s="94"/>
      <c r="L57" s="94"/>
      <c r="M57" s="94"/>
    </row>
    <row r="58" spans="1:13" ht="15.75">
      <c r="A58" s="27"/>
      <c r="B58" s="29" t="s">
        <v>19</v>
      </c>
      <c r="C58" s="20"/>
      <c r="D58" s="24"/>
      <c r="E58" s="21"/>
      <c r="F58" s="17">
        <f>+F20+F28+F56</f>
        <v>121180.39902212496</v>
      </c>
      <c r="H58" s="94"/>
      <c r="I58" s="94"/>
      <c r="J58" s="94"/>
      <c r="K58" s="94"/>
      <c r="L58" s="94"/>
      <c r="M58" s="94"/>
    </row>
    <row r="59" spans="1:13" ht="15.75">
      <c r="A59" s="27"/>
      <c r="B59" s="29" t="s">
        <v>20</v>
      </c>
      <c r="C59" s="20" t="s">
        <v>10</v>
      </c>
      <c r="D59" s="88">
        <v>19.12</v>
      </c>
      <c r="E59" s="21"/>
      <c r="F59" s="17">
        <f>F58*D59/100</f>
        <v>23169.692293030294</v>
      </c>
      <c r="H59" s="94"/>
      <c r="I59" s="94"/>
      <c r="J59" s="94"/>
      <c r="K59" s="94"/>
      <c r="L59" s="94"/>
      <c r="M59" s="94"/>
    </row>
    <row r="60" spans="1:13" ht="16.5" thickBot="1">
      <c r="A60" s="30"/>
      <c r="B60" s="31" t="s">
        <v>21</v>
      </c>
      <c r="C60" s="32"/>
      <c r="D60" s="33"/>
      <c r="E60" s="34"/>
      <c r="F60" s="35">
        <f>F58+F59</f>
        <v>144350.09131515524</v>
      </c>
    </row>
  </sheetData>
  <mergeCells count="6">
    <mergeCell ref="A2:F2"/>
    <mergeCell ref="A3:F3"/>
    <mergeCell ref="A4:D4"/>
    <mergeCell ref="E4:F4"/>
    <mergeCell ref="A5:D5"/>
    <mergeCell ref="E5:F5"/>
  </mergeCells>
  <pageMargins left="0.62992125984251968" right="0.51181102362204722" top="0.55118110236220474" bottom="0.78740157480314965" header="0.31496062992125984" footer="0.31496062992125984"/>
  <pageSetup paperSize="9" scale="46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0"/>
  <sheetViews>
    <sheetView topLeftCell="A31" zoomScale="75" zoomScaleNormal="75" workbookViewId="0">
      <selection activeCell="D60" sqref="D60"/>
    </sheetView>
  </sheetViews>
  <sheetFormatPr defaultRowHeight="12.75"/>
  <cols>
    <col min="1" max="1" width="6.7109375" bestFit="1" customWidth="1"/>
    <col min="2" max="2" width="81.42578125" customWidth="1"/>
    <col min="3" max="3" width="7.5703125" customWidth="1"/>
    <col min="4" max="4" width="10" bestFit="1" customWidth="1"/>
    <col min="5" max="5" width="15.140625" bestFit="1" customWidth="1"/>
    <col min="6" max="6" width="16.5703125" customWidth="1"/>
  </cols>
  <sheetData>
    <row r="1" spans="1:13" ht="13.5" thickBot="1"/>
    <row r="2" spans="1:13" ht="15.75">
      <c r="A2" s="169" t="s">
        <v>83</v>
      </c>
      <c r="B2" s="170"/>
      <c r="C2" s="170"/>
      <c r="D2" s="170"/>
      <c r="E2" s="170"/>
      <c r="F2" s="171"/>
    </row>
    <row r="3" spans="1:13">
      <c r="A3" s="172" t="s">
        <v>84</v>
      </c>
      <c r="B3" s="173"/>
      <c r="C3" s="173"/>
      <c r="D3" s="173"/>
      <c r="E3" s="173"/>
      <c r="F3" s="174"/>
    </row>
    <row r="4" spans="1:13" ht="15.75">
      <c r="A4" s="175" t="s">
        <v>111</v>
      </c>
      <c r="B4" s="176"/>
      <c r="C4" s="176"/>
      <c r="D4" s="176"/>
      <c r="E4" s="177" t="s">
        <v>112</v>
      </c>
      <c r="F4" s="178"/>
    </row>
    <row r="5" spans="1:13" ht="15.75">
      <c r="A5" s="179" t="s">
        <v>35</v>
      </c>
      <c r="B5" s="180"/>
      <c r="C5" s="180"/>
      <c r="D5" s="181"/>
      <c r="E5" s="182" t="s">
        <v>216</v>
      </c>
      <c r="F5" s="183"/>
      <c r="H5" s="95">
        <f>SUM(H9:H54)</f>
        <v>1</v>
      </c>
      <c r="I5" s="95">
        <f t="shared" ref="I5:M5" si="0">SUM(I9:I54)</f>
        <v>1</v>
      </c>
      <c r="J5" s="95">
        <f t="shared" si="0"/>
        <v>1</v>
      </c>
      <c r="K5" s="95">
        <f t="shared" si="0"/>
        <v>1</v>
      </c>
      <c r="L5" s="95">
        <f t="shared" si="0"/>
        <v>1</v>
      </c>
      <c r="M5" s="95">
        <f t="shared" si="0"/>
        <v>1</v>
      </c>
    </row>
    <row r="6" spans="1:13" ht="15.75">
      <c r="A6" s="1" t="s">
        <v>22</v>
      </c>
      <c r="B6" s="2" t="s">
        <v>11</v>
      </c>
      <c r="C6" s="3" t="s">
        <v>12</v>
      </c>
      <c r="D6" s="4" t="s">
        <v>13</v>
      </c>
      <c r="E6" s="63" t="s">
        <v>50</v>
      </c>
      <c r="F6" s="5" t="s">
        <v>0</v>
      </c>
      <c r="H6" s="94">
        <v>15</v>
      </c>
      <c r="I6" s="94">
        <v>16</v>
      </c>
      <c r="J6" s="94">
        <v>17</v>
      </c>
      <c r="K6" s="94">
        <v>18</v>
      </c>
      <c r="L6" s="94">
        <v>19</v>
      </c>
      <c r="M6" s="94">
        <v>20</v>
      </c>
    </row>
    <row r="7" spans="1:13" ht="15.75">
      <c r="A7" s="157"/>
      <c r="B7" s="158" t="s">
        <v>265</v>
      </c>
      <c r="C7" s="159"/>
      <c r="D7" s="160"/>
      <c r="E7" s="161"/>
      <c r="F7" s="162"/>
      <c r="H7" s="94"/>
      <c r="I7" s="94"/>
      <c r="J7" s="94"/>
      <c r="K7" s="94"/>
      <c r="L7" s="94"/>
      <c r="M7" s="94"/>
    </row>
    <row r="8" spans="1:13" ht="15.75">
      <c r="A8" s="1" t="s">
        <v>51</v>
      </c>
      <c r="B8" s="7" t="s">
        <v>52</v>
      </c>
      <c r="C8" s="3"/>
      <c r="D8" s="4"/>
      <c r="E8" s="63"/>
      <c r="F8" s="5"/>
      <c r="H8" s="93" t="s">
        <v>122</v>
      </c>
      <c r="I8" s="93" t="s">
        <v>123</v>
      </c>
      <c r="J8" s="93" t="s">
        <v>124</v>
      </c>
      <c r="K8" s="93" t="s">
        <v>125</v>
      </c>
      <c r="L8" s="93" t="s">
        <v>126</v>
      </c>
      <c r="M8" s="93" t="s">
        <v>127</v>
      </c>
    </row>
    <row r="9" spans="1:13" ht="15">
      <c r="A9" s="11" t="s">
        <v>1</v>
      </c>
      <c r="B9" s="132" t="s">
        <v>113</v>
      </c>
      <c r="C9" s="8" t="s">
        <v>14</v>
      </c>
      <c r="D9" s="163">
        <v>0</v>
      </c>
      <c r="E9" s="66">
        <f>0.25*HON__CEF!I104+HON__CEF!C133</f>
        <v>4221.2266938599996</v>
      </c>
      <c r="F9" s="164">
        <f>D9*E9</f>
        <v>0</v>
      </c>
      <c r="H9" s="94"/>
      <c r="I9" s="94">
        <v>0.25</v>
      </c>
      <c r="J9" s="94"/>
      <c r="K9" s="94"/>
      <c r="L9" s="94"/>
      <c r="M9" s="94"/>
    </row>
    <row r="10" spans="1:13" ht="15">
      <c r="A10" s="11" t="s">
        <v>2</v>
      </c>
      <c r="B10" s="132" t="s">
        <v>53</v>
      </c>
      <c r="C10" s="8" t="s">
        <v>14</v>
      </c>
      <c r="D10" s="163">
        <v>1</v>
      </c>
      <c r="E10" s="12">
        <f>(0.25*HON__CEF!I103)/2</f>
        <v>1758.8444557749999</v>
      </c>
      <c r="F10" s="13">
        <f t="shared" ref="F10:F18" si="1">D10*E10</f>
        <v>1758.8444557749999</v>
      </c>
      <c r="H10" s="94">
        <v>0.25</v>
      </c>
      <c r="I10" s="94"/>
      <c r="J10" s="94"/>
      <c r="K10" s="94"/>
      <c r="L10" s="94"/>
      <c r="M10" s="94"/>
    </row>
    <row r="11" spans="1:13" ht="15">
      <c r="A11" s="11" t="s">
        <v>3</v>
      </c>
      <c r="B11" s="132" t="s">
        <v>54</v>
      </c>
      <c r="C11" s="8" t="s">
        <v>14</v>
      </c>
      <c r="D11" s="163">
        <v>1</v>
      </c>
      <c r="E11" s="12">
        <f>0.08*HON__CEF!I103</f>
        <v>1125.6604516959999</v>
      </c>
      <c r="F11" s="13">
        <f t="shared" si="1"/>
        <v>1125.6604516959999</v>
      </c>
      <c r="H11" s="94">
        <v>0.08</v>
      </c>
      <c r="I11" s="94"/>
      <c r="J11" s="94"/>
      <c r="K11" s="94"/>
      <c r="L11" s="94"/>
      <c r="M11" s="94"/>
    </row>
    <row r="12" spans="1:13" ht="15">
      <c r="A12" s="11" t="s">
        <v>4</v>
      </c>
      <c r="B12" s="132" t="s">
        <v>55</v>
      </c>
      <c r="C12" s="8" t="s">
        <v>14</v>
      </c>
      <c r="D12" s="163">
        <v>1</v>
      </c>
      <c r="E12" s="12">
        <f>(0.075*HON__CEF!I94)+(0.075*HON__CEF!I109)</f>
        <v>1929.5618797248335</v>
      </c>
      <c r="F12" s="13">
        <f t="shared" si="1"/>
        <v>1929.5618797248335</v>
      </c>
      <c r="H12" s="94"/>
      <c r="I12" s="94">
        <v>0.15</v>
      </c>
      <c r="J12" s="94"/>
      <c r="K12" s="94"/>
      <c r="L12" s="94"/>
      <c r="M12" s="94"/>
    </row>
    <row r="13" spans="1:13" ht="15">
      <c r="A13" s="11" t="s">
        <v>15</v>
      </c>
      <c r="B13" s="132" t="s">
        <v>56</v>
      </c>
      <c r="C13" s="8" t="s">
        <v>14</v>
      </c>
      <c r="D13" s="163">
        <v>1</v>
      </c>
      <c r="E13" s="12">
        <f>0.15*HON__CEF!I107</f>
        <v>2186.3772366041999</v>
      </c>
      <c r="F13" s="13">
        <f t="shared" si="1"/>
        <v>2186.3772366041999</v>
      </c>
      <c r="H13" s="94"/>
      <c r="I13" s="94"/>
      <c r="J13" s="94"/>
      <c r="K13" s="94"/>
      <c r="L13" s="94">
        <v>0.15</v>
      </c>
      <c r="M13" s="94"/>
    </row>
    <row r="14" spans="1:13" ht="30">
      <c r="A14" s="11" t="s">
        <v>16</v>
      </c>
      <c r="B14" s="132" t="s">
        <v>114</v>
      </c>
      <c r="C14" s="8" t="s">
        <v>14</v>
      </c>
      <c r="D14" s="163">
        <v>1</v>
      </c>
      <c r="E14" s="12">
        <f>0.2*HON__CEF!I105</f>
        <v>6078.5664391584005</v>
      </c>
      <c r="F14" s="13">
        <f t="shared" si="1"/>
        <v>6078.5664391584005</v>
      </c>
      <c r="H14" s="94"/>
      <c r="I14" s="94"/>
      <c r="J14" s="94">
        <v>0.2</v>
      </c>
      <c r="K14" s="94"/>
      <c r="L14" s="94"/>
      <c r="M14" s="94"/>
    </row>
    <row r="15" spans="1:13" ht="30">
      <c r="A15" s="11" t="s">
        <v>36</v>
      </c>
      <c r="B15" s="132" t="s">
        <v>132</v>
      </c>
      <c r="C15" s="8" t="s">
        <v>14</v>
      </c>
      <c r="D15" s="163">
        <v>1</v>
      </c>
      <c r="E15" s="12">
        <f>0.05*HON__CEF!I105</f>
        <v>1519.6416097896001</v>
      </c>
      <c r="F15" s="13">
        <f t="shared" si="1"/>
        <v>1519.6416097896001</v>
      </c>
      <c r="H15" s="94"/>
      <c r="I15" s="94"/>
      <c r="J15" s="94">
        <v>0.05</v>
      </c>
      <c r="K15" s="94"/>
      <c r="L15" s="94"/>
      <c r="M15" s="94"/>
    </row>
    <row r="16" spans="1:13" ht="30">
      <c r="A16" s="11" t="s">
        <v>85</v>
      </c>
      <c r="B16" s="133" t="s">
        <v>108</v>
      </c>
      <c r="C16" s="15" t="s">
        <v>14</v>
      </c>
      <c r="D16" s="163">
        <v>1</v>
      </c>
      <c r="E16" s="12">
        <f>0.4*HON__CEF!I106</f>
        <v>7316.7929360240005</v>
      </c>
      <c r="F16" s="13">
        <f t="shared" si="1"/>
        <v>7316.7929360240005</v>
      </c>
      <c r="H16" s="94"/>
      <c r="I16" s="94"/>
      <c r="J16" s="94"/>
      <c r="K16" s="94">
        <v>0.4</v>
      </c>
      <c r="L16" s="94"/>
      <c r="M16" s="94"/>
    </row>
    <row r="17" spans="1:13" ht="30">
      <c r="A17" s="11" t="s">
        <v>86</v>
      </c>
      <c r="B17" s="132" t="s">
        <v>57</v>
      </c>
      <c r="C17" s="8" t="s">
        <v>14</v>
      </c>
      <c r="D17" s="163">
        <v>1</v>
      </c>
      <c r="E17" s="12">
        <f>0.15*HON__CEF!I107</f>
        <v>2186.3772366041999</v>
      </c>
      <c r="F17" s="13">
        <f t="shared" si="1"/>
        <v>2186.3772366041999</v>
      </c>
      <c r="H17" s="94"/>
      <c r="I17" s="94"/>
      <c r="J17" s="94"/>
      <c r="K17" s="94"/>
      <c r="L17" s="94">
        <v>0.15</v>
      </c>
      <c r="M17" s="94"/>
    </row>
    <row r="18" spans="1:13" ht="15">
      <c r="A18" s="11" t="s">
        <v>58</v>
      </c>
      <c r="B18" s="132" t="s">
        <v>59</v>
      </c>
      <c r="C18" s="8" t="s">
        <v>14</v>
      </c>
      <c r="D18" s="163">
        <v>1</v>
      </c>
      <c r="E18" s="12">
        <f>0.05*HON__CEF!I105</f>
        <v>1519.6416097896001</v>
      </c>
      <c r="F18" s="13">
        <f t="shared" si="1"/>
        <v>1519.6416097896001</v>
      </c>
      <c r="H18" s="94"/>
      <c r="I18" s="94"/>
      <c r="J18" s="94">
        <v>0.05</v>
      </c>
      <c r="K18" s="94"/>
      <c r="L18" s="94"/>
      <c r="M18" s="94"/>
    </row>
    <row r="19" spans="1:13" ht="15">
      <c r="A19" s="11"/>
      <c r="B19" s="14"/>
      <c r="C19" s="8"/>
      <c r="D19" s="9"/>
      <c r="E19" s="12"/>
      <c r="F19" s="13"/>
      <c r="H19" s="94"/>
      <c r="I19" s="94"/>
      <c r="J19" s="94"/>
      <c r="K19" s="94"/>
      <c r="L19" s="94"/>
      <c r="M19" s="94"/>
    </row>
    <row r="20" spans="1:13" ht="15.75">
      <c r="A20" s="11"/>
      <c r="B20" s="64" t="s">
        <v>17</v>
      </c>
      <c r="C20" s="8"/>
      <c r="D20" s="9"/>
      <c r="E20" s="16"/>
      <c r="F20" s="17">
        <f>SUM(F9:F19)</f>
        <v>25621.463855165835</v>
      </c>
      <c r="H20" s="94"/>
      <c r="I20" s="94"/>
      <c r="J20" s="94"/>
      <c r="K20" s="94"/>
      <c r="L20" s="94"/>
      <c r="M20" s="94"/>
    </row>
    <row r="21" spans="1:13" ht="15">
      <c r="A21" s="18"/>
      <c r="B21" s="19"/>
      <c r="C21" s="20"/>
      <c r="D21" s="21"/>
      <c r="E21" s="22"/>
      <c r="F21" s="23"/>
      <c r="H21" s="94"/>
      <c r="I21" s="94"/>
      <c r="J21" s="94"/>
      <c r="K21" s="94"/>
      <c r="L21" s="94"/>
      <c r="M21" s="94"/>
    </row>
    <row r="22" spans="1:13" ht="15">
      <c r="A22" s="18"/>
      <c r="B22" s="19"/>
      <c r="C22" s="20"/>
      <c r="D22" s="24"/>
      <c r="E22" s="22"/>
      <c r="F22" s="25"/>
      <c r="H22" s="94"/>
      <c r="I22" s="94"/>
      <c r="J22" s="94"/>
      <c r="K22" s="94"/>
      <c r="L22" s="94"/>
      <c r="M22" s="94"/>
    </row>
    <row r="23" spans="1:13" ht="15.75">
      <c r="A23" s="87" t="s">
        <v>60</v>
      </c>
      <c r="B23" s="65" t="s">
        <v>61</v>
      </c>
      <c r="C23" s="20"/>
      <c r="D23" s="24"/>
      <c r="E23" s="22"/>
      <c r="F23" s="25"/>
      <c r="H23" s="94"/>
      <c r="I23" s="94"/>
      <c r="J23" s="94"/>
      <c r="K23" s="94"/>
      <c r="L23" s="94"/>
      <c r="M23" s="94"/>
    </row>
    <row r="24" spans="1:13" ht="15">
      <c r="A24" s="11" t="s">
        <v>5</v>
      </c>
      <c r="B24" s="132" t="s">
        <v>62</v>
      </c>
      <c r="C24" s="8" t="s">
        <v>14</v>
      </c>
      <c r="D24" s="9">
        <v>1</v>
      </c>
      <c r="E24" s="12">
        <f>0.1*HON__CEF!I103+0.05*HON__CEF!I103</f>
        <v>2110.6133469300003</v>
      </c>
      <c r="F24" s="13">
        <f>D24*E24</f>
        <v>2110.6133469300003</v>
      </c>
      <c r="H24" s="94">
        <v>0.15</v>
      </c>
      <c r="I24" s="94"/>
      <c r="J24" s="94"/>
      <c r="K24" s="94"/>
      <c r="L24" s="94"/>
      <c r="M24" s="94"/>
    </row>
    <row r="25" spans="1:13" ht="15">
      <c r="A25" s="11" t="s">
        <v>6</v>
      </c>
      <c r="B25" s="132" t="s">
        <v>63</v>
      </c>
      <c r="C25" s="8" t="s">
        <v>14</v>
      </c>
      <c r="D25" s="9">
        <v>1</v>
      </c>
      <c r="E25" s="12">
        <f>0.15*HON__CEF!I105</f>
        <v>4558.9248293687997</v>
      </c>
      <c r="F25" s="13">
        <f t="shared" ref="F25:F26" si="2">D25*E25</f>
        <v>4558.9248293687997</v>
      </c>
      <c r="H25" s="94"/>
      <c r="I25" s="94"/>
      <c r="J25" s="94">
        <v>0.15</v>
      </c>
      <c r="K25" s="94"/>
      <c r="L25" s="94"/>
      <c r="M25" s="94"/>
    </row>
    <row r="26" spans="1:13" ht="15">
      <c r="A26" s="11" t="s">
        <v>7</v>
      </c>
      <c r="B26" s="132" t="s">
        <v>64</v>
      </c>
      <c r="C26" s="8" t="s">
        <v>14</v>
      </c>
      <c r="D26" s="9">
        <v>1</v>
      </c>
      <c r="E26" s="12">
        <f>0.15*HON__CEF!I107</f>
        <v>2186.3772366041999</v>
      </c>
      <c r="F26" s="13">
        <f t="shared" si="2"/>
        <v>2186.3772366041999</v>
      </c>
      <c r="H26" s="94"/>
      <c r="I26" s="94"/>
      <c r="J26" s="94"/>
      <c r="K26" s="94"/>
      <c r="L26" s="94">
        <v>0.15</v>
      </c>
      <c r="M26" s="94"/>
    </row>
    <row r="27" spans="1:13" ht="15">
      <c r="A27" s="11"/>
      <c r="B27" s="14"/>
      <c r="C27" s="8"/>
      <c r="D27" s="9"/>
      <c r="E27" s="12"/>
      <c r="F27" s="13"/>
      <c r="H27" s="94"/>
      <c r="I27" s="94"/>
      <c r="J27" s="94"/>
      <c r="K27" s="94"/>
      <c r="L27" s="94"/>
      <c r="M27" s="94"/>
    </row>
    <row r="28" spans="1:13" ht="15.75">
      <c r="A28" s="11"/>
      <c r="B28" s="64" t="s">
        <v>17</v>
      </c>
      <c r="C28" s="8"/>
      <c r="D28" s="9"/>
      <c r="E28" s="16"/>
      <c r="F28" s="17">
        <f>SUM(F24:F27)</f>
        <v>8855.9154129029994</v>
      </c>
      <c r="H28" s="94"/>
      <c r="I28" s="94"/>
      <c r="J28" s="94"/>
      <c r="K28" s="94"/>
      <c r="L28" s="94"/>
      <c r="M28" s="94"/>
    </row>
    <row r="29" spans="1:13" ht="15.75">
      <c r="A29" s="11"/>
      <c r="B29" s="14"/>
      <c r="C29" s="8"/>
      <c r="D29" s="9"/>
      <c r="E29" s="26"/>
      <c r="F29" s="10"/>
      <c r="H29" s="94"/>
      <c r="I29" s="94"/>
      <c r="J29" s="94"/>
      <c r="K29" s="94"/>
      <c r="L29" s="94"/>
      <c r="M29" s="94"/>
    </row>
    <row r="30" spans="1:13" ht="15.75">
      <c r="A30" s="6">
        <v>3</v>
      </c>
      <c r="B30" s="65" t="s">
        <v>65</v>
      </c>
      <c r="C30" s="8"/>
      <c r="D30" s="9"/>
      <c r="E30" s="22"/>
      <c r="F30" s="23"/>
      <c r="H30" s="94"/>
      <c r="I30" s="94"/>
      <c r="J30" s="94"/>
      <c r="K30" s="94"/>
      <c r="L30" s="94"/>
      <c r="M30" s="94"/>
    </row>
    <row r="31" spans="1:13" ht="15">
      <c r="A31" s="11" t="s">
        <v>8</v>
      </c>
      <c r="B31" s="132" t="s">
        <v>115</v>
      </c>
      <c r="C31" s="8" t="s">
        <v>14</v>
      </c>
      <c r="D31" s="9">
        <v>1</v>
      </c>
      <c r="E31" s="12">
        <f>0.255*HON__CEF!I103</f>
        <v>3588.0426897809998</v>
      </c>
      <c r="F31" s="13">
        <f>D31*E31</f>
        <v>3588.0426897809998</v>
      </c>
      <c r="H31" s="94">
        <v>0.255</v>
      </c>
      <c r="I31" s="94"/>
      <c r="J31" s="94"/>
      <c r="K31" s="94"/>
      <c r="L31" s="94"/>
      <c r="M31" s="94"/>
    </row>
    <row r="32" spans="1:13" ht="15">
      <c r="A32" s="11" t="s">
        <v>9</v>
      </c>
      <c r="B32" s="132" t="s">
        <v>66</v>
      </c>
      <c r="C32" s="8" t="s">
        <v>14</v>
      </c>
      <c r="D32" s="9">
        <v>1</v>
      </c>
      <c r="E32" s="12">
        <f>0.04*HON__CEF!I103</f>
        <v>562.83022584799994</v>
      </c>
      <c r="F32" s="13">
        <f t="shared" ref="F32:F54" si="3">D32*E32</f>
        <v>562.83022584799994</v>
      </c>
      <c r="H32" s="94">
        <v>0.04</v>
      </c>
      <c r="I32" s="94"/>
      <c r="J32" s="94"/>
      <c r="K32" s="94"/>
      <c r="L32" s="94"/>
      <c r="M32" s="94"/>
    </row>
    <row r="33" spans="1:13" ht="15">
      <c r="A33" s="11" t="s">
        <v>18</v>
      </c>
      <c r="B33" s="132" t="s">
        <v>67</v>
      </c>
      <c r="C33" s="8" t="s">
        <v>14</v>
      </c>
      <c r="D33" s="9">
        <v>1</v>
      </c>
      <c r="E33" s="12">
        <f>0.04*HON__CEF!I103</f>
        <v>562.83022584799994</v>
      </c>
      <c r="F33" s="13">
        <f t="shared" si="3"/>
        <v>562.83022584799994</v>
      </c>
      <c r="H33" s="94">
        <v>0.04</v>
      </c>
      <c r="I33" s="94"/>
      <c r="J33" s="94"/>
      <c r="K33" s="94"/>
      <c r="L33" s="94"/>
      <c r="M33" s="94"/>
    </row>
    <row r="34" spans="1:13" ht="15">
      <c r="A34" s="11" t="s">
        <v>37</v>
      </c>
      <c r="B34" s="132" t="s">
        <v>68</v>
      </c>
      <c r="C34" s="8" t="s">
        <v>14</v>
      </c>
      <c r="D34" s="9">
        <v>1</v>
      </c>
      <c r="E34" s="12">
        <f>0.06*HON__CEF!I103</f>
        <v>844.24533877199997</v>
      </c>
      <c r="F34" s="13">
        <f t="shared" si="3"/>
        <v>844.24533877199997</v>
      </c>
      <c r="H34" s="94">
        <v>0.06</v>
      </c>
      <c r="I34" s="94"/>
      <c r="J34" s="94"/>
      <c r="K34" s="94"/>
      <c r="L34" s="94"/>
      <c r="M34" s="94"/>
    </row>
    <row r="35" spans="1:13" ht="15">
      <c r="A35" s="11" t="s">
        <v>87</v>
      </c>
      <c r="B35" s="132" t="s">
        <v>69</v>
      </c>
      <c r="C35" s="8" t="s">
        <v>14</v>
      </c>
      <c r="D35" s="9">
        <v>1</v>
      </c>
      <c r="E35" s="12">
        <f>0.075*HON__CEF!I103</f>
        <v>1055.3066734649999</v>
      </c>
      <c r="F35" s="13">
        <f t="shared" si="3"/>
        <v>1055.3066734649999</v>
      </c>
      <c r="H35" s="94">
        <v>7.4999999999999997E-2</v>
      </c>
      <c r="I35" s="94"/>
      <c r="J35" s="94"/>
      <c r="K35" s="94"/>
      <c r="L35" s="94"/>
      <c r="M35" s="94"/>
    </row>
    <row r="36" spans="1:13" ht="15">
      <c r="A36" s="11" t="s">
        <v>88</v>
      </c>
      <c r="B36" s="132" t="s">
        <v>131</v>
      </c>
      <c r="C36" s="8" t="s">
        <v>14</v>
      </c>
      <c r="D36" s="9">
        <v>1</v>
      </c>
      <c r="E36" s="12">
        <f>0.05*HON__CEF!I103</f>
        <v>703.53778231000001</v>
      </c>
      <c r="F36" s="13">
        <f t="shared" si="3"/>
        <v>703.53778231000001</v>
      </c>
      <c r="H36" s="94">
        <v>0.05</v>
      </c>
      <c r="I36" s="94"/>
      <c r="J36" s="94"/>
      <c r="K36" s="94"/>
      <c r="L36" s="94"/>
      <c r="M36" s="94"/>
    </row>
    <row r="37" spans="1:13" ht="15">
      <c r="A37" s="11" t="s">
        <v>89</v>
      </c>
      <c r="B37" s="132" t="s">
        <v>70</v>
      </c>
      <c r="C37" s="8" t="s">
        <v>14</v>
      </c>
      <c r="D37" s="9">
        <v>1</v>
      </c>
      <c r="E37" s="12">
        <f>0.3*HON__CEF!I109</f>
        <v>5065.4720326319994</v>
      </c>
      <c r="F37" s="13">
        <f t="shared" si="3"/>
        <v>5065.4720326319994</v>
      </c>
      <c r="H37" s="94"/>
      <c r="I37" s="94">
        <v>0.3</v>
      </c>
      <c r="J37" s="94"/>
      <c r="K37" s="94"/>
      <c r="L37" s="94"/>
      <c r="M37" s="94"/>
    </row>
    <row r="38" spans="1:13" ht="15">
      <c r="A38" s="11" t="s">
        <v>90</v>
      </c>
      <c r="B38" s="132" t="s">
        <v>71</v>
      </c>
      <c r="C38" s="8" t="s">
        <v>14</v>
      </c>
      <c r="D38" s="9">
        <v>1</v>
      </c>
      <c r="E38" s="12">
        <f>0.3*HON__CEF!I104</f>
        <v>5065.4720326319994</v>
      </c>
      <c r="F38" s="13">
        <f t="shared" si="3"/>
        <v>5065.4720326319994</v>
      </c>
      <c r="H38" s="94"/>
      <c r="I38" s="94">
        <v>0.3</v>
      </c>
      <c r="J38" s="94"/>
      <c r="K38" s="94"/>
      <c r="L38" s="94"/>
      <c r="M38" s="94"/>
    </row>
    <row r="39" spans="1:13" ht="15">
      <c r="A39" s="11" t="s">
        <v>91</v>
      </c>
      <c r="B39" s="132" t="s">
        <v>72</v>
      </c>
      <c r="C39" s="8" t="s">
        <v>14</v>
      </c>
      <c r="D39" s="9">
        <v>1</v>
      </c>
      <c r="E39" s="12">
        <f>0.15*HON__CEF!I107</f>
        <v>2186.3772366041999</v>
      </c>
      <c r="F39" s="13">
        <f t="shared" si="3"/>
        <v>2186.3772366041999</v>
      </c>
      <c r="H39" s="94"/>
      <c r="I39" s="94"/>
      <c r="J39" s="94"/>
      <c r="K39" s="94"/>
      <c r="L39" s="94">
        <v>0.15</v>
      </c>
      <c r="M39" s="94"/>
    </row>
    <row r="40" spans="1:13" ht="15">
      <c r="A40" s="11" t="s">
        <v>92</v>
      </c>
      <c r="B40" s="132" t="s">
        <v>73</v>
      </c>
      <c r="C40" s="8" t="s">
        <v>14</v>
      </c>
      <c r="D40" s="9">
        <v>1</v>
      </c>
      <c r="E40" s="12">
        <f>0.15*HON__CEF!I107</f>
        <v>2186.3772366041999</v>
      </c>
      <c r="F40" s="13">
        <f t="shared" si="3"/>
        <v>2186.3772366041999</v>
      </c>
      <c r="H40" s="94"/>
      <c r="I40" s="94"/>
      <c r="J40" s="94"/>
      <c r="K40" s="94"/>
      <c r="L40" s="94">
        <v>0.15</v>
      </c>
      <c r="M40" s="94"/>
    </row>
    <row r="41" spans="1:13" ht="15">
      <c r="A41" s="11" t="s">
        <v>93</v>
      </c>
      <c r="B41" s="132" t="s">
        <v>74</v>
      </c>
      <c r="C41" s="8" t="s">
        <v>14</v>
      </c>
      <c r="D41" s="9">
        <v>1</v>
      </c>
      <c r="E41" s="12">
        <f>0.1*HON__CEF!I107</f>
        <v>1457.5848244028</v>
      </c>
      <c r="F41" s="13">
        <f t="shared" si="3"/>
        <v>1457.5848244028</v>
      </c>
      <c r="H41" s="94"/>
      <c r="I41" s="94"/>
      <c r="J41" s="94"/>
      <c r="K41" s="94"/>
      <c r="L41" s="94">
        <v>0.1</v>
      </c>
      <c r="M41" s="94"/>
    </row>
    <row r="42" spans="1:13" ht="15">
      <c r="A42" s="11" t="s">
        <v>94</v>
      </c>
      <c r="B42" s="132" t="s">
        <v>75</v>
      </c>
      <c r="C42" s="8" t="s">
        <v>14</v>
      </c>
      <c r="D42" s="9">
        <v>1</v>
      </c>
      <c r="E42" s="12">
        <f>0.05*HON__CEF!I107</f>
        <v>728.7924122014</v>
      </c>
      <c r="F42" s="13">
        <f t="shared" si="3"/>
        <v>728.7924122014</v>
      </c>
      <c r="H42" s="94"/>
      <c r="I42" s="94"/>
      <c r="J42" s="94"/>
      <c r="K42" s="94"/>
      <c r="L42" s="94">
        <v>0.05</v>
      </c>
      <c r="M42" s="94"/>
    </row>
    <row r="43" spans="1:13" ht="15">
      <c r="A43" s="11" t="s">
        <v>95</v>
      </c>
      <c r="B43" s="132" t="s">
        <v>116</v>
      </c>
      <c r="C43" s="8" t="s">
        <v>14</v>
      </c>
      <c r="D43" s="9">
        <v>1</v>
      </c>
      <c r="E43" s="12">
        <f>0.2*HON__CEF!I105</f>
        <v>6078.5664391584005</v>
      </c>
      <c r="F43" s="13">
        <f t="shared" si="3"/>
        <v>6078.5664391584005</v>
      </c>
      <c r="H43" s="94"/>
      <c r="I43" s="94"/>
      <c r="J43" s="94">
        <v>0.2</v>
      </c>
      <c r="K43" s="94"/>
      <c r="L43" s="94"/>
      <c r="M43" s="94"/>
    </row>
    <row r="44" spans="1:13" ht="15">
      <c r="A44" s="11" t="s">
        <v>96</v>
      </c>
      <c r="B44" s="132" t="s">
        <v>76</v>
      </c>
      <c r="C44" s="8" t="s">
        <v>14</v>
      </c>
      <c r="D44" s="9">
        <v>1</v>
      </c>
      <c r="E44" s="12">
        <f>0.1*HON__CEF!I105</f>
        <v>3039.2832195792002</v>
      </c>
      <c r="F44" s="13">
        <f t="shared" si="3"/>
        <v>3039.2832195792002</v>
      </c>
      <c r="H44" s="94"/>
      <c r="I44" s="94"/>
      <c r="J44" s="94">
        <v>0.1</v>
      </c>
      <c r="K44" s="94"/>
      <c r="L44" s="94"/>
      <c r="M44" s="94"/>
    </row>
    <row r="45" spans="1:13" ht="15">
      <c r="A45" s="11" t="s">
        <v>97</v>
      </c>
      <c r="B45" s="132" t="s">
        <v>77</v>
      </c>
      <c r="C45" s="8" t="s">
        <v>14</v>
      </c>
      <c r="D45" s="9">
        <v>1</v>
      </c>
      <c r="E45" s="12">
        <f>0.05*HON__CEF!I105</f>
        <v>1519.6416097896001</v>
      </c>
      <c r="F45" s="13">
        <f t="shared" si="3"/>
        <v>1519.6416097896001</v>
      </c>
      <c r="H45" s="94"/>
      <c r="I45" s="94"/>
      <c r="J45" s="94">
        <v>0.05</v>
      </c>
      <c r="K45" s="94"/>
      <c r="L45" s="94"/>
      <c r="M45" s="94"/>
    </row>
    <row r="46" spans="1:13" ht="30">
      <c r="A46" s="11" t="s">
        <v>98</v>
      </c>
      <c r="B46" s="132" t="s">
        <v>129</v>
      </c>
      <c r="C46" s="15" t="s">
        <v>14</v>
      </c>
      <c r="D46" s="9">
        <v>1</v>
      </c>
      <c r="E46" s="12">
        <f>0.1*HON__CEF!I105</f>
        <v>3039.2832195792002</v>
      </c>
      <c r="F46" s="13">
        <f t="shared" si="3"/>
        <v>3039.2832195792002</v>
      </c>
      <c r="H46" s="94"/>
      <c r="I46" s="94"/>
      <c r="J46" s="94">
        <v>0.1</v>
      </c>
      <c r="K46" s="94"/>
      <c r="L46" s="94"/>
      <c r="M46" s="94"/>
    </row>
    <row r="47" spans="1:13" ht="30">
      <c r="A47" s="11" t="s">
        <v>99</v>
      </c>
      <c r="B47" s="132" t="s">
        <v>109</v>
      </c>
      <c r="C47" s="8" t="s">
        <v>14</v>
      </c>
      <c r="D47" s="9">
        <v>1</v>
      </c>
      <c r="E47" s="12">
        <f>0.6*HON__CEF!I106</f>
        <v>10975.189404036</v>
      </c>
      <c r="F47" s="13">
        <f t="shared" si="3"/>
        <v>10975.189404036</v>
      </c>
      <c r="H47" s="94"/>
      <c r="I47" s="94"/>
      <c r="J47" s="94"/>
      <c r="K47" s="94">
        <v>0.6</v>
      </c>
      <c r="L47" s="94"/>
      <c r="M47" s="94"/>
    </row>
    <row r="48" spans="1:13" ht="15">
      <c r="A48" s="11" t="s">
        <v>100</v>
      </c>
      <c r="B48" s="132" t="s">
        <v>78</v>
      </c>
      <c r="C48" s="8" t="s">
        <v>14</v>
      </c>
      <c r="D48" s="9">
        <v>1</v>
      </c>
      <c r="E48" s="12">
        <f>0.1*HON__CEF!I107</f>
        <v>1457.5848244028</v>
      </c>
      <c r="F48" s="13">
        <f t="shared" si="3"/>
        <v>1457.5848244028</v>
      </c>
      <c r="H48" s="94"/>
      <c r="I48" s="94"/>
      <c r="J48" s="94"/>
      <c r="K48" s="94"/>
      <c r="L48" s="94">
        <v>0.1</v>
      </c>
      <c r="M48" s="94"/>
    </row>
    <row r="49" spans="1:13" ht="15">
      <c r="A49" s="11" t="s">
        <v>101</v>
      </c>
      <c r="B49" s="132" t="s">
        <v>79</v>
      </c>
      <c r="C49" s="8" t="s">
        <v>14</v>
      </c>
      <c r="D49" s="9">
        <v>1</v>
      </c>
      <c r="E49" s="12">
        <f>0.06*HON__CEF!I105</f>
        <v>1823.5699317475201</v>
      </c>
      <c r="F49" s="13">
        <f t="shared" si="3"/>
        <v>1823.5699317475201</v>
      </c>
      <c r="H49" s="94"/>
      <c r="I49" s="94"/>
      <c r="J49" s="94">
        <v>0.06</v>
      </c>
      <c r="K49" s="94"/>
      <c r="L49" s="94"/>
      <c r="M49" s="94"/>
    </row>
    <row r="50" spans="1:13" ht="15">
      <c r="A50" s="11" t="s">
        <v>102</v>
      </c>
      <c r="B50" s="132" t="s">
        <v>80</v>
      </c>
      <c r="C50" s="8" t="s">
        <v>14</v>
      </c>
      <c r="D50" s="9">
        <v>1</v>
      </c>
      <c r="E50" s="12">
        <f>0.04*HON__CEF!I105</f>
        <v>1215.7132878316802</v>
      </c>
      <c r="F50" s="13">
        <f t="shared" si="3"/>
        <v>1215.7132878316802</v>
      </c>
      <c r="H50" s="94"/>
      <c r="I50" s="94"/>
      <c r="J50" s="94">
        <v>0.04</v>
      </c>
      <c r="K50" s="94"/>
      <c r="L50" s="94"/>
      <c r="M50" s="94"/>
    </row>
    <row r="51" spans="1:13" ht="15">
      <c r="A51" s="11" t="s">
        <v>103</v>
      </c>
      <c r="B51" s="132" t="s">
        <v>81</v>
      </c>
      <c r="C51" s="8" t="s">
        <v>14</v>
      </c>
      <c r="D51" s="9">
        <v>1</v>
      </c>
      <c r="E51" s="12">
        <f>0.3*HON__CEF!I108</f>
        <v>3376.9813550879999</v>
      </c>
      <c r="F51" s="13">
        <f t="shared" si="3"/>
        <v>3376.9813550879999</v>
      </c>
      <c r="H51" s="94"/>
      <c r="I51" s="94"/>
      <c r="J51" s="94"/>
      <c r="K51" s="94"/>
      <c r="L51" s="94"/>
      <c r="M51" s="94">
        <v>0.3</v>
      </c>
    </row>
    <row r="52" spans="1:13" ht="15">
      <c r="A52" s="11" t="s">
        <v>104</v>
      </c>
      <c r="B52" s="132" t="s">
        <v>110</v>
      </c>
      <c r="C52" s="8" t="s">
        <v>14</v>
      </c>
      <c r="D52" s="9">
        <v>1</v>
      </c>
      <c r="E52" s="12">
        <f>0.3*HON__CEF!I108</f>
        <v>3376.9813550879999</v>
      </c>
      <c r="F52" s="13">
        <f t="shared" si="3"/>
        <v>3376.9813550879999</v>
      </c>
      <c r="H52" s="94"/>
      <c r="I52" s="94"/>
      <c r="J52" s="94"/>
      <c r="K52" s="94"/>
      <c r="L52" s="94"/>
      <c r="M52" s="94">
        <v>0.3</v>
      </c>
    </row>
    <row r="53" spans="1:13" ht="15">
      <c r="A53" s="11" t="s">
        <v>105</v>
      </c>
      <c r="B53" s="132" t="s">
        <v>82</v>
      </c>
      <c r="C53" s="8" t="s">
        <v>14</v>
      </c>
      <c r="D53" s="9">
        <v>1</v>
      </c>
      <c r="E53" s="12">
        <f>0.1*HON__CEF!I108</f>
        <v>1125.6604516960001</v>
      </c>
      <c r="F53" s="13">
        <f t="shared" si="3"/>
        <v>1125.6604516960001</v>
      </c>
      <c r="H53" s="94"/>
      <c r="I53" s="94"/>
      <c r="J53" s="94"/>
      <c r="K53" s="94"/>
      <c r="L53" s="94"/>
      <c r="M53" s="94">
        <v>0.1</v>
      </c>
    </row>
    <row r="54" spans="1:13" ht="45">
      <c r="A54" s="11" t="s">
        <v>130</v>
      </c>
      <c r="B54" s="132" t="s">
        <v>128</v>
      </c>
      <c r="C54" s="15" t="s">
        <v>14</v>
      </c>
      <c r="D54" s="9">
        <v>1</v>
      </c>
      <c r="E54" s="66">
        <f>0.3*HON__CEF!I108</f>
        <v>3376.9813550879999</v>
      </c>
      <c r="F54" s="13">
        <f t="shared" si="3"/>
        <v>3376.9813550879999</v>
      </c>
      <c r="H54" s="94"/>
      <c r="I54" s="94"/>
      <c r="J54" s="94"/>
      <c r="K54" s="94"/>
      <c r="L54" s="94"/>
      <c r="M54" s="94">
        <v>0.3</v>
      </c>
    </row>
    <row r="55" spans="1:13" ht="15">
      <c r="A55" s="67"/>
      <c r="B55" s="14"/>
      <c r="C55" s="68"/>
      <c r="D55" s="69"/>
      <c r="E55" s="70"/>
      <c r="F55" s="71"/>
      <c r="H55" s="94"/>
      <c r="I55" s="94"/>
      <c r="J55" s="94"/>
      <c r="K55" s="94"/>
      <c r="L55" s="94"/>
      <c r="M55" s="94"/>
    </row>
    <row r="56" spans="1:13" ht="15.75">
      <c r="A56" s="72"/>
      <c r="B56" s="73" t="s">
        <v>17</v>
      </c>
      <c r="C56" s="74"/>
      <c r="D56" s="75"/>
      <c r="E56" s="76"/>
      <c r="F56" s="77">
        <f>SUM(F31:F55)</f>
        <v>64412.305164184996</v>
      </c>
      <c r="H56" s="94"/>
      <c r="I56" s="94"/>
      <c r="J56" s="94"/>
      <c r="K56" s="94"/>
      <c r="L56" s="94"/>
      <c r="M56" s="94"/>
    </row>
    <row r="57" spans="1:13" ht="15">
      <c r="A57" s="27"/>
      <c r="B57" s="19"/>
      <c r="C57" s="20"/>
      <c r="D57" s="24"/>
      <c r="E57" s="21"/>
      <c r="F57" s="28"/>
      <c r="H57" s="94"/>
      <c r="I57" s="94"/>
      <c r="J57" s="94"/>
      <c r="K57" s="94"/>
      <c r="L57" s="94"/>
      <c r="M57" s="94"/>
    </row>
    <row r="58" spans="1:13" ht="15.75">
      <c r="A58" s="27"/>
      <c r="B58" s="29" t="s">
        <v>19</v>
      </c>
      <c r="C58" s="20"/>
      <c r="D58" s="24"/>
      <c r="E58" s="21"/>
      <c r="F58" s="17">
        <f>+F20+F28+F56</f>
        <v>98889.684432253824</v>
      </c>
      <c r="H58" s="94"/>
      <c r="I58" s="94"/>
      <c r="J58" s="94"/>
      <c r="K58" s="94"/>
      <c r="L58" s="94"/>
      <c r="M58" s="94"/>
    </row>
    <row r="59" spans="1:13" ht="15.75">
      <c r="A59" s="27"/>
      <c r="B59" s="29" t="s">
        <v>20</v>
      </c>
      <c r="C59" s="20" t="s">
        <v>10</v>
      </c>
      <c r="D59" s="88">
        <v>19.12</v>
      </c>
      <c r="E59" s="21"/>
      <c r="F59" s="17">
        <f>F58*D59/100</f>
        <v>18907.707663446934</v>
      </c>
      <c r="H59" s="94"/>
      <c r="I59" s="94"/>
      <c r="J59" s="94"/>
      <c r="K59" s="94"/>
      <c r="L59" s="94"/>
      <c r="M59" s="94"/>
    </row>
    <row r="60" spans="1:13" ht="16.5" thickBot="1">
      <c r="A60" s="30"/>
      <c r="B60" s="31" t="s">
        <v>21</v>
      </c>
      <c r="C60" s="32"/>
      <c r="D60" s="33"/>
      <c r="E60" s="34"/>
      <c r="F60" s="35">
        <f>F58+F59</f>
        <v>117797.39209570075</v>
      </c>
    </row>
  </sheetData>
  <mergeCells count="6">
    <mergeCell ref="A2:F2"/>
    <mergeCell ref="A3:F3"/>
    <mergeCell ref="A4:D4"/>
    <mergeCell ref="E4:F4"/>
    <mergeCell ref="A5:D5"/>
    <mergeCell ref="E5:F5"/>
  </mergeCells>
  <pageMargins left="0.62992125984251968" right="0.51181102362204722" top="0.55118110236220474" bottom="0.78740157480314965" header="0.31496062992125984" footer="0.31496062992125984"/>
  <pageSetup paperSize="9" scale="46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3"/>
  <sheetViews>
    <sheetView topLeftCell="C91" workbookViewId="0">
      <selection activeCell="J103" sqref="J103"/>
    </sheetView>
  </sheetViews>
  <sheetFormatPr defaultRowHeight="12.75"/>
  <cols>
    <col min="1" max="1" width="20.140625" style="36" customWidth="1"/>
    <col min="2" max="2" width="11.42578125" style="36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3.85546875" style="36" customWidth="1"/>
    <col min="12" max="12" width="12" style="36" bestFit="1" customWidth="1"/>
    <col min="13" max="13" width="14.42578125" style="36" customWidth="1"/>
    <col min="14" max="14" width="12.7109375" style="36" customWidth="1"/>
    <col min="15" max="15" width="12" style="36" customWidth="1"/>
    <col min="16" max="16" width="14" style="36" customWidth="1"/>
    <col min="17" max="17" width="13" style="36" customWidth="1"/>
    <col min="18" max="18" width="3.7109375" style="36" customWidth="1"/>
    <col min="19" max="19" width="5.42578125" style="36" customWidth="1"/>
    <col min="20" max="16384" width="9.140625" style="36"/>
  </cols>
  <sheetData>
    <row r="1" spans="1:20">
      <c r="D1" s="37"/>
      <c r="E1" s="37"/>
      <c r="H1" s="37"/>
    </row>
    <row r="2" spans="1:20">
      <c r="A2" s="37"/>
      <c r="B2" s="37"/>
      <c r="C2" s="96"/>
      <c r="D2" s="61"/>
      <c r="E2" s="37"/>
      <c r="G2" s="37"/>
      <c r="H2" s="78"/>
      <c r="I2" s="58"/>
    </row>
    <row r="3" spans="1:20" ht="12.75" customHeight="1">
      <c r="A3" s="89"/>
      <c r="B3" s="90"/>
      <c r="C3" s="40"/>
      <c r="D3" s="40"/>
      <c r="E3" s="41"/>
      <c r="H3" s="41"/>
      <c r="I3" s="192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39"/>
    </row>
    <row r="4" spans="1:20" ht="15.75">
      <c r="A4" s="89"/>
      <c r="B4" s="90"/>
      <c r="C4" s="40"/>
      <c r="D4" s="187" t="s">
        <v>256</v>
      </c>
      <c r="E4" s="187"/>
      <c r="F4" s="187"/>
      <c r="G4" s="187"/>
      <c r="H4" s="41"/>
      <c r="I4" s="192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39"/>
    </row>
    <row r="5" spans="1:20">
      <c r="B5" s="90"/>
      <c r="C5" s="40"/>
      <c r="D5" s="40"/>
      <c r="E5" s="41"/>
      <c r="H5" s="41"/>
      <c r="I5" s="192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39"/>
    </row>
    <row r="6" spans="1:20">
      <c r="B6" s="90"/>
      <c r="C6" s="40"/>
      <c r="D6" s="40"/>
      <c r="E6" s="41"/>
      <c r="H6" s="41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39"/>
    </row>
    <row r="7" spans="1:20">
      <c r="B7" s="90"/>
      <c r="C7" s="40"/>
      <c r="D7" s="40"/>
      <c r="E7" s="41"/>
      <c r="H7" s="41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39"/>
    </row>
    <row r="8" spans="1:20">
      <c r="B8" s="90"/>
      <c r="C8" s="40"/>
      <c r="D8" s="40"/>
      <c r="E8" s="41"/>
      <c r="H8" s="41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39"/>
    </row>
    <row r="9" spans="1:20">
      <c r="D9" s="42"/>
      <c r="E9" s="42"/>
      <c r="H9" s="42"/>
      <c r="I9" s="38"/>
    </row>
    <row r="10" spans="1:20">
      <c r="E10" s="41"/>
      <c r="H10" s="41"/>
    </row>
    <row r="11" spans="1:20">
      <c r="E11" s="43"/>
      <c r="H11" s="43"/>
      <c r="I11" s="43"/>
    </row>
    <row r="12" spans="1:20">
      <c r="A12" s="194"/>
      <c r="B12" s="194"/>
      <c r="C12" s="127"/>
      <c r="G12" s="44"/>
      <c r="H12" s="45"/>
      <c r="I12" s="40"/>
    </row>
    <row r="13" spans="1:20" ht="13.5" thickBot="1">
      <c r="A13" s="128"/>
      <c r="B13" s="129"/>
      <c r="C13" s="115"/>
      <c r="G13" s="44"/>
      <c r="H13" s="45"/>
      <c r="I13" s="40"/>
    </row>
    <row r="14" spans="1:20" ht="35.25" customHeight="1">
      <c r="A14" s="130"/>
      <c r="B14" s="113"/>
      <c r="C14" s="113"/>
      <c r="H14" s="124"/>
      <c r="I14" s="122" t="s">
        <v>250</v>
      </c>
      <c r="J14" s="151" t="s">
        <v>219</v>
      </c>
      <c r="K14" s="151" t="s">
        <v>220</v>
      </c>
      <c r="L14" s="151" t="s">
        <v>221</v>
      </c>
      <c r="M14" s="151" t="s">
        <v>223</v>
      </c>
      <c r="N14" s="151" t="s">
        <v>224</v>
      </c>
      <c r="O14" s="151" t="s">
        <v>225</v>
      </c>
      <c r="P14" s="79"/>
    </row>
    <row r="15" spans="1:20">
      <c r="H15" s="125" t="s">
        <v>27</v>
      </c>
      <c r="I15" s="120">
        <f>(J15+K15+L15+M15+N15+O15)/6</f>
        <v>24081.832596963341</v>
      </c>
      <c r="J15" s="121">
        <f>'HON__CEF (MS-CORUMBA)'!I20*0.6</f>
        <v>47187.739997880009</v>
      </c>
      <c r="K15" s="121">
        <f>('HON__CEF (MS-PONTA PORÃ)'!I20)*0.25</f>
        <v>19661.558332450004</v>
      </c>
      <c r="L15" s="121">
        <f>('HON__CEF (AM-TABATINGA)'!I20)*0.25</f>
        <v>18657.0222541</v>
      </c>
      <c r="M15" s="121">
        <f>('HON__CEF (MT-RONDONÓPOLIS)'!I20)*0.25</f>
        <v>19661.558332450004</v>
      </c>
      <c r="N15" s="121">
        <f>('HON__CEF (MT-SINOP)'!I20)*0.25</f>
        <v>19661.558332450004</v>
      </c>
      <c r="O15" s="121">
        <f>('HON__CEF (PA-SANTARÉM)'!I20)*0.25</f>
        <v>19661.558332450004</v>
      </c>
      <c r="P15" s="79"/>
    </row>
    <row r="16" spans="1:20">
      <c r="H16" s="48" t="s">
        <v>32</v>
      </c>
      <c r="I16" s="120">
        <f>(J16+K16+L16+M16+N16+O16)/6</f>
        <v>8797.4744456850003</v>
      </c>
      <c r="J16" s="121">
        <f>'HON__CEF (MS-CORUMBA)'!I21</f>
        <v>23593.869998940001</v>
      </c>
      <c r="K16" s="121">
        <f>('HON__CEF (MS-PONTA PORÃ)'!I21)*0.25</f>
        <v>5898.4674997350003</v>
      </c>
      <c r="L16" s="121">
        <f>('HON__CEF (AM-TABATINGA)'!I21)*0.25</f>
        <v>5597.1066762299997</v>
      </c>
      <c r="M16" s="121">
        <f>('HON__CEF (MT-RONDONÓPOLIS)'!I21)*0.25</f>
        <v>5898.4674997350003</v>
      </c>
      <c r="N16" s="121">
        <f>('HON__CEF (MT-SINOP)'!I21)*0.25</f>
        <v>5898.4674997350003</v>
      </c>
      <c r="O16" s="121">
        <f>('HON__CEF (PA-SANTARÉM)'!I21)*0.25</f>
        <v>5898.4674997350003</v>
      </c>
      <c r="P16" s="79"/>
    </row>
    <row r="17" spans="1:17">
      <c r="A17" s="79"/>
      <c r="B17" s="79"/>
      <c r="C17" s="79"/>
      <c r="D17" s="79"/>
      <c r="E17" s="79"/>
      <c r="F17" s="79"/>
      <c r="H17" s="48" t="s">
        <v>33</v>
      </c>
      <c r="I17" s="120">
        <f>(J17+K17+L17+M17+N17+O17)/6</f>
        <v>15835.454002233004</v>
      </c>
      <c r="J17" s="121">
        <f>'HON__CEF (MS-CORUMBA)'!I22</f>
        <v>42468.965998092004</v>
      </c>
      <c r="K17" s="121">
        <f>('HON__CEF (MS-PONTA PORÃ)'!I22)*0.25</f>
        <v>10617.241499523001</v>
      </c>
      <c r="L17" s="121">
        <f>('HON__CEF (AM-TABATINGA)'!I22)*0.25</f>
        <v>10074.792017214002</v>
      </c>
      <c r="M17" s="121">
        <f>('HON__CEF (MT-RONDONÓPOLIS)'!I22)*0.25</f>
        <v>10617.241499523001</v>
      </c>
      <c r="N17" s="121">
        <f>('HON__CEF (MT-SINOP)'!I22)*0.25</f>
        <v>10617.241499523001</v>
      </c>
      <c r="O17" s="121">
        <f>('HON__CEF (PA-SANTARÉM)'!I22)*0.25</f>
        <v>10617.241499523001</v>
      </c>
      <c r="P17" s="79"/>
    </row>
    <row r="18" spans="1:17">
      <c r="A18" s="80"/>
      <c r="B18" s="81"/>
      <c r="C18" s="81"/>
      <c r="D18" s="80"/>
      <c r="E18" s="81"/>
      <c r="F18" s="79"/>
      <c r="H18" s="50" t="s">
        <v>29</v>
      </c>
      <c r="I18" s="120">
        <f t="shared" ref="I18:I20" si="0">(J18+K18+L18+M18+N18+O18)/6</f>
        <v>9530.5973161587499</v>
      </c>
      <c r="J18" s="121">
        <f>'HON__CEF (MS-CORUMBA)'!I23</f>
        <v>25560.025832185001</v>
      </c>
      <c r="K18" s="121">
        <f>('HON__CEF (MS-PONTA PORÃ)'!I23)*0.25</f>
        <v>6390.0064580462504</v>
      </c>
      <c r="L18" s="121">
        <f>('HON__CEF (AM-TABATINGA)'!I23)*0.25</f>
        <v>6063.5322325825</v>
      </c>
      <c r="M18" s="121">
        <f>('HON__CEF (MT-RONDONÓPOLIS)'!I23)*0.25</f>
        <v>6390.0064580462504</v>
      </c>
      <c r="N18" s="121">
        <f>('HON__CEF (MT-SINOP)'!I23)*0.25</f>
        <v>6390.0064580462504</v>
      </c>
      <c r="O18" s="121">
        <f>('HON__CEF (PA-SANTARÉM)'!I23)*0.25</f>
        <v>6390.0064580462504</v>
      </c>
      <c r="P18" s="79"/>
    </row>
    <row r="19" spans="1:17">
      <c r="A19" s="79"/>
      <c r="B19" s="82"/>
      <c r="C19" s="83"/>
      <c r="D19" s="83"/>
      <c r="E19" s="84"/>
      <c r="F19" s="79"/>
      <c r="H19" s="48" t="s">
        <v>30</v>
      </c>
      <c r="I19" s="120">
        <f t="shared" si="0"/>
        <v>8101.9950347632912</v>
      </c>
      <c r="J19" s="121">
        <f>'HON__CEF (MS-CORUMBA)'!I24</f>
        <v>21728.669831603962</v>
      </c>
      <c r="K19" s="121">
        <f>('HON__CEF (MS-PONTA PORÃ)'!I24)*0.25</f>
        <v>5432.1674579009905</v>
      </c>
      <c r="L19" s="121">
        <f>('HON__CEF (AM-TABATINGA)'!I24)*0.25</f>
        <v>5154.6305453718196</v>
      </c>
      <c r="M19" s="121">
        <f>('HON__CEF (MT-RONDONÓPOLIS)'!I24)*0.25</f>
        <v>5432.1674579009905</v>
      </c>
      <c r="N19" s="121">
        <f>('HON__CEF (MT-SINOP)'!I24)*0.25</f>
        <v>5432.1674579009905</v>
      </c>
      <c r="O19" s="121">
        <f>('HON__CEF (PA-SANTARÉM)'!I24)*0.25</f>
        <v>5432.1674579009905</v>
      </c>
      <c r="P19" s="79"/>
    </row>
    <row r="20" spans="1:17" ht="13.5" thickBot="1">
      <c r="A20" s="79"/>
      <c r="B20" s="82"/>
      <c r="C20" s="83"/>
      <c r="D20" s="83"/>
      <c r="E20" s="84"/>
      <c r="F20" s="79"/>
      <c r="H20" s="126" t="s">
        <v>34</v>
      </c>
      <c r="I20" s="120">
        <f t="shared" si="0"/>
        <v>5864.9829637900011</v>
      </c>
      <c r="J20" s="123">
        <f>'HON__CEF (MS-CORUMBA)'!I25</f>
        <v>15729.246665960003</v>
      </c>
      <c r="K20" s="123">
        <f>('HON__CEF (MS-PONTA PORÃ)'!I25)*0.25</f>
        <v>3932.3116664900008</v>
      </c>
      <c r="L20" s="123">
        <f>('HON__CEF (AM-TABATINGA)'!I25)*0.25</f>
        <v>3731.40445082</v>
      </c>
      <c r="M20" s="121">
        <f>('HON__CEF (MT-RONDONÓPOLIS)'!I25)*0.25</f>
        <v>3932.3116664900008</v>
      </c>
      <c r="N20" s="121">
        <f>('HON__CEF (MT-SINOP)'!I25)*0.25</f>
        <v>3932.3116664900008</v>
      </c>
      <c r="O20" s="121">
        <f>('HON__CEF (PA-SANTARÉM)'!I25)*0.25</f>
        <v>3932.3116664900008</v>
      </c>
      <c r="P20" s="79"/>
    </row>
    <row r="21" spans="1:17">
      <c r="A21" s="79"/>
      <c r="B21" s="82"/>
      <c r="C21" s="83"/>
      <c r="D21" s="83"/>
      <c r="E21" s="84"/>
      <c r="F21" s="79"/>
      <c r="G21" s="131" t="s">
        <v>208</v>
      </c>
      <c r="I21" s="84">
        <f>('HON__CEF (MS-CORUMBA)'!I21+'HON__CEF (MS-PONTA PORÃ)'!I21+'HON__CEF (AM-TABATINGA)'!I21+'HON__CEF (MT-RONDONÓPOLIS)'!I21+'HON__CEF (MT-SINOP)'!I21+'HON__CEF (PA-SANTARÉM)'!I21)/6</f>
        <v>23392.962783270003</v>
      </c>
      <c r="J21" s="84"/>
      <c r="K21" s="79"/>
      <c r="L21" s="79"/>
      <c r="M21" s="79"/>
      <c r="N21" s="79"/>
      <c r="O21" s="79"/>
      <c r="P21" s="79"/>
    </row>
    <row r="22" spans="1:17">
      <c r="A22" s="79"/>
      <c r="B22" s="82"/>
      <c r="C22" s="83"/>
      <c r="D22" s="83"/>
      <c r="E22" s="84"/>
      <c r="F22" s="79"/>
      <c r="H22" s="79"/>
      <c r="I22" s="86">
        <f>SUM(I15:I20)*6</f>
        <v>433274.01815756038</v>
      </c>
      <c r="J22" s="84">
        <f>'Plan. Geral - PARTE A'!F60</f>
        <v>565722.80251369916</v>
      </c>
      <c r="K22" s="79"/>
      <c r="L22" s="79"/>
      <c r="M22" s="79"/>
      <c r="N22" s="79"/>
      <c r="O22" s="79"/>
      <c r="P22" s="79"/>
    </row>
    <row r="23" spans="1:17">
      <c r="A23" s="79"/>
      <c r="B23" s="82"/>
      <c r="C23" s="83"/>
      <c r="D23" s="83"/>
      <c r="E23" s="84"/>
      <c r="F23" s="79"/>
      <c r="I23" s="41"/>
      <c r="J23" s="41"/>
    </row>
    <row r="24" spans="1:17">
      <c r="A24" s="79"/>
      <c r="B24" s="82"/>
      <c r="C24" s="83"/>
      <c r="D24" s="83"/>
      <c r="E24" s="84"/>
      <c r="F24" s="79"/>
      <c r="H24" s="44" t="s">
        <v>49</v>
      </c>
      <c r="I24" s="42">
        <f>I22/('HON__CEF (MS-CORUMBA)'!B5+'HON__CEF (MS-PONTA PORÃ)'!B5+'HON__CEF (AM-TABATINGA)'!B5+'HON__CEF (MT-RONDONÓPOLIS)'!B5+'HON__CEF (MT-SINOP)'!B5+'HON__CEF (PA-SANTARÉM)'!B5)</f>
        <v>23.854970817204819</v>
      </c>
      <c r="J24" s="41">
        <f>J22/('HON__CEF (MS-CORUMBA)'!B5+'HON__CEF (MS-PONTA PORÃ)'!B5+'HON__CEF (AM-TABATINGA)'!B5+'HON__CEF (RR-PACARAIMA)'!B5)</f>
        <v>50.744024565836227</v>
      </c>
    </row>
    <row r="25" spans="1:17" ht="13.5" thickBot="1">
      <c r="A25" s="79"/>
      <c r="B25" s="188"/>
      <c r="C25" s="188"/>
      <c r="D25" s="85"/>
      <c r="E25" s="86"/>
      <c r="F25" s="79"/>
    </row>
    <row r="26" spans="1:17" ht="43.5" customHeight="1">
      <c r="A26" s="79"/>
      <c r="B26" s="140"/>
      <c r="C26" s="140"/>
      <c r="D26" s="85"/>
      <c r="E26" s="86"/>
      <c r="F26" s="79"/>
      <c r="H26" s="124"/>
      <c r="I26" s="152" t="s">
        <v>251</v>
      </c>
      <c r="J26" s="151" t="s">
        <v>226</v>
      </c>
      <c r="K26" s="151" t="s">
        <v>227</v>
      </c>
      <c r="L26" s="151" t="s">
        <v>228</v>
      </c>
      <c r="M26" s="151" t="s">
        <v>229</v>
      </c>
      <c r="N26" s="151" t="s">
        <v>230</v>
      </c>
      <c r="O26" s="151" t="s">
        <v>231</v>
      </c>
      <c r="P26" s="151" t="s">
        <v>222</v>
      </c>
      <c r="Q26" s="151" t="s">
        <v>232</v>
      </c>
    </row>
    <row r="27" spans="1:17">
      <c r="A27" s="79"/>
      <c r="B27" s="140"/>
      <c r="C27" s="140"/>
      <c r="D27" s="85"/>
      <c r="E27" s="86"/>
      <c r="F27" s="79"/>
      <c r="H27" s="125" t="s">
        <v>27</v>
      </c>
      <c r="I27" s="120">
        <f>(J27+K27+L27+M27+N27+O27+P27+Q27)/8</f>
        <v>17021.479215918105</v>
      </c>
      <c r="J27" s="121">
        <f>'HON__CEF (AC-CRUZ DO SUL)'!I21*0.6</f>
        <v>34931.075057788803</v>
      </c>
      <c r="K27" s="121">
        <f>('HON__CEF (AP-OIAPOQUE)'!I21)*0.25</f>
        <v>14554.614607412002</v>
      </c>
      <c r="L27" s="121">
        <f>('HON__CEF (PA-ALTAMIRA)'!I21)*0.25</f>
        <v>11379.746849636002</v>
      </c>
      <c r="M27" s="121">
        <f>('HON__CEF (PA-MARABÁ)'!I21)*0.25</f>
        <v>14554.614607412002</v>
      </c>
      <c r="N27" s="121">
        <f>('HON__CEF (RO-GUAJARÁ-MIRIM)'!I21)*0.25</f>
        <v>14554.614607412002</v>
      </c>
      <c r="O27" s="121">
        <f>('HON__CEF (RO-VILHENA)'!I21)*0.25</f>
        <v>14554.614607412002</v>
      </c>
      <c r="P27" s="121">
        <f>('HON__CEF (RR-PACARAIMA)'!I21)*0.25</f>
        <v>14554.614607412002</v>
      </c>
      <c r="Q27" s="121">
        <f>('HON__CEF (RS-URUGUAIANA)'!I21)*0.25</f>
        <v>17087.938782860005</v>
      </c>
    </row>
    <row r="28" spans="1:17">
      <c r="A28" s="79"/>
      <c r="B28" s="140"/>
      <c r="C28" s="140"/>
      <c r="D28" s="85"/>
      <c r="E28" s="86"/>
      <c r="F28" s="79"/>
      <c r="H28" s="48" t="s">
        <v>32</v>
      </c>
      <c r="I28" s="120">
        <f t="shared" ref="I28:I32" si="1">(J28+K28+L28+M28+N28+O28+P28+Q28)/8</f>
        <v>5979.7206412201504</v>
      </c>
      <c r="J28" s="121">
        <f>'HON__CEF (AC-CRUZ DO SUL)'!I22</f>
        <v>17465.537528894401</v>
      </c>
      <c r="K28" s="121">
        <f>('HON__CEF (AP-OIAPOQUE)'!I22)*0.25</f>
        <v>4366.3843822236004</v>
      </c>
      <c r="L28" s="121">
        <f>('HON__CEF (PA-ALTAMIRA)'!I22)*0.25</f>
        <v>3413.9240548907997</v>
      </c>
      <c r="M28" s="121">
        <f>('HON__CEF (PA-MARABÁ)'!I22)*0.25</f>
        <v>4366.3843822236004</v>
      </c>
      <c r="N28" s="121">
        <f>('HON__CEF (RO-GUAJARÁ-MIRIM)'!I22)*0.25</f>
        <v>4366.3843822236004</v>
      </c>
      <c r="O28" s="121">
        <f>('HON__CEF (RO-VILHENA)'!I22)*0.25</f>
        <v>4366.3843822236004</v>
      </c>
      <c r="P28" s="121">
        <f>('HON__CEF (RR-PACARAIMA)'!I22)*0.25</f>
        <v>4366.3843822236004</v>
      </c>
      <c r="Q28" s="121">
        <f>('HON__CEF (RS-URUGUAIANA)'!I22)*0.25</f>
        <v>5126.3816348580012</v>
      </c>
    </row>
    <row r="29" spans="1:17">
      <c r="A29" s="79"/>
      <c r="B29" s="140"/>
      <c r="C29" s="140"/>
      <c r="D29" s="85"/>
      <c r="E29" s="86"/>
      <c r="F29" s="79"/>
      <c r="H29" s="48" t="s">
        <v>33</v>
      </c>
      <c r="I29" s="120">
        <f t="shared" si="1"/>
        <v>10763.497154196271</v>
      </c>
      <c r="J29" s="121">
        <f>'HON__CEF (AC-CRUZ DO SUL)'!I23</f>
        <v>31437.967552009926</v>
      </c>
      <c r="K29" s="121">
        <f>('HON__CEF (AP-OIAPOQUE)'!I23)*0.25</f>
        <v>7859.4918880024816</v>
      </c>
      <c r="L29" s="121">
        <f>('HON__CEF (PA-ALTAMIRA)'!I23)*0.25</f>
        <v>6145.0632988034413</v>
      </c>
      <c r="M29" s="121">
        <f>('HON__CEF (PA-MARABÁ)'!I23)*0.25</f>
        <v>7859.4918880024816</v>
      </c>
      <c r="N29" s="121">
        <f>('HON__CEF (RO-GUAJARÁ-MIRIM)'!I23)*0.25</f>
        <v>7859.4918880024816</v>
      </c>
      <c r="O29" s="121">
        <f>('HON__CEF (RO-VILHENA)'!I23)*0.25</f>
        <v>7859.4918880024816</v>
      </c>
      <c r="P29" s="121">
        <f>('HON__CEF (RR-PACARAIMA)'!I23)*0.25</f>
        <v>7859.4918880024816</v>
      </c>
      <c r="Q29" s="121">
        <f>('HON__CEF (RS-URUGUAIANA)'!I23)*0.25</f>
        <v>9227.4869427444028</v>
      </c>
    </row>
    <row r="30" spans="1:17">
      <c r="A30" s="79"/>
      <c r="B30" s="140"/>
      <c r="C30" s="140"/>
      <c r="D30" s="85"/>
      <c r="E30" s="86"/>
      <c r="F30" s="79"/>
      <c r="H30" s="50" t="s">
        <v>29</v>
      </c>
      <c r="I30" s="120">
        <f t="shared" si="1"/>
        <v>6478.0306946551636</v>
      </c>
      <c r="J30" s="121">
        <f>'HON__CEF (AC-CRUZ DO SUL)'!I24</f>
        <v>18920.998989635602</v>
      </c>
      <c r="K30" s="121">
        <f>('HON__CEF (AP-OIAPOQUE)'!I24)*0.25</f>
        <v>4730.2497474089005</v>
      </c>
      <c r="L30" s="121">
        <f>('HON__CEF (PA-ALTAMIRA)'!I24)*0.25</f>
        <v>3698.4177261317004</v>
      </c>
      <c r="M30" s="121">
        <f>('HON__CEF (PA-MARABÁ)'!I24)*0.25</f>
        <v>4730.2497474089005</v>
      </c>
      <c r="N30" s="121">
        <f>('HON__CEF (RO-GUAJARÁ-MIRIM)'!I24)*0.25</f>
        <v>4730.2497474089005</v>
      </c>
      <c r="O30" s="121">
        <f>('HON__CEF (RO-VILHENA)'!I24)*0.25</f>
        <v>4730.2497474089005</v>
      </c>
      <c r="P30" s="121">
        <f>('HON__CEF (RR-PACARAIMA)'!I24)*0.25</f>
        <v>4730.2497474089005</v>
      </c>
      <c r="Q30" s="121">
        <f>('HON__CEF (RS-URUGUAIANA)'!I24)*0.25</f>
        <v>5553.5801044295013</v>
      </c>
    </row>
    <row r="31" spans="1:17">
      <c r="A31" s="79"/>
      <c r="B31" s="140"/>
      <c r="C31" s="140"/>
      <c r="D31" s="85"/>
      <c r="E31" s="86"/>
      <c r="F31" s="79"/>
      <c r="H31" s="48" t="s">
        <v>30</v>
      </c>
      <c r="I31" s="120">
        <f t="shared" si="1"/>
        <v>5155.2888222578677</v>
      </c>
      <c r="J31" s="121">
        <f>'HON__CEF (AC-CRUZ DO SUL)'!I25</f>
        <v>15030.67566756728</v>
      </c>
      <c r="K31" s="121">
        <f>('HON__CEF (AP-OIAPOQUE)'!I25)*0.25</f>
        <v>3757.6689168918201</v>
      </c>
      <c r="L31" s="121">
        <f>('HON__CEF (PA-ALTAMIRA)'!I25)*0.25</f>
        <v>3011.57499381446</v>
      </c>
      <c r="M31" s="121">
        <f>('HON__CEF (PA-MARABÁ)'!I25)*0.25</f>
        <v>3757.6689168918201</v>
      </c>
      <c r="N31" s="121">
        <f>('HON__CEF (RO-GUAJARÁ-MIRIM)'!I25)*0.25</f>
        <v>3757.6689168918201</v>
      </c>
      <c r="O31" s="121">
        <f>('HON__CEF (RO-VILHENA)'!I25)*0.25</f>
        <v>3757.6689168918201</v>
      </c>
      <c r="P31" s="121">
        <f>('HON__CEF (RR-PACARAIMA)'!I25)*0.25</f>
        <v>3757.6689168918201</v>
      </c>
      <c r="Q31" s="121">
        <f>('HON__CEF (RS-URUGUAIANA)'!I25)*0.25</f>
        <v>4411.7153322221011</v>
      </c>
    </row>
    <row r="32" spans="1:17" ht="13.5" thickBot="1">
      <c r="A32" s="79"/>
      <c r="B32" s="140"/>
      <c r="C32" s="140"/>
      <c r="D32" s="85"/>
      <c r="E32" s="86"/>
      <c r="F32" s="79"/>
      <c r="H32" s="126" t="s">
        <v>34</v>
      </c>
      <c r="I32" s="120">
        <f t="shared" si="1"/>
        <v>3986.4804274801008</v>
      </c>
      <c r="J32" s="121">
        <f>'HON__CEF (AC-CRUZ DO SUL)'!I26</f>
        <v>11643.691685929602</v>
      </c>
      <c r="K32" s="121">
        <f>('HON__CEF (AP-OIAPOQUE)'!I26)*0.25</f>
        <v>2910.9229214824004</v>
      </c>
      <c r="L32" s="121">
        <f>('HON__CEF (PA-ALTAMIRA)'!I26)*0.25</f>
        <v>2275.9493699272002</v>
      </c>
      <c r="M32" s="121">
        <f>('HON__CEF (PA-MARABÁ)'!I26)*0.25</f>
        <v>2910.9229214824004</v>
      </c>
      <c r="N32" s="121">
        <f>('HON__CEF (RO-GUAJARÁ-MIRIM)'!I26)*0.25</f>
        <v>2910.9229214824004</v>
      </c>
      <c r="O32" s="121">
        <f>('HON__CEF (RO-VILHENA)'!I26)*0.25</f>
        <v>2910.9229214824004</v>
      </c>
      <c r="P32" s="121">
        <f>('HON__CEF (RR-PACARAIMA)'!I26)*0.25</f>
        <v>2910.9229214824004</v>
      </c>
      <c r="Q32" s="121">
        <f>('HON__CEF (RS-URUGUAIANA)'!I26)*0.25</f>
        <v>3417.5877565720007</v>
      </c>
    </row>
    <row r="33" spans="1:15">
      <c r="A33" s="79"/>
      <c r="B33" s="140"/>
      <c r="C33" s="140"/>
      <c r="D33" s="85"/>
      <c r="E33" s="86"/>
      <c r="F33" s="79"/>
      <c r="G33" s="131" t="s">
        <v>208</v>
      </c>
      <c r="I33" s="84">
        <f>('HON__CEF (AC-CRUZ DO SUL)'!I22+'HON__CEF (AP-OIAPOQUE)'!I22+'HON__CEF (PA-ALTAMIRA)'!I22+'HON__CEF (PA-MARABÁ)'!I22+'HON__CEF (RO-GUAJARÁ-MIRIM)'!I22+'HON__CEF (RO-VILHENA)'!I22+'HON__CEF (RS-URUGUAIANA)'!I22+'HON__CEF (RR-PACARAIMA)'!I22)/8</f>
        <v>17369.305991545203</v>
      </c>
      <c r="J33" s="84"/>
      <c r="K33" s="79"/>
      <c r="L33" s="79"/>
      <c r="M33" s="79"/>
      <c r="N33" s="79"/>
      <c r="O33" s="79"/>
    </row>
    <row r="34" spans="1:15">
      <c r="A34" s="79"/>
      <c r="B34" s="140"/>
      <c r="C34" s="140"/>
      <c r="D34" s="85"/>
      <c r="E34" s="86"/>
      <c r="F34" s="79"/>
      <c r="H34" s="79"/>
      <c r="I34" s="86">
        <f>SUM(I27:I32)*8</f>
        <v>395075.97564582131</v>
      </c>
      <c r="J34" s="84">
        <f>'Plan. Geral - PARTE A'!F72</f>
        <v>0</v>
      </c>
      <c r="K34" s="79"/>
      <c r="L34" s="79"/>
      <c r="M34" s="79"/>
      <c r="N34" s="79"/>
      <c r="O34" s="79"/>
    </row>
    <row r="35" spans="1:15">
      <c r="A35" s="79"/>
      <c r="B35" s="140"/>
      <c r="C35" s="140"/>
      <c r="D35" s="85"/>
      <c r="E35" s="86"/>
      <c r="F35" s="79"/>
      <c r="I35" s="41"/>
      <c r="J35" s="41"/>
    </row>
    <row r="36" spans="1:15">
      <c r="A36" s="79"/>
      <c r="B36" s="140"/>
      <c r="C36" s="140"/>
      <c r="D36" s="85"/>
      <c r="E36" s="86"/>
      <c r="F36" s="79"/>
      <c r="H36" s="142" t="s">
        <v>49</v>
      </c>
      <c r="I36" s="42">
        <f>I34/('HON__CEF (AC-CRUZ DO SUL)'!B5+'HON__CEF (AP-OIAPOQUE)'!B5+'HON__CEF (PA-ALTAMIRA)'!B5+'HON__CEF (PA-MARABÁ)'!B5+'HON__CEF (RO-GUAJARÁ-MIRIM)'!B5+'HON__CEF (RO-VILHENA)'!B5+'HON__CEF (RS-URUGUAIANA)'!B5)</f>
        <v>28.306127108459773</v>
      </c>
      <c r="J36" s="41">
        <f>J34/('HON__CEF (MS-CORUMBA)'!B17+'HON__CEF (MS-PONTA PORÃ)'!B17+'HON__CEF (AM-TABATINGA)'!B17+'HON__CEF (RR-PACARAIMA)'!B17)</f>
        <v>0</v>
      </c>
    </row>
    <row r="37" spans="1:15" ht="13.5" thickBot="1">
      <c r="A37" s="79"/>
      <c r="B37" s="140"/>
      <c r="C37" s="140"/>
      <c r="D37" s="85"/>
      <c r="E37" s="86"/>
      <c r="F37" s="79"/>
    </row>
    <row r="38" spans="1:15" ht="25.5">
      <c r="A38" s="79"/>
      <c r="B38" s="140"/>
      <c r="C38" s="140"/>
      <c r="D38" s="85"/>
      <c r="E38" s="86"/>
      <c r="F38" s="79"/>
      <c r="H38" s="124"/>
      <c r="I38" s="152" t="s">
        <v>252</v>
      </c>
      <c r="J38" s="151" t="s">
        <v>237</v>
      </c>
    </row>
    <row r="39" spans="1:15">
      <c r="A39" s="79"/>
      <c r="B39" s="140"/>
      <c r="C39" s="140"/>
      <c r="D39" s="85"/>
      <c r="E39" s="86"/>
      <c r="F39" s="79"/>
      <c r="H39" s="125" t="s">
        <v>27</v>
      </c>
      <c r="I39" s="120">
        <f>J39</f>
        <v>16247.890398410002</v>
      </c>
      <c r="J39" s="121">
        <f>('HON__CEF (RS-CHUÍ)'!I21)*0.25</f>
        <v>16247.890398410002</v>
      </c>
    </row>
    <row r="40" spans="1:15">
      <c r="A40" s="79"/>
      <c r="B40" s="140"/>
      <c r="C40" s="140"/>
      <c r="D40" s="85"/>
      <c r="E40" s="86"/>
      <c r="F40" s="79"/>
      <c r="H40" s="48" t="s">
        <v>32</v>
      </c>
      <c r="I40" s="120">
        <f t="shared" ref="I40:I44" si="2">J40</f>
        <v>4874.3671195229999</v>
      </c>
      <c r="J40" s="121">
        <f>('HON__CEF (RS-CHUÍ)'!I22)*0.25</f>
        <v>4874.3671195229999</v>
      </c>
    </row>
    <row r="41" spans="1:15">
      <c r="A41" s="79"/>
      <c r="B41" s="140"/>
      <c r="C41" s="140"/>
      <c r="D41" s="85"/>
      <c r="E41" s="86"/>
      <c r="F41" s="79"/>
      <c r="H41" s="48" t="s">
        <v>33</v>
      </c>
      <c r="I41" s="120">
        <f t="shared" si="2"/>
        <v>8773.860815141401</v>
      </c>
      <c r="J41" s="121">
        <f>('HON__CEF (RS-CHUÍ)'!I23)*0.25</f>
        <v>8773.860815141401</v>
      </c>
    </row>
    <row r="42" spans="1:15">
      <c r="A42" s="79"/>
      <c r="B42" s="140"/>
      <c r="C42" s="140"/>
      <c r="D42" s="85"/>
      <c r="E42" s="86"/>
      <c r="F42" s="79"/>
      <c r="H42" s="50" t="s">
        <v>29</v>
      </c>
      <c r="I42" s="120">
        <f t="shared" si="2"/>
        <v>5280.5643794832504</v>
      </c>
      <c r="J42" s="121">
        <f>('HON__CEF (RS-CHUÍ)'!I24)*0.25</f>
        <v>5280.5643794832504</v>
      </c>
    </row>
    <row r="43" spans="1:15">
      <c r="A43" s="79"/>
      <c r="B43" s="140"/>
      <c r="C43" s="140"/>
      <c r="D43" s="85"/>
      <c r="E43" s="86"/>
      <c r="F43" s="79"/>
      <c r="H43" s="48" t="s">
        <v>30</v>
      </c>
      <c r="I43" s="120">
        <f t="shared" si="2"/>
        <v>4214.3039618763505</v>
      </c>
      <c r="J43" s="121">
        <f>('HON__CEF (RS-CHUÍ)'!I25)*0.25</f>
        <v>4214.3039618763505</v>
      </c>
    </row>
    <row r="44" spans="1:15" ht="13.5" thickBot="1">
      <c r="A44" s="79"/>
      <c r="B44" s="140"/>
      <c r="C44" s="140"/>
      <c r="D44" s="85"/>
      <c r="E44" s="86"/>
      <c r="F44" s="79"/>
      <c r="H44" s="126" t="s">
        <v>34</v>
      </c>
      <c r="I44" s="120">
        <f t="shared" si="2"/>
        <v>3249.578079682</v>
      </c>
      <c r="J44" s="121">
        <f>('HON__CEF (RS-CHUÍ)'!I26)*0.25</f>
        <v>3249.578079682</v>
      </c>
    </row>
    <row r="45" spans="1:15">
      <c r="A45" s="79"/>
      <c r="B45" s="140"/>
      <c r="C45" s="140"/>
      <c r="D45" s="85"/>
      <c r="E45" s="86"/>
      <c r="F45" s="79"/>
      <c r="G45" s="131" t="s">
        <v>208</v>
      </c>
      <c r="I45" s="84">
        <f>'HON__CEF (RS-CHUÍ)'!I22</f>
        <v>19497.468478092</v>
      </c>
      <c r="J45" s="84"/>
    </row>
    <row r="46" spans="1:15">
      <c r="A46" s="79"/>
      <c r="B46" s="140"/>
      <c r="C46" s="140"/>
      <c r="D46" s="85"/>
      <c r="E46" s="86"/>
      <c r="F46" s="79"/>
      <c r="H46" s="79"/>
      <c r="I46" s="86">
        <f>SUM(I39:I44)*1</f>
        <v>42640.564754116</v>
      </c>
      <c r="J46" s="84">
        <f>'Plan. Geral - PARTE A'!F84</f>
        <v>0</v>
      </c>
    </row>
    <row r="47" spans="1:15">
      <c r="A47" s="79"/>
      <c r="B47" s="140"/>
      <c r="C47" s="140"/>
      <c r="D47" s="85"/>
      <c r="E47" s="86"/>
      <c r="F47" s="79"/>
      <c r="I47" s="41"/>
      <c r="J47" s="41"/>
    </row>
    <row r="48" spans="1:15">
      <c r="A48" s="79"/>
      <c r="B48" s="140"/>
      <c r="C48" s="140"/>
      <c r="D48" s="85"/>
      <c r="E48" s="86"/>
      <c r="F48" s="79"/>
      <c r="H48" s="142" t="s">
        <v>49</v>
      </c>
      <c r="I48" s="42">
        <f>I46/'HON__CEF (RS-CHUÍ)'!B5</f>
        <v>21.849140830869189</v>
      </c>
      <c r="J48" s="41" t="e">
        <f>J46/('HON__CEF (MS-CORUMBA)'!B29+'HON__CEF (MS-PONTA PORÃ)'!B29+'HON__CEF (AM-TABATINGA)'!B29+'HON__CEF (RR-PACARAIMA)'!B29)</f>
        <v>#DIV/0!</v>
      </c>
    </row>
    <row r="49" spans="1:11">
      <c r="A49" s="79"/>
      <c r="B49" s="140"/>
      <c r="C49" s="140"/>
      <c r="D49" s="85"/>
      <c r="E49" s="86"/>
      <c r="F49" s="79"/>
    </row>
    <row r="50" spans="1:11">
      <c r="A50" s="79"/>
      <c r="B50" s="140"/>
      <c r="C50" s="140"/>
      <c r="D50" s="85"/>
      <c r="E50" s="86"/>
      <c r="F50" s="79"/>
    </row>
    <row r="51" spans="1:11">
      <c r="C51" s="188"/>
      <c r="D51" s="188"/>
      <c r="E51" s="43"/>
      <c r="I51" s="189"/>
      <c r="J51" s="189"/>
      <c r="K51" s="189"/>
    </row>
    <row r="52" spans="1:11">
      <c r="A52" s="190" t="s">
        <v>46</v>
      </c>
      <c r="B52" s="190"/>
      <c r="C52" s="190"/>
      <c r="D52" s="190"/>
      <c r="E52" s="190"/>
      <c r="F52" s="190"/>
      <c r="G52" s="190"/>
      <c r="H52" s="190"/>
      <c r="I52" s="190"/>
    </row>
    <row r="53" spans="1:11">
      <c r="A53" s="191" t="s">
        <v>47</v>
      </c>
      <c r="B53" s="191"/>
      <c r="C53" s="191"/>
      <c r="D53" s="191"/>
      <c r="E53" s="191"/>
      <c r="F53" s="191"/>
      <c r="G53" s="191"/>
      <c r="H53" s="191"/>
      <c r="I53" s="191"/>
    </row>
    <row r="56" spans="1:11">
      <c r="A56" s="89" t="s">
        <v>113</v>
      </c>
    </row>
    <row r="58" spans="1:11">
      <c r="A58" s="153" t="s">
        <v>203</v>
      </c>
      <c r="B58" s="119">
        <f>'HON__CEF (MS-CORUMBA)'!K40</f>
        <v>11555.46</v>
      </c>
      <c r="C58" s="113"/>
      <c r="D58" s="113"/>
      <c r="E58" s="113"/>
      <c r="F58" s="113"/>
      <c r="G58" s="114"/>
      <c r="H58" s="114"/>
      <c r="I58" s="113"/>
      <c r="J58" s="113"/>
    </row>
    <row r="59" spans="1:11">
      <c r="A59" s="153" t="s">
        <v>204</v>
      </c>
      <c r="B59" s="154">
        <f>'HON__CEF (AM-TABATINGA)'!K40</f>
        <v>10230.36</v>
      </c>
      <c r="C59" s="153" t="s">
        <v>249</v>
      </c>
      <c r="D59" s="155"/>
      <c r="E59" s="155"/>
      <c r="F59" s="155"/>
      <c r="G59" s="155"/>
      <c r="H59" s="113"/>
      <c r="I59" s="113"/>
      <c r="J59" s="113"/>
    </row>
    <row r="60" spans="1:11">
      <c r="A60" s="153" t="s">
        <v>205</v>
      </c>
      <c r="B60" s="154">
        <f>'HON__CEF (MS-PONTA PORÃ)'!K40</f>
        <v>13494.21</v>
      </c>
      <c r="C60" s="113"/>
      <c r="D60" s="113"/>
      <c r="E60" s="113"/>
      <c r="F60" s="113"/>
      <c r="G60" s="113"/>
      <c r="H60" s="113"/>
      <c r="I60" s="116"/>
      <c r="J60" s="113"/>
    </row>
    <row r="61" spans="1:11">
      <c r="A61" s="153" t="s">
        <v>206</v>
      </c>
      <c r="B61" s="154">
        <f>'HON__CEF (RR-PACARAIMA)'!K41</f>
        <v>12042.439999999999</v>
      </c>
    </row>
    <row r="62" spans="1:11">
      <c r="A62" s="89"/>
      <c r="B62" s="111"/>
    </row>
    <row r="63" spans="1:11">
      <c r="A63" s="89" t="s">
        <v>238</v>
      </c>
      <c r="B63" s="111">
        <f>'HON__CEF (MT-RONDONÓPOLIS)'!K40</f>
        <v>10257</v>
      </c>
    </row>
    <row r="64" spans="1:11">
      <c r="A64" s="89" t="s">
        <v>239</v>
      </c>
      <c r="B64" s="111">
        <f>'HON__CEF (MT-SINOP)'!K40</f>
        <v>9712.8062000000009</v>
      </c>
    </row>
    <row r="65" spans="1:3">
      <c r="A65" s="89" t="s">
        <v>240</v>
      </c>
      <c r="B65" s="111">
        <f>'HON__CEF (PA-SANTARÉM)'!K40</f>
        <v>13494.21</v>
      </c>
    </row>
    <row r="66" spans="1:3">
      <c r="A66" s="89"/>
      <c r="B66" s="111"/>
    </row>
    <row r="67" spans="1:3">
      <c r="A67" s="89"/>
      <c r="B67" s="111"/>
      <c r="C67" s="111">
        <f>SUM(B63:B65)</f>
        <v>33464.016199999998</v>
      </c>
    </row>
    <row r="68" spans="1:3">
      <c r="A68" s="89" t="s">
        <v>207</v>
      </c>
      <c r="B68" s="111"/>
      <c r="C68" s="156">
        <f>C67/3</f>
        <v>11154.672066666666</v>
      </c>
    </row>
    <row r="69" spans="1:3">
      <c r="A69" s="89"/>
      <c r="B69" s="111"/>
    </row>
    <row r="70" spans="1:3">
      <c r="A70" s="89" t="s">
        <v>241</v>
      </c>
      <c r="B70" s="111">
        <f>'HON__CEF (AC-CRUZ DO SUL)'!K41</f>
        <v>17491.993200000001</v>
      </c>
    </row>
    <row r="71" spans="1:3">
      <c r="A71" s="89" t="s">
        <v>242</v>
      </c>
      <c r="B71" s="111">
        <f>'HON__CEF (AP-OIAPOQUE)'!K41</f>
        <v>6363</v>
      </c>
    </row>
    <row r="72" spans="1:3">
      <c r="A72" s="89" t="s">
        <v>243</v>
      </c>
      <c r="B72" s="111">
        <f>'HON__CEF (PA-ALTAMIRA)'!K41</f>
        <v>7977.7638000000006</v>
      </c>
    </row>
    <row r="73" spans="1:3">
      <c r="A73" s="89" t="s">
        <v>244</v>
      </c>
      <c r="B73" s="111">
        <f>'HON__CEF (PA-MARABÁ)'!K41</f>
        <v>12015.7536</v>
      </c>
    </row>
    <row r="74" spans="1:3">
      <c r="A74" s="89" t="s">
        <v>245</v>
      </c>
      <c r="B74" s="111">
        <f>'HON__CEF (RO-GUAJARÁ-MIRIM)'!K41</f>
        <v>12525</v>
      </c>
    </row>
    <row r="75" spans="1:3">
      <c r="A75" s="89" t="s">
        <v>246</v>
      </c>
      <c r="B75" s="111">
        <f>'HON__CEF (RO-VILHENA)'!K41</f>
        <v>11161.521000000001</v>
      </c>
    </row>
    <row r="76" spans="1:3">
      <c r="A76" s="89" t="s">
        <v>247</v>
      </c>
      <c r="B76" s="111">
        <f>'HON__CEF (RS-URUGUAIANA)'!K41</f>
        <v>13363.7</v>
      </c>
    </row>
    <row r="77" spans="1:3">
      <c r="A77" s="89"/>
      <c r="B77" s="111"/>
    </row>
    <row r="78" spans="1:3">
      <c r="A78" s="89"/>
      <c r="B78" s="111"/>
      <c r="C78" s="111">
        <f>SUM(B70:B76)</f>
        <v>80898.731599999999</v>
      </c>
    </row>
    <row r="79" spans="1:3">
      <c r="A79" s="89" t="s">
        <v>207</v>
      </c>
      <c r="B79" s="111"/>
      <c r="C79" s="156">
        <f>C78/7</f>
        <v>11556.961657142858</v>
      </c>
    </row>
    <row r="80" spans="1:3">
      <c r="A80" s="89"/>
      <c r="B80" s="111"/>
    </row>
    <row r="81" spans="1:17">
      <c r="A81" s="89" t="s">
        <v>248</v>
      </c>
      <c r="B81" s="111">
        <f>'HON__CEF (RS-CHUÍ)'!K41</f>
        <v>8110.7684000000008</v>
      </c>
    </row>
    <row r="82" spans="1:17">
      <c r="A82" s="89"/>
      <c r="B82" s="111"/>
    </row>
    <row r="83" spans="1:17">
      <c r="B83" s="184">
        <f>SUM(B81)</f>
        <v>8110.7684000000008</v>
      </c>
      <c r="C83" s="184"/>
    </row>
    <row r="84" spans="1:17">
      <c r="A84" s="89" t="s">
        <v>207</v>
      </c>
      <c r="B84" s="185">
        <f>B83</f>
        <v>8110.7684000000008</v>
      </c>
      <c r="C84" s="186"/>
    </row>
    <row r="87" spans="1:17" ht="15.75">
      <c r="D87" s="187" t="s">
        <v>257</v>
      </c>
      <c r="E87" s="187"/>
      <c r="F87" s="187"/>
      <c r="G87" s="187"/>
    </row>
    <row r="89" spans="1:17" ht="13.5" thickBot="1"/>
    <row r="90" spans="1:17" ht="38.25">
      <c r="A90" s="79"/>
      <c r="B90" s="148"/>
      <c r="C90" s="148"/>
      <c r="D90" s="85"/>
      <c r="E90" s="86"/>
      <c r="F90" s="79"/>
      <c r="H90" s="124"/>
      <c r="I90" s="152" t="s">
        <v>258</v>
      </c>
      <c r="J90" s="151" t="s">
        <v>259</v>
      </c>
      <c r="K90" s="151" t="s">
        <v>261</v>
      </c>
      <c r="L90" s="165"/>
      <c r="M90" s="166"/>
      <c r="N90" s="166"/>
      <c r="O90" s="166"/>
      <c r="P90" s="166"/>
      <c r="Q90" s="166"/>
    </row>
    <row r="91" spans="1:17">
      <c r="A91" s="79"/>
      <c r="B91" s="148"/>
      <c r="C91" s="148"/>
      <c r="D91" s="85"/>
      <c r="E91" s="86"/>
      <c r="F91" s="79"/>
      <c r="H91" s="125" t="s">
        <v>27</v>
      </c>
      <c r="I91" s="120">
        <f>(J91+K91)/2</f>
        <v>19235.695144666002</v>
      </c>
      <c r="J91" s="121">
        <f>'HON__CEF (RO-GUAJARÁMIRIM) (R)'!I21*0.6</f>
        <v>23916.775681920004</v>
      </c>
      <c r="K91" s="121">
        <f>('HON__CEF (RO-VILHENA)'!I21)*0.25</f>
        <v>14554.614607412002</v>
      </c>
      <c r="L91" s="167"/>
      <c r="M91" s="84"/>
      <c r="N91" s="84"/>
      <c r="O91" s="84"/>
      <c r="P91" s="84"/>
      <c r="Q91" s="84"/>
    </row>
    <row r="92" spans="1:17">
      <c r="A92" s="79"/>
      <c r="B92" s="148"/>
      <c r="C92" s="148"/>
      <c r="D92" s="85"/>
      <c r="E92" s="86"/>
      <c r="F92" s="79"/>
      <c r="H92" s="48" t="s">
        <v>32</v>
      </c>
      <c r="I92" s="120">
        <f t="shared" ref="I92:I96" si="3">(J92+K92)/2</f>
        <v>8162.3861115918007</v>
      </c>
      <c r="J92" s="121">
        <f>'HON__CEF (RO-GUAJARÁMIRIM) (R)'!I22</f>
        <v>11958.38784096</v>
      </c>
      <c r="K92" s="121">
        <f>('HON__CEF (RO-VILHENA)'!I22)*0.25</f>
        <v>4366.3843822236004</v>
      </c>
      <c r="L92" s="167"/>
      <c r="M92" s="84"/>
      <c r="N92" s="84"/>
      <c r="O92" s="84"/>
      <c r="P92" s="84"/>
      <c r="Q92" s="84"/>
    </row>
    <row r="93" spans="1:17">
      <c r="A93" s="79"/>
      <c r="B93" s="148"/>
      <c r="C93" s="148"/>
      <c r="D93" s="85"/>
      <c r="E93" s="86"/>
      <c r="F93" s="79"/>
      <c r="H93" s="48" t="s">
        <v>33</v>
      </c>
      <c r="I93" s="120">
        <f t="shared" si="3"/>
        <v>14692.295000865242</v>
      </c>
      <c r="J93" s="121">
        <f>'HON__CEF (RO-GUAJARÁMIRIM) (R)'!I23</f>
        <v>21525.098113728003</v>
      </c>
      <c r="K93" s="121">
        <f>('HON__CEF (RO-VILHENA)'!I23)*0.25</f>
        <v>7859.4918880024816</v>
      </c>
      <c r="L93" s="167"/>
      <c r="M93" s="84"/>
      <c r="N93" s="84"/>
      <c r="O93" s="84"/>
      <c r="P93" s="84"/>
      <c r="Q93" s="84"/>
    </row>
    <row r="94" spans="1:17">
      <c r="A94" s="79"/>
      <c r="B94" s="148"/>
      <c r="C94" s="148"/>
      <c r="D94" s="85"/>
      <c r="E94" s="86"/>
      <c r="F94" s="79"/>
      <c r="H94" s="50" t="s">
        <v>29</v>
      </c>
      <c r="I94" s="120">
        <f t="shared" si="3"/>
        <v>8842.5849542244505</v>
      </c>
      <c r="J94" s="121">
        <f>'HON__CEF (RO-GUAJARÁMIRIM) (R)'!I24</f>
        <v>12954.920161040001</v>
      </c>
      <c r="K94" s="121">
        <f>('HON__CEF (RO-VILHENA)'!I24)*0.25</f>
        <v>4730.2497474089005</v>
      </c>
      <c r="L94" s="167"/>
      <c r="M94" s="84"/>
      <c r="N94" s="84"/>
      <c r="O94" s="84"/>
      <c r="P94" s="84"/>
      <c r="Q94" s="84"/>
    </row>
    <row r="95" spans="1:17">
      <c r="A95" s="79"/>
      <c r="B95" s="148"/>
      <c r="C95" s="148"/>
      <c r="D95" s="85"/>
      <c r="E95" s="86"/>
      <c r="F95" s="79"/>
      <c r="H95" s="48" t="s">
        <v>30</v>
      </c>
      <c r="I95" s="120">
        <f t="shared" si="3"/>
        <v>7237.2053311219097</v>
      </c>
      <c r="J95" s="121">
        <f>'HON__CEF (RO-GUAJARÁMIRIM) (R)'!I25</f>
        <v>10716.741745351999</v>
      </c>
      <c r="K95" s="121">
        <f>('HON__CEF (RO-VILHENA)'!I25)*0.25</f>
        <v>3757.6689168918201</v>
      </c>
      <c r="L95" s="167"/>
      <c r="M95" s="84"/>
      <c r="N95" s="84"/>
      <c r="O95" s="84"/>
      <c r="P95" s="84"/>
      <c r="Q95" s="84"/>
    </row>
    <row r="96" spans="1:17" ht="13.5" thickBot="1">
      <c r="A96" s="79"/>
      <c r="B96" s="148"/>
      <c r="C96" s="148"/>
      <c r="D96" s="85"/>
      <c r="E96" s="86"/>
      <c r="F96" s="79"/>
      <c r="H96" s="126" t="s">
        <v>34</v>
      </c>
      <c r="I96" s="120">
        <f t="shared" si="3"/>
        <v>5441.5907410612008</v>
      </c>
      <c r="J96" s="121">
        <f>'HON__CEF (RO-GUAJARÁMIRIM) (R)'!I26</f>
        <v>7972.2585606400007</v>
      </c>
      <c r="K96" s="121">
        <f>('HON__CEF (RO-VILHENA)'!I26)*0.25</f>
        <v>2910.9229214824004</v>
      </c>
      <c r="L96" s="167"/>
      <c r="M96" s="84"/>
      <c r="N96" s="84"/>
      <c r="O96" s="84"/>
      <c r="P96" s="84"/>
      <c r="Q96" s="84"/>
    </row>
    <row r="97" spans="1:15">
      <c r="A97" s="79"/>
      <c r="B97" s="148"/>
      <c r="C97" s="148"/>
      <c r="D97" s="85"/>
      <c r="E97" s="86"/>
      <c r="F97" s="79"/>
      <c r="G97" s="131" t="s">
        <v>208</v>
      </c>
      <c r="I97" s="84">
        <f>('HON__CEF (RO-GUAJARÁMIRIM) (R)'!I22+'HON__CEF (RO-VILHENA) (R)'!I22)/2</f>
        <v>11958.38784096</v>
      </c>
      <c r="J97" s="84"/>
      <c r="K97" s="79"/>
      <c r="L97" s="79"/>
      <c r="M97" s="79"/>
      <c r="N97" s="79"/>
      <c r="O97" s="79"/>
    </row>
    <row r="98" spans="1:15">
      <c r="A98" s="79"/>
      <c r="B98" s="148"/>
      <c r="C98" s="148"/>
      <c r="D98" s="85"/>
      <c r="E98" s="86"/>
      <c r="F98" s="79"/>
      <c r="H98" s="79"/>
      <c r="I98" s="86">
        <f>SUM(I91:I96)*2</f>
        <v>127223.51456706121</v>
      </c>
      <c r="J98" s="84">
        <f>'Plan. Geral - PARTE A'!F136</f>
        <v>0</v>
      </c>
      <c r="K98" s="79"/>
      <c r="L98" s="79"/>
      <c r="M98" s="79"/>
      <c r="N98" s="79"/>
      <c r="O98" s="79"/>
    </row>
    <row r="99" spans="1:15">
      <c r="A99" s="79"/>
      <c r="B99" s="148"/>
      <c r="C99" s="148"/>
      <c r="D99" s="85"/>
      <c r="E99" s="86"/>
      <c r="F99" s="79"/>
      <c r="I99" s="41"/>
      <c r="J99" s="41"/>
    </row>
    <row r="100" spans="1:15">
      <c r="A100" s="79"/>
      <c r="B100" s="148"/>
      <c r="C100" s="148"/>
      <c r="D100" s="85"/>
      <c r="E100" s="86"/>
      <c r="F100" s="79"/>
      <c r="H100" s="150" t="s">
        <v>49</v>
      </c>
      <c r="I100" s="42">
        <f>I98/('HON__CEF (RO-GUAJARÁMIRIM) (R)'!B5+'HON__CEF (RO-VILHENA) (R)'!B5)</f>
        <v>47.972667634638462</v>
      </c>
      <c r="J100" s="41" t="e">
        <f>J98/('HON__CEF (MS-CORUMBA)'!B81+'HON__CEF (MS-PONTA PORÃ)'!B81+'HON__CEF (AM-TABATINGA)'!B81+'HON__CEF (RR-PACARAIMA)'!B81)</f>
        <v>#DIV/0!</v>
      </c>
    </row>
    <row r="101" spans="1:15" ht="13.5" thickBot="1">
      <c r="A101" s="79"/>
      <c r="B101" s="148"/>
      <c r="C101" s="148"/>
      <c r="D101" s="85"/>
      <c r="E101" s="86"/>
      <c r="F101" s="79"/>
    </row>
    <row r="102" spans="1:15" ht="25.5">
      <c r="A102" s="79"/>
      <c r="B102" s="148"/>
      <c r="C102" s="148"/>
      <c r="D102" s="85"/>
      <c r="E102" s="86"/>
      <c r="F102" s="79"/>
      <c r="H102" s="124"/>
      <c r="I102" s="152" t="s">
        <v>263</v>
      </c>
      <c r="J102" s="151" t="s">
        <v>262</v>
      </c>
    </row>
    <row r="103" spans="1:15">
      <c r="A103" s="79"/>
      <c r="B103" s="148"/>
      <c r="C103" s="148"/>
      <c r="D103" s="85"/>
      <c r="E103" s="86"/>
      <c r="F103" s="79"/>
      <c r="H103" s="125" t="s">
        <v>27</v>
      </c>
      <c r="I103" s="120">
        <f>J103</f>
        <v>14070.755646199999</v>
      </c>
      <c r="J103" s="121">
        <f>'HON__CEF (AC-CRUZ DO SUL) (R)'!I21*0.25</f>
        <v>14070.755646199999</v>
      </c>
    </row>
    <row r="104" spans="1:15">
      <c r="A104" s="79"/>
      <c r="B104" s="148"/>
      <c r="C104" s="148"/>
      <c r="D104" s="85"/>
      <c r="E104" s="86"/>
      <c r="F104" s="79"/>
      <c r="H104" s="48" t="s">
        <v>32</v>
      </c>
      <c r="I104" s="120">
        <f t="shared" ref="I104:I108" si="4">J104</f>
        <v>16884.906775439998</v>
      </c>
      <c r="J104" s="121">
        <f>'HON__CEF (AC-CRUZ DO SUL) (R)'!I22</f>
        <v>16884.906775439998</v>
      </c>
    </row>
    <row r="105" spans="1:15">
      <c r="A105" s="79"/>
      <c r="B105" s="148"/>
      <c r="C105" s="148"/>
      <c r="D105" s="85"/>
      <c r="E105" s="86"/>
      <c r="F105" s="79"/>
      <c r="H105" s="48" t="s">
        <v>33</v>
      </c>
      <c r="I105" s="120">
        <f t="shared" si="4"/>
        <v>30392.832195792002</v>
      </c>
      <c r="J105" s="121">
        <f>'HON__CEF (AC-CRUZ DO SUL) (R)'!I23</f>
        <v>30392.832195792002</v>
      </c>
    </row>
    <row r="106" spans="1:15">
      <c r="A106" s="79"/>
      <c r="B106" s="148"/>
      <c r="C106" s="148"/>
      <c r="D106" s="85"/>
      <c r="E106" s="86"/>
      <c r="F106" s="79"/>
      <c r="H106" s="50" t="s">
        <v>29</v>
      </c>
      <c r="I106" s="120">
        <f t="shared" si="4"/>
        <v>18291.98234006</v>
      </c>
      <c r="J106" s="121">
        <f>'HON__CEF (AC-CRUZ DO SUL) (R)'!I24</f>
        <v>18291.98234006</v>
      </c>
    </row>
    <row r="107" spans="1:15">
      <c r="A107" s="79"/>
      <c r="B107" s="148"/>
      <c r="C107" s="148"/>
      <c r="D107" s="85"/>
      <c r="E107" s="86"/>
      <c r="F107" s="79"/>
      <c r="H107" s="48" t="s">
        <v>30</v>
      </c>
      <c r="I107" s="120">
        <f t="shared" si="4"/>
        <v>14575.848244027999</v>
      </c>
      <c r="J107" s="121">
        <f>'HON__CEF (AC-CRUZ DO SUL) (R)'!I25</f>
        <v>14575.848244027999</v>
      </c>
    </row>
    <row r="108" spans="1:15" ht="13.5" thickBot="1">
      <c r="A108" s="79"/>
      <c r="B108" s="148"/>
      <c r="C108" s="148"/>
      <c r="D108" s="85"/>
      <c r="E108" s="86"/>
      <c r="F108" s="79"/>
      <c r="H108" s="126" t="s">
        <v>34</v>
      </c>
      <c r="I108" s="120">
        <f t="shared" si="4"/>
        <v>11256.60451696</v>
      </c>
      <c r="J108" s="121">
        <f>'HON__CEF (AC-CRUZ DO SUL) (R)'!I26</f>
        <v>11256.60451696</v>
      </c>
    </row>
    <row r="109" spans="1:15">
      <c r="A109" s="79"/>
      <c r="B109" s="148"/>
      <c r="C109" s="148"/>
      <c r="D109" s="85"/>
      <c r="E109" s="86"/>
      <c r="F109" s="79"/>
      <c r="G109" s="131" t="s">
        <v>208</v>
      </c>
      <c r="I109" s="84">
        <f>'HON__CEF (AC-CRUZ DO SUL) (R)'!I22</f>
        <v>16884.906775439998</v>
      </c>
      <c r="J109" s="84"/>
    </row>
    <row r="110" spans="1:15">
      <c r="A110" s="79"/>
      <c r="B110" s="148"/>
      <c r="C110" s="148"/>
      <c r="D110" s="85"/>
      <c r="E110" s="86"/>
      <c r="F110" s="79"/>
      <c r="H110" s="79"/>
      <c r="I110" s="86">
        <f>SUM(I103:I108)*1</f>
        <v>105472.92971847999</v>
      </c>
      <c r="J110" s="84">
        <f>'Plan. Geral - PARTE A'!F148</f>
        <v>0</v>
      </c>
    </row>
    <row r="111" spans="1:15">
      <c r="A111" s="79"/>
      <c r="B111" s="148"/>
      <c r="C111" s="148"/>
      <c r="D111" s="85"/>
      <c r="E111" s="86"/>
      <c r="F111" s="79"/>
      <c r="I111" s="41"/>
      <c r="J111" s="41"/>
    </row>
    <row r="112" spans="1:15">
      <c r="A112" s="79"/>
      <c r="B112" s="148"/>
      <c r="C112" s="148"/>
      <c r="D112" s="85"/>
      <c r="E112" s="86"/>
      <c r="F112" s="79"/>
      <c r="H112" s="150" t="s">
        <v>49</v>
      </c>
      <c r="I112" s="42">
        <f>I110/'HON__CEF (AC-CRUZ DO SUL) (R)'!B5</f>
        <v>53.028119516581192</v>
      </c>
      <c r="J112" s="41" t="e">
        <f>J110/('HON__CEF (MS-CORUMBA)'!B93+'HON__CEF (MS-PONTA PORÃ)'!B93+'HON__CEF (AM-TABATINGA)'!B93+'HON__CEF (RR-PACARAIMA)'!B93)</f>
        <v>#DIV/0!</v>
      </c>
    </row>
    <row r="113" spans="1:11">
      <c r="A113" s="79"/>
      <c r="B113" s="148"/>
      <c r="C113" s="148"/>
      <c r="D113" s="85"/>
      <c r="E113" s="86"/>
      <c r="F113" s="79"/>
    </row>
    <row r="114" spans="1:11">
      <c r="A114" s="79"/>
      <c r="B114" s="148"/>
      <c r="C114" s="148"/>
      <c r="D114" s="85"/>
      <c r="E114" s="86"/>
      <c r="F114" s="79"/>
    </row>
    <row r="115" spans="1:11">
      <c r="C115" s="188"/>
      <c r="D115" s="188"/>
      <c r="E115" s="43"/>
      <c r="I115" s="189"/>
      <c r="J115" s="189"/>
      <c r="K115" s="189"/>
    </row>
    <row r="116" spans="1:11">
      <c r="A116" s="190" t="s">
        <v>46</v>
      </c>
      <c r="B116" s="190"/>
      <c r="C116" s="190"/>
      <c r="D116" s="190"/>
      <c r="E116" s="190"/>
      <c r="F116" s="190"/>
      <c r="G116" s="190"/>
      <c r="H116" s="190"/>
      <c r="I116" s="190"/>
    </row>
    <row r="117" spans="1:11">
      <c r="A117" s="191" t="s">
        <v>47</v>
      </c>
      <c r="B117" s="191"/>
      <c r="C117" s="191"/>
      <c r="D117" s="191"/>
      <c r="E117" s="191"/>
      <c r="F117" s="191"/>
      <c r="G117" s="191"/>
      <c r="H117" s="191"/>
      <c r="I117" s="191"/>
    </row>
    <row r="120" spans="1:11">
      <c r="A120" s="89" t="s">
        <v>113</v>
      </c>
    </row>
    <row r="122" spans="1:11">
      <c r="A122" s="89"/>
      <c r="B122" s="111"/>
    </row>
    <row r="123" spans="1:11">
      <c r="A123" s="89" t="s">
        <v>245</v>
      </c>
      <c r="B123" s="111">
        <f>'HON__CEF (RO-GUAJARÁMIRIM) (R)'!K41</f>
        <v>7795.8132000000005</v>
      </c>
    </row>
    <row r="124" spans="1:11">
      <c r="A124" s="89" t="s">
        <v>246</v>
      </c>
      <c r="B124" s="111">
        <f>'HON__CEF (RO-VILHENA) (R)'!K41</f>
        <v>7795.8132000000005</v>
      </c>
    </row>
    <row r="125" spans="1:11">
      <c r="A125" s="89"/>
      <c r="B125" s="111">
        <f>'HON__CEF (RS-URUGUAIANA)'!K105</f>
        <v>0</v>
      </c>
    </row>
    <row r="126" spans="1:11">
      <c r="A126" s="89"/>
      <c r="B126" s="111"/>
    </row>
    <row r="127" spans="1:11">
      <c r="A127" s="89"/>
      <c r="B127" s="111"/>
      <c r="C127" s="111">
        <f>SUM(B123:B125)</f>
        <v>15591.626400000001</v>
      </c>
    </row>
    <row r="128" spans="1:11">
      <c r="A128" s="89" t="s">
        <v>207</v>
      </c>
      <c r="B128" s="111"/>
      <c r="C128" s="156">
        <f>C127/2</f>
        <v>7795.8132000000005</v>
      </c>
    </row>
    <row r="129" spans="1:3">
      <c r="A129" s="89"/>
      <c r="B129" s="111"/>
    </row>
    <row r="130" spans="1:3">
      <c r="A130" s="89" t="s">
        <v>241</v>
      </c>
      <c r="B130" s="111">
        <f>'HON__CEF (AC-CRUZ DO SUL) (R)'!K41</f>
        <v>7795.8132000000005</v>
      </c>
    </row>
    <row r="131" spans="1:3">
      <c r="A131" s="89"/>
      <c r="B131" s="111"/>
    </row>
    <row r="132" spans="1:3">
      <c r="B132" s="184">
        <f>SUM(B130)</f>
        <v>7795.8132000000005</v>
      </c>
      <c r="C132" s="184"/>
    </row>
    <row r="133" spans="1:3">
      <c r="A133" s="89" t="s">
        <v>207</v>
      </c>
      <c r="B133" s="185">
        <f>B132</f>
        <v>7795.8132000000005</v>
      </c>
      <c r="C133" s="186"/>
    </row>
  </sheetData>
  <mergeCells count="22">
    <mergeCell ref="B83:C83"/>
    <mergeCell ref="B84:C84"/>
    <mergeCell ref="I8:S8"/>
    <mergeCell ref="I3:S3"/>
    <mergeCell ref="I4:S4"/>
    <mergeCell ref="I5:S5"/>
    <mergeCell ref="I6:S6"/>
    <mergeCell ref="I7:S7"/>
    <mergeCell ref="A53:I53"/>
    <mergeCell ref="A52:I52"/>
    <mergeCell ref="A12:B12"/>
    <mergeCell ref="B25:C25"/>
    <mergeCell ref="C51:D51"/>
    <mergeCell ref="I51:K51"/>
    <mergeCell ref="D4:G4"/>
    <mergeCell ref="B132:C132"/>
    <mergeCell ref="B133:C133"/>
    <mergeCell ref="D87:G87"/>
    <mergeCell ref="C115:D115"/>
    <mergeCell ref="I115:K115"/>
    <mergeCell ref="A116:I116"/>
    <mergeCell ref="A117:I117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ax="26" man="1"/>
    <brk id="1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D12:H19"/>
  <sheetViews>
    <sheetView workbookViewId="0">
      <selection activeCell="K19" sqref="K19"/>
    </sheetView>
  </sheetViews>
  <sheetFormatPr defaultRowHeight="12.75"/>
  <cols>
    <col min="8" max="8" width="10.140625" bestFit="1" customWidth="1"/>
  </cols>
  <sheetData>
    <row r="12" spans="4:8" ht="13.5" thickBot="1"/>
    <row r="13" spans="4:8">
      <c r="D13" s="197" t="s">
        <v>209</v>
      </c>
      <c r="E13" s="198"/>
      <c r="F13" s="198"/>
      <c r="G13" s="198"/>
      <c r="H13" s="135">
        <f>'Plan. Geral - PARTE A'!F60</f>
        <v>565722.80251369916</v>
      </c>
    </row>
    <row r="14" spans="4:8">
      <c r="D14" s="199" t="s">
        <v>203</v>
      </c>
      <c r="E14" s="200"/>
      <c r="F14" s="200"/>
      <c r="G14" s="200"/>
      <c r="H14" s="136">
        <f>'HON__CEF (MS-CORUMBA)'!Y59</f>
        <v>231338.1070371992</v>
      </c>
    </row>
    <row r="15" spans="4:8">
      <c r="D15" s="199" t="s">
        <v>205</v>
      </c>
      <c r="E15" s="200"/>
      <c r="F15" s="200"/>
      <c r="G15" s="200"/>
      <c r="H15" s="136">
        <f>'HON__CEF (MS-PONTA PORÃ)'!Y59</f>
        <v>231338.1070371992</v>
      </c>
    </row>
    <row r="16" spans="4:8">
      <c r="D16" s="199" t="s">
        <v>204</v>
      </c>
      <c r="E16" s="200"/>
      <c r="F16" s="200"/>
      <c r="G16" s="200"/>
      <c r="H16" s="136">
        <f>'HON__CEF (AM-TABATINGA)'!Y59</f>
        <v>219518.72472341169</v>
      </c>
    </row>
    <row r="17" spans="4:8">
      <c r="D17" s="199" t="s">
        <v>206</v>
      </c>
      <c r="E17" s="200"/>
      <c r="F17" s="200"/>
      <c r="G17" s="200"/>
      <c r="H17" s="136">
        <f>'HON__CEF (RR-PACARAIMA)'!Y60</f>
        <v>169979.62662832826</v>
      </c>
    </row>
    <row r="18" spans="4:8" ht="13.5" thickBot="1">
      <c r="D18" s="201" t="s">
        <v>0</v>
      </c>
      <c r="E18" s="202"/>
      <c r="F18" s="202"/>
      <c r="G18" s="202"/>
      <c r="H18" s="137">
        <f>SUM(H14:H17)</f>
        <v>852174.56542613835</v>
      </c>
    </row>
    <row r="19" spans="4:8" ht="13.5" thickBot="1">
      <c r="D19" s="195" t="s">
        <v>210</v>
      </c>
      <c r="E19" s="196"/>
      <c r="F19" s="196"/>
      <c r="G19" s="196"/>
      <c r="H19" s="134">
        <f>H18-H13</f>
        <v>286451.76291243918</v>
      </c>
    </row>
  </sheetData>
  <mergeCells count="7">
    <mergeCell ref="D19:G19"/>
    <mergeCell ref="D13:G13"/>
    <mergeCell ref="D14:G14"/>
    <mergeCell ref="D15:G15"/>
    <mergeCell ref="D16:G16"/>
    <mergeCell ref="D17:G17"/>
    <mergeCell ref="D18:G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92"/>
  <sheetViews>
    <sheetView topLeftCell="A13" workbookViewId="0">
      <selection activeCell="I20" sqref="I20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2451.42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>
      <c r="A3" s="89" t="s">
        <v>212</v>
      </c>
      <c r="B3" s="103">
        <v>512.72</v>
      </c>
      <c r="C3" s="36">
        <v>0</v>
      </c>
      <c r="T3" s="172" t="s">
        <v>84</v>
      </c>
      <c r="U3" s="173"/>
      <c r="V3" s="173"/>
      <c r="W3" s="173"/>
      <c r="X3" s="173"/>
      <c r="Y3" s="174"/>
    </row>
    <row r="4" spans="1:25" ht="15.75" customHeight="1">
      <c r="A4" s="89" t="s">
        <v>147</v>
      </c>
      <c r="B4" s="103">
        <v>63</v>
      </c>
      <c r="C4" s="36">
        <v>63</v>
      </c>
      <c r="T4" s="175" t="s">
        <v>111</v>
      </c>
      <c r="U4" s="176"/>
      <c r="V4" s="176"/>
      <c r="W4" s="176"/>
      <c r="X4" s="177" t="s">
        <v>112</v>
      </c>
      <c r="Y4" s="178"/>
    </row>
    <row r="5" spans="1:25" ht="15.75" customHeight="1">
      <c r="A5" s="89"/>
      <c r="B5" s="103">
        <f>SUM(B2:B4)</f>
        <v>3027.1400000000003</v>
      </c>
      <c r="C5" s="103">
        <f>SUM(C2:C4)</f>
        <v>1554.42</v>
      </c>
      <c r="T5" s="179" t="s">
        <v>35</v>
      </c>
      <c r="U5" s="180"/>
      <c r="V5" s="180"/>
      <c r="W5" s="181"/>
      <c r="X5" s="182" t="s">
        <v>216</v>
      </c>
      <c r="Y5" s="183"/>
    </row>
    <row r="6" spans="1:25" ht="15.75">
      <c r="D6" s="99" t="s">
        <v>23</v>
      </c>
      <c r="E6" s="99" t="s">
        <v>24</v>
      </c>
      <c r="H6" s="99" t="s">
        <v>24</v>
      </c>
      <c r="T6" s="1" t="s">
        <v>22</v>
      </c>
      <c r="U6" s="2" t="s">
        <v>11</v>
      </c>
      <c r="V6" s="3" t="s">
        <v>12</v>
      </c>
      <c r="W6" s="4" t="s">
        <v>13</v>
      </c>
      <c r="X6" s="63" t="s">
        <v>50</v>
      </c>
      <c r="Y6" s="5" t="s">
        <v>0</v>
      </c>
    </row>
    <row r="7" spans="1:25" ht="25.5">
      <c r="A7" s="99" t="s">
        <v>25</v>
      </c>
      <c r="B7" s="99" t="s">
        <v>26</v>
      </c>
      <c r="C7" s="143" t="s">
        <v>214</v>
      </c>
      <c r="D7" s="61" t="s">
        <v>43</v>
      </c>
      <c r="E7" s="61" t="s">
        <v>215</v>
      </c>
      <c r="G7" s="99"/>
      <c r="H7" s="78" t="s">
        <v>215</v>
      </c>
      <c r="I7" s="99" t="str">
        <f>[1]Coefic.CEF!G2</f>
        <v>Observações:</v>
      </c>
      <c r="T7" s="1" t="s">
        <v>51</v>
      </c>
      <c r="U7" s="7" t="s">
        <v>52</v>
      </c>
      <c r="V7" s="3"/>
      <c r="W7" s="4"/>
      <c r="X7" s="63"/>
      <c r="Y7" s="5"/>
    </row>
    <row r="8" spans="1:25" ht="14.25" customHeight="1">
      <c r="A8" s="89" t="s">
        <v>117</v>
      </c>
      <c r="B8" s="90">
        <v>0.02</v>
      </c>
      <c r="C8" s="40">
        <f>$C$18*1.7</f>
        <v>1977.4570000000001</v>
      </c>
      <c r="D8" s="40">
        <f t="shared" ref="D8:D13" si="0">B8*C8</f>
        <v>39.549140000000001</v>
      </c>
      <c r="E8" s="41">
        <f t="shared" ref="E8:E13" si="1">B8*C8*$C$17</f>
        <v>119720.78365960001</v>
      </c>
      <c r="H8" s="41">
        <f t="shared" ref="H8:H13" si="2">B8*C8*$H$17</f>
        <v>78646.233329800016</v>
      </c>
      <c r="I8" s="192" t="s">
        <v>39</v>
      </c>
      <c r="J8" s="193"/>
      <c r="K8" s="193"/>
      <c r="L8" s="193"/>
      <c r="M8" s="193"/>
      <c r="N8" s="193"/>
      <c r="O8" s="193"/>
      <c r="P8" s="193"/>
      <c r="Q8" s="193"/>
      <c r="R8" s="39">
        <v>0.02</v>
      </c>
      <c r="T8" s="11" t="s">
        <v>1</v>
      </c>
      <c r="U8" s="132" t="s">
        <v>113</v>
      </c>
      <c r="V8" s="8" t="s">
        <v>14</v>
      </c>
      <c r="W8" s="9">
        <v>0</v>
      </c>
      <c r="X8" s="12">
        <f>0.25*I20+K40</f>
        <v>31217.018332450003</v>
      </c>
      <c r="Y8" s="13">
        <f>W8*X8</f>
        <v>0</v>
      </c>
    </row>
    <row r="9" spans="1:25" ht="15">
      <c r="A9" s="89" t="s">
        <v>118</v>
      </c>
      <c r="B9" s="90">
        <f>R9</f>
        <v>5.9999999999999993E-3</v>
      </c>
      <c r="C9" s="40">
        <f t="shared" ref="C9:C13" si="3">$C$18*1.7</f>
        <v>1977.4570000000001</v>
      </c>
      <c r="D9" s="40">
        <f t="shared" si="0"/>
        <v>11.864742</v>
      </c>
      <c r="E9" s="41">
        <f t="shared" si="1"/>
        <v>35916.235097880002</v>
      </c>
      <c r="H9" s="41">
        <f t="shared" si="2"/>
        <v>23593.869998940001</v>
      </c>
      <c r="I9" s="192" t="s">
        <v>38</v>
      </c>
      <c r="J9" s="193"/>
      <c r="K9" s="193"/>
      <c r="L9" s="193"/>
      <c r="M9" s="193"/>
      <c r="N9" s="193"/>
      <c r="O9" s="193"/>
      <c r="P9" s="193"/>
      <c r="Q9" s="193"/>
      <c r="R9" s="39">
        <f>0.0012+0.0048</f>
        <v>5.9999999999999993E-3</v>
      </c>
      <c r="T9" s="11" t="s">
        <v>2</v>
      </c>
      <c r="U9" s="132" t="s">
        <v>53</v>
      </c>
      <c r="V9" s="8" t="s">
        <v>14</v>
      </c>
      <c r="W9" s="9">
        <v>1</v>
      </c>
      <c r="X9" s="12">
        <f>(0.25*I20)/2</f>
        <v>9830.779166225002</v>
      </c>
      <c r="Y9" s="13">
        <f t="shared" ref="Y9:Y17" si="4">W9*X9</f>
        <v>9830.779166225002</v>
      </c>
    </row>
    <row r="10" spans="1:25" ht="15">
      <c r="A10" s="36" t="s">
        <v>28</v>
      </c>
      <c r="B10" s="90">
        <v>1.0800000000000001E-2</v>
      </c>
      <c r="C10" s="40">
        <f t="shared" si="3"/>
        <v>1977.4570000000001</v>
      </c>
      <c r="D10" s="40">
        <f t="shared" si="0"/>
        <v>21.356535600000001</v>
      </c>
      <c r="E10" s="41">
        <f t="shared" si="1"/>
        <v>64649.223176184008</v>
      </c>
      <c r="H10" s="41">
        <f t="shared" si="2"/>
        <v>42468.965998092004</v>
      </c>
      <c r="I10" s="192" t="s">
        <v>40</v>
      </c>
      <c r="J10" s="193"/>
      <c r="K10" s="193"/>
      <c r="L10" s="193"/>
      <c r="M10" s="193"/>
      <c r="N10" s="193"/>
      <c r="O10" s="193"/>
      <c r="P10" s="193"/>
      <c r="Q10" s="193"/>
      <c r="R10" s="39">
        <f>0.0037+0.0009+0.0004+0.001+0.001+0.0024+0.0004+0.0005+0.0005</f>
        <v>1.0800000000000001E-2</v>
      </c>
      <c r="T10" s="11" t="s">
        <v>3</v>
      </c>
      <c r="U10" s="132" t="s">
        <v>54</v>
      </c>
      <c r="V10" s="8" t="s">
        <v>14</v>
      </c>
      <c r="W10" s="9">
        <v>1</v>
      </c>
      <c r="X10" s="12">
        <f>0.08*I20</f>
        <v>6291.6986663840016</v>
      </c>
      <c r="Y10" s="13">
        <f t="shared" si="4"/>
        <v>6291.6986663840016</v>
      </c>
    </row>
    <row r="11" spans="1:25" ht="15">
      <c r="A11" s="36" t="s">
        <v>29</v>
      </c>
      <c r="B11" s="90">
        <f>R11</f>
        <v>6.4999999999999997E-3</v>
      </c>
      <c r="C11" s="40">
        <f t="shared" si="3"/>
        <v>1977.4570000000001</v>
      </c>
      <c r="D11" s="40">
        <f t="shared" si="0"/>
        <v>12.8534705</v>
      </c>
      <c r="E11" s="41">
        <f t="shared" si="1"/>
        <v>38909.254689370006</v>
      </c>
      <c r="H11" s="41">
        <f t="shared" si="2"/>
        <v>25560.025832185001</v>
      </c>
      <c r="I11" s="192" t="s">
        <v>119</v>
      </c>
      <c r="J11" s="192"/>
      <c r="K11" s="192"/>
      <c r="L11" s="192"/>
      <c r="M11" s="192"/>
      <c r="N11" s="192"/>
      <c r="O11" s="192"/>
      <c r="P11" s="192"/>
      <c r="Q11" s="192"/>
      <c r="R11" s="39">
        <v>6.4999999999999997E-3</v>
      </c>
      <c r="T11" s="11" t="s">
        <v>4</v>
      </c>
      <c r="U11" s="132" t="s">
        <v>55</v>
      </c>
      <c r="V11" s="8" t="s">
        <v>14</v>
      </c>
      <c r="W11" s="9">
        <v>1</v>
      </c>
      <c r="X11" s="12">
        <f>(0.075*I21)+(0.075*I21)</f>
        <v>3539.0804998409999</v>
      </c>
      <c r="Y11" s="13">
        <f t="shared" si="4"/>
        <v>3539.0804998409999</v>
      </c>
    </row>
    <row r="12" spans="1:25" ht="15">
      <c r="A12" s="36" t="s">
        <v>30</v>
      </c>
      <c r="B12" s="90">
        <v>4.7000000000000002E-3</v>
      </c>
      <c r="C12" s="40">
        <f t="shared" si="3"/>
        <v>1977.4570000000001</v>
      </c>
      <c r="D12" s="40">
        <f t="shared" si="0"/>
        <v>9.2940479000000007</v>
      </c>
      <c r="E12" s="41">
        <f t="shared" si="1"/>
        <v>28134.384160006004</v>
      </c>
      <c r="H12" s="41">
        <f>B12*C12*$H$18</f>
        <v>21728.669831603962</v>
      </c>
      <c r="I12" s="192" t="s">
        <v>41</v>
      </c>
      <c r="J12" s="192"/>
      <c r="K12" s="192"/>
      <c r="L12" s="192"/>
      <c r="M12" s="192"/>
      <c r="N12" s="192"/>
      <c r="O12" s="192"/>
      <c r="P12" s="192"/>
      <c r="Q12" s="192"/>
      <c r="R12" s="39">
        <f>0.001+0.001+0.002+0.0007</f>
        <v>4.7000000000000002E-3</v>
      </c>
      <c r="T12" s="11" t="s">
        <v>15</v>
      </c>
      <c r="U12" s="132" t="s">
        <v>56</v>
      </c>
      <c r="V12" s="8" t="s">
        <v>14</v>
      </c>
      <c r="W12" s="9">
        <v>1</v>
      </c>
      <c r="X12" s="12">
        <f>0.15*I24</f>
        <v>3259.3004747405944</v>
      </c>
      <c r="Y12" s="13">
        <f t="shared" si="4"/>
        <v>3259.3004747405944</v>
      </c>
    </row>
    <row r="13" spans="1:25" ht="30">
      <c r="A13" s="36" t="s">
        <v>31</v>
      </c>
      <c r="B13" s="90">
        <v>4.0000000000000001E-3</v>
      </c>
      <c r="C13" s="40">
        <f t="shared" si="3"/>
        <v>1977.4570000000001</v>
      </c>
      <c r="D13" s="40">
        <f t="shared" si="0"/>
        <v>7.909828000000001</v>
      </c>
      <c r="E13" s="41">
        <f t="shared" si="1"/>
        <v>23944.156731920004</v>
      </c>
      <c r="H13" s="41">
        <f t="shared" si="2"/>
        <v>15729.246665960003</v>
      </c>
      <c r="I13" s="192" t="s">
        <v>42</v>
      </c>
      <c r="J13" s="192"/>
      <c r="K13" s="192"/>
      <c r="L13" s="192"/>
      <c r="M13" s="192"/>
      <c r="N13" s="192"/>
      <c r="O13" s="192"/>
      <c r="P13" s="192"/>
      <c r="Q13" s="192"/>
      <c r="R13" s="39">
        <v>4.0000000000000001E-3</v>
      </c>
      <c r="T13" s="11" t="s">
        <v>16</v>
      </c>
      <c r="U13" s="132" t="s">
        <v>114</v>
      </c>
      <c r="V13" s="8" t="s">
        <v>14</v>
      </c>
      <c r="W13" s="9">
        <v>1</v>
      </c>
      <c r="X13" s="12">
        <f>0.2*I22</f>
        <v>8493.7931996184016</v>
      </c>
      <c r="Y13" s="13">
        <f t="shared" si="4"/>
        <v>8493.7931996184016</v>
      </c>
    </row>
    <row r="14" spans="1:25" ht="30">
      <c r="D14" s="42">
        <f>SUM(D8:D13)</f>
        <v>102.827764</v>
      </c>
      <c r="E14" s="42">
        <f>SUM(E8:E13)</f>
        <v>311274.03751496004</v>
      </c>
      <c r="H14" s="42">
        <f>SUM(H8:H13)</f>
        <v>207727.01165658099</v>
      </c>
      <c r="I14" s="97"/>
      <c r="T14" s="11" t="s">
        <v>36</v>
      </c>
      <c r="U14" s="132" t="s">
        <v>132</v>
      </c>
      <c r="V14" s="8" t="s">
        <v>14</v>
      </c>
      <c r="W14" s="9">
        <v>1</v>
      </c>
      <c r="X14" s="12">
        <f>0.05*I22</f>
        <v>2123.4482999046004</v>
      </c>
      <c r="Y14" s="13">
        <f t="shared" si="4"/>
        <v>2123.4482999046004</v>
      </c>
    </row>
    <row r="15" spans="1:25" ht="30">
      <c r="E15" s="41">
        <f>E14/C17</f>
        <v>102.827764</v>
      </c>
      <c r="H15" s="41">
        <f>H14/C17</f>
        <v>68.62154101117919</v>
      </c>
      <c r="T15" s="11" t="s">
        <v>85</v>
      </c>
      <c r="U15" s="133" t="s">
        <v>108</v>
      </c>
      <c r="V15" s="15" t="s">
        <v>14</v>
      </c>
      <c r="W15" s="9">
        <v>1</v>
      </c>
      <c r="X15" s="12">
        <f>0.4*I23</f>
        <v>10224.010332874001</v>
      </c>
      <c r="Y15" s="13">
        <f t="shared" si="4"/>
        <v>10224.010332874001</v>
      </c>
    </row>
    <row r="16" spans="1:25" ht="30">
      <c r="E16" s="43">
        <f>D14/1200</f>
        <v>8.5689803333333328E-2</v>
      </c>
      <c r="H16" s="43">
        <f>H15/1200</f>
        <v>5.7184617509315992E-2</v>
      </c>
      <c r="I16" s="43">
        <f>H15/1840</f>
        <v>3.729431576694521E-2</v>
      </c>
      <c r="T16" s="11" t="s">
        <v>86</v>
      </c>
      <c r="U16" s="132" t="s">
        <v>57</v>
      </c>
      <c r="V16" s="8" t="s">
        <v>14</v>
      </c>
      <c r="W16" s="9">
        <v>1</v>
      </c>
      <c r="X16" s="12">
        <f>0.15*I24</f>
        <v>3259.3004747405944</v>
      </c>
      <c r="Y16" s="13">
        <f t="shared" si="4"/>
        <v>3259.3004747405944</v>
      </c>
    </row>
    <row r="17" spans="1:26" ht="15">
      <c r="A17" s="206" t="s">
        <v>44</v>
      </c>
      <c r="B17" s="206"/>
      <c r="C17" s="62">
        <f>B5</f>
        <v>3027.1400000000003</v>
      </c>
      <c r="G17" s="98" t="s">
        <v>45</v>
      </c>
      <c r="H17" s="45">
        <f>(300+(500*0.83)+(1000*0.66)+(C17-1800)*0.5)</f>
        <v>1988.5700000000002</v>
      </c>
      <c r="I17" s="40">
        <f>H17/C17</f>
        <v>0.65691378661046396</v>
      </c>
      <c r="T17" s="11" t="s">
        <v>58</v>
      </c>
      <c r="U17" s="132" t="s">
        <v>59</v>
      </c>
      <c r="V17" s="8" t="s">
        <v>14</v>
      </c>
      <c r="W17" s="9">
        <v>1</v>
      </c>
      <c r="X17" s="12">
        <f>0.05*I22</f>
        <v>2123.4482999046004</v>
      </c>
      <c r="Y17" s="13">
        <f t="shared" si="4"/>
        <v>2123.4482999046004</v>
      </c>
    </row>
    <row r="18" spans="1:26" ht="15">
      <c r="A18" s="102" t="s">
        <v>149</v>
      </c>
      <c r="B18" s="46">
        <v>41487</v>
      </c>
      <c r="C18" s="119">
        <v>1163.21</v>
      </c>
      <c r="G18" s="98" t="s">
        <v>48</v>
      </c>
      <c r="H18" s="45">
        <f>(500+(1000*0.83)+(C17-1500)*0.66)</f>
        <v>2337.9124000000002</v>
      </c>
      <c r="I18" s="40">
        <f>H18/C17</f>
        <v>0.7723172367317005</v>
      </c>
      <c r="T18" s="11"/>
      <c r="U18" s="14"/>
      <c r="V18" s="8"/>
      <c r="W18" s="9"/>
      <c r="X18" s="12"/>
      <c r="Y18" s="13"/>
    </row>
    <row r="19" spans="1:26" ht="16.5" thickBot="1">
      <c r="A19" s="78" t="s">
        <v>213</v>
      </c>
      <c r="T19" s="11"/>
      <c r="U19" s="64" t="s">
        <v>17</v>
      </c>
      <c r="V19" s="8"/>
      <c r="W19" s="9"/>
      <c r="X19" s="16"/>
      <c r="Y19" s="17">
        <f>SUM(Y8:Y18)</f>
        <v>49144.859414232793</v>
      </c>
    </row>
    <row r="20" spans="1:26" ht="15">
      <c r="H20" s="60" t="s">
        <v>27</v>
      </c>
      <c r="I20" s="47">
        <f t="shared" ref="I20:I25" si="5">H8</f>
        <v>78646.233329800016</v>
      </c>
      <c r="T20" s="18"/>
      <c r="U20" s="19"/>
      <c r="V20" s="20"/>
      <c r="W20" s="21"/>
      <c r="X20" s="22"/>
      <c r="Y20" s="23"/>
    </row>
    <row r="21" spans="1:26" ht="15">
      <c r="C21" s="36">
        <f>23000*0.0005</f>
        <v>11.5</v>
      </c>
      <c r="H21" s="48" t="s">
        <v>32</v>
      </c>
      <c r="I21" s="49">
        <f t="shared" si="5"/>
        <v>23593.869998940001</v>
      </c>
      <c r="T21" s="18"/>
      <c r="U21" s="19"/>
      <c r="V21" s="20"/>
      <c r="W21" s="24"/>
      <c r="X21" s="22"/>
      <c r="Y21" s="25"/>
    </row>
    <row r="22" spans="1:26" ht="15.75">
      <c r="A22" s="79"/>
      <c r="B22" s="79"/>
      <c r="C22" s="79"/>
      <c r="D22" s="79"/>
      <c r="E22" s="79"/>
      <c r="F22" s="79"/>
      <c r="H22" s="48" t="s">
        <v>33</v>
      </c>
      <c r="I22" s="49">
        <f t="shared" si="5"/>
        <v>42468.965998092004</v>
      </c>
      <c r="L22" s="89"/>
      <c r="T22" s="87" t="s">
        <v>60</v>
      </c>
      <c r="U22" s="65" t="s">
        <v>61</v>
      </c>
      <c r="V22" s="20"/>
      <c r="W22" s="24"/>
      <c r="X22" s="22"/>
      <c r="Y22" s="25"/>
    </row>
    <row r="23" spans="1:26" ht="15">
      <c r="A23" s="80"/>
      <c r="B23" s="81"/>
      <c r="C23" s="81"/>
      <c r="D23" s="80"/>
      <c r="E23" s="81"/>
      <c r="F23" s="79"/>
      <c r="H23" s="50" t="s">
        <v>29</v>
      </c>
      <c r="I23" s="51">
        <f t="shared" si="5"/>
        <v>25560.025832185001</v>
      </c>
      <c r="J23" s="52"/>
      <c r="T23" s="11" t="s">
        <v>5</v>
      </c>
      <c r="U23" s="132" t="s">
        <v>62</v>
      </c>
      <c r="V23" s="8" t="s">
        <v>14</v>
      </c>
      <c r="W23" s="9">
        <v>1</v>
      </c>
      <c r="X23" s="12">
        <f>0.1*I20+0.05*I20</f>
        <v>11796.934999470002</v>
      </c>
      <c r="Y23" s="13">
        <f>W23*X23</f>
        <v>11796.934999470002</v>
      </c>
    </row>
    <row r="24" spans="1:26" ht="15">
      <c r="A24" s="79"/>
      <c r="B24" s="82"/>
      <c r="C24" s="83"/>
      <c r="D24" s="83"/>
      <c r="E24" s="84"/>
      <c r="F24" s="79"/>
      <c r="H24" s="48" t="s">
        <v>30</v>
      </c>
      <c r="I24" s="49">
        <f t="shared" si="5"/>
        <v>21728.669831603962</v>
      </c>
      <c r="J24" s="41"/>
      <c r="T24" s="11" t="s">
        <v>6</v>
      </c>
      <c r="U24" s="132" t="s">
        <v>63</v>
      </c>
      <c r="V24" s="8" t="s">
        <v>14</v>
      </c>
      <c r="W24" s="9">
        <v>1</v>
      </c>
      <c r="X24" s="12">
        <f>0.15*I22</f>
        <v>6370.3448997138003</v>
      </c>
      <c r="Y24" s="13">
        <f t="shared" ref="Y24:Y25" si="6">W24*X24</f>
        <v>6370.3448997138003</v>
      </c>
    </row>
    <row r="25" spans="1:26" ht="15">
      <c r="A25" s="79"/>
      <c r="B25" s="82"/>
      <c r="C25" s="83"/>
      <c r="D25" s="83"/>
      <c r="E25" s="84"/>
      <c r="F25" s="79"/>
      <c r="H25" s="53" t="s">
        <v>34</v>
      </c>
      <c r="I25" s="49">
        <f t="shared" si="5"/>
        <v>15729.246665960003</v>
      </c>
      <c r="J25" s="41"/>
      <c r="T25" s="11" t="s">
        <v>7</v>
      </c>
      <c r="U25" s="132" t="s">
        <v>64</v>
      </c>
      <c r="V25" s="8" t="s">
        <v>14</v>
      </c>
      <c r="W25" s="9">
        <v>1</v>
      </c>
      <c r="X25" s="12">
        <f>0.15*I24</f>
        <v>3259.3004747405944</v>
      </c>
      <c r="Y25" s="13">
        <f t="shared" si="6"/>
        <v>3259.3004747405944</v>
      </c>
    </row>
    <row r="26" spans="1:26" ht="15">
      <c r="A26" s="79"/>
      <c r="B26" s="82"/>
      <c r="C26" s="83"/>
      <c r="D26" s="83"/>
      <c r="E26" s="84"/>
      <c r="F26" s="79"/>
      <c r="H26" s="54"/>
      <c r="I26" s="55"/>
      <c r="J26" s="41"/>
      <c r="T26" s="11"/>
      <c r="U26" s="14"/>
      <c r="V26" s="8"/>
      <c r="W26" s="9"/>
      <c r="X26" s="12"/>
      <c r="Y26" s="13"/>
    </row>
    <row r="27" spans="1:26" ht="16.5" thickBot="1">
      <c r="A27" s="79"/>
      <c r="B27" s="82"/>
      <c r="C27" s="83"/>
      <c r="D27" s="83"/>
      <c r="E27" s="84"/>
      <c r="F27" s="79"/>
      <c r="H27" s="56"/>
      <c r="I27" s="57">
        <f>SUM(I20:I25)</f>
        <v>207727.01165658099</v>
      </c>
      <c r="J27" s="41"/>
      <c r="T27" s="11"/>
      <c r="U27" s="64" t="s">
        <v>17</v>
      </c>
      <c r="V27" s="8"/>
      <c r="W27" s="9"/>
      <c r="X27" s="16"/>
      <c r="Y27" s="17">
        <f>SUM(Y23:Y26)</f>
        <v>21426.580373924397</v>
      </c>
    </row>
    <row r="28" spans="1:26" ht="15.75">
      <c r="A28" s="79"/>
      <c r="B28" s="82"/>
      <c r="C28" s="83"/>
      <c r="D28" s="83"/>
      <c r="E28" s="84"/>
      <c r="F28" s="79"/>
      <c r="I28" s="41"/>
      <c r="J28" s="41"/>
      <c r="T28" s="11"/>
      <c r="U28" s="14"/>
      <c r="V28" s="8"/>
      <c r="W28" s="9"/>
      <c r="X28" s="26"/>
      <c r="Y28" s="10"/>
    </row>
    <row r="29" spans="1:26" ht="15.75">
      <c r="A29" s="79"/>
      <c r="B29" s="82"/>
      <c r="C29" s="83"/>
      <c r="D29" s="83"/>
      <c r="E29" s="84"/>
      <c r="F29" s="79"/>
      <c r="H29" s="98" t="s">
        <v>49</v>
      </c>
      <c r="I29" s="42">
        <f>I27/C17</f>
        <v>68.62154101117919</v>
      </c>
      <c r="J29" s="41"/>
      <c r="T29" s="6">
        <v>3</v>
      </c>
      <c r="U29" s="65" t="s">
        <v>65</v>
      </c>
      <c r="V29" s="8"/>
      <c r="W29" s="9"/>
      <c r="X29" s="22"/>
      <c r="Y29" s="23"/>
    </row>
    <row r="30" spans="1:26" ht="15">
      <c r="A30" s="79"/>
      <c r="B30" s="188"/>
      <c r="C30" s="188"/>
      <c r="D30" s="85"/>
      <c r="E30" s="86"/>
      <c r="F30" s="79"/>
      <c r="T30" s="11" t="s">
        <v>8</v>
      </c>
      <c r="U30" s="132" t="s">
        <v>115</v>
      </c>
      <c r="V30" s="8" t="s">
        <v>14</v>
      </c>
      <c r="W30" s="9">
        <v>1</v>
      </c>
      <c r="X30" s="12">
        <f>0.255*I20</f>
        <v>20054.789499099003</v>
      </c>
      <c r="Y30" s="13">
        <f>W30*X30</f>
        <v>20054.789499099003</v>
      </c>
    </row>
    <row r="31" spans="1:26" ht="15">
      <c r="C31" s="188"/>
      <c r="D31" s="188"/>
      <c r="E31" s="41"/>
      <c r="T31" s="11" t="s">
        <v>9</v>
      </c>
      <c r="U31" s="132" t="s">
        <v>66</v>
      </c>
      <c r="V31" s="8" t="s">
        <v>14</v>
      </c>
      <c r="W31" s="9">
        <v>1</v>
      </c>
      <c r="X31" s="12">
        <f>0.04*I$20</f>
        <v>3145.8493331920008</v>
      </c>
      <c r="Y31" s="13">
        <f t="shared" ref="Y31:Y53" si="7">W31*X31</f>
        <v>3145.8493331920008</v>
      </c>
      <c r="Z31" s="94">
        <v>0.04</v>
      </c>
    </row>
    <row r="32" spans="1:26" ht="15">
      <c r="C32" s="188"/>
      <c r="D32" s="188"/>
      <c r="E32" s="43"/>
      <c r="I32" s="189"/>
      <c r="J32" s="189"/>
      <c r="K32" s="189"/>
      <c r="T32" s="11" t="s">
        <v>18</v>
      </c>
      <c r="U32" s="132" t="s">
        <v>67</v>
      </c>
      <c r="V32" s="8" t="s">
        <v>14</v>
      </c>
      <c r="W32" s="9">
        <v>1</v>
      </c>
      <c r="X32" s="12">
        <f t="shared" ref="X32" si="8">0.04*I$20</f>
        <v>3145.8493331920008</v>
      </c>
      <c r="Y32" s="13">
        <f t="shared" si="7"/>
        <v>3145.8493331920008</v>
      </c>
      <c r="Z32" s="94">
        <v>0.04</v>
      </c>
    </row>
    <row r="33" spans="1:26" ht="15">
      <c r="A33" s="190" t="s">
        <v>46</v>
      </c>
      <c r="B33" s="190"/>
      <c r="C33" s="190"/>
      <c r="D33" s="190"/>
      <c r="E33" s="190"/>
      <c r="F33" s="190"/>
      <c r="G33" s="190"/>
      <c r="H33" s="190"/>
      <c r="I33" s="190"/>
      <c r="T33" s="11" t="s">
        <v>37</v>
      </c>
      <c r="U33" s="132" t="s">
        <v>68</v>
      </c>
      <c r="V33" s="8" t="s">
        <v>14</v>
      </c>
      <c r="W33" s="9">
        <v>1</v>
      </c>
      <c r="X33" s="12">
        <f>0.06*I$20</f>
        <v>4718.7739997880008</v>
      </c>
      <c r="Y33" s="13">
        <f t="shared" si="7"/>
        <v>4718.7739997880008</v>
      </c>
      <c r="Z33" s="94">
        <v>0.06</v>
      </c>
    </row>
    <row r="34" spans="1:26" ht="15">
      <c r="A34" s="191" t="s">
        <v>150</v>
      </c>
      <c r="B34" s="191"/>
      <c r="C34" s="191"/>
      <c r="D34" s="191"/>
      <c r="E34" s="191"/>
      <c r="F34" s="191"/>
      <c r="G34" s="191"/>
      <c r="H34" s="191"/>
      <c r="I34" s="191"/>
      <c r="T34" s="11" t="s">
        <v>87</v>
      </c>
      <c r="U34" s="132" t="s">
        <v>69</v>
      </c>
      <c r="V34" s="8" t="s">
        <v>14</v>
      </c>
      <c r="W34" s="9">
        <v>1</v>
      </c>
      <c r="X34" s="12">
        <f>0.075*I$20</f>
        <v>5898.4674997350012</v>
      </c>
      <c r="Y34" s="13">
        <f t="shared" si="7"/>
        <v>5898.4674997350012</v>
      </c>
      <c r="Z34" s="94">
        <v>7.4999999999999997E-2</v>
      </c>
    </row>
    <row r="35" spans="1:26" ht="15">
      <c r="T35" s="11" t="s">
        <v>88</v>
      </c>
      <c r="U35" s="132" t="s">
        <v>131</v>
      </c>
      <c r="V35" s="8" t="s">
        <v>14</v>
      </c>
      <c r="W35" s="9">
        <v>1</v>
      </c>
      <c r="X35" s="12">
        <f>0.05*I$20</f>
        <v>3932.3116664900008</v>
      </c>
      <c r="Y35" s="13">
        <f t="shared" si="7"/>
        <v>3932.3116664900008</v>
      </c>
      <c r="Z35" s="94">
        <v>0.05</v>
      </c>
    </row>
    <row r="36" spans="1:26" ht="15">
      <c r="T36" s="11" t="s">
        <v>89</v>
      </c>
      <c r="U36" s="132" t="s">
        <v>70</v>
      </c>
      <c r="V36" s="8" t="s">
        <v>14</v>
      </c>
      <c r="W36" s="9">
        <v>1</v>
      </c>
      <c r="X36" s="12">
        <f>0.3*I21</f>
        <v>7078.1609996819998</v>
      </c>
      <c r="Y36" s="13">
        <f t="shared" si="7"/>
        <v>7078.1609996819998</v>
      </c>
    </row>
    <row r="37" spans="1:26" ht="15">
      <c r="A37" s="89" t="s">
        <v>106</v>
      </c>
      <c r="T37" s="11" t="s">
        <v>90</v>
      </c>
      <c r="U37" s="132" t="s">
        <v>71</v>
      </c>
      <c r="V37" s="8" t="s">
        <v>14</v>
      </c>
      <c r="W37" s="9">
        <v>1</v>
      </c>
      <c r="X37" s="12">
        <f>0.3*I21</f>
        <v>7078.1609996819998</v>
      </c>
      <c r="Y37" s="13">
        <f t="shared" si="7"/>
        <v>7078.1609996819998</v>
      </c>
    </row>
    <row r="38" spans="1:26" ht="15">
      <c r="T38" s="11" t="s">
        <v>91</v>
      </c>
      <c r="U38" s="132" t="s">
        <v>72</v>
      </c>
      <c r="V38" s="8" t="s">
        <v>14</v>
      </c>
      <c r="W38" s="9">
        <v>1</v>
      </c>
      <c r="X38" s="12">
        <f>0.15*I$24</f>
        <v>3259.3004747405944</v>
      </c>
      <c r="Y38" s="13">
        <f t="shared" si="7"/>
        <v>3259.3004747405944</v>
      </c>
      <c r="Z38" s="94">
        <v>0.15</v>
      </c>
    </row>
    <row r="39" spans="1:26" ht="15">
      <c r="A39" s="89" t="s">
        <v>211</v>
      </c>
      <c r="G39" s="91" t="s">
        <v>121</v>
      </c>
      <c r="H39" s="91" t="s">
        <v>120</v>
      </c>
      <c r="T39" s="11" t="s">
        <v>92</v>
      </c>
      <c r="U39" s="132" t="s">
        <v>73</v>
      </c>
      <c r="V39" s="8" t="s">
        <v>14</v>
      </c>
      <c r="W39" s="9">
        <v>1</v>
      </c>
      <c r="X39" s="12">
        <f t="shared" ref="X39" si="9">0.15*I$24</f>
        <v>3259.3004747405944</v>
      </c>
      <c r="Y39" s="13">
        <f t="shared" si="7"/>
        <v>3259.3004747405944</v>
      </c>
      <c r="Z39" s="94">
        <v>0.15</v>
      </c>
    </row>
    <row r="40" spans="1:26" ht="26.25" customHeight="1">
      <c r="A40" s="205" t="s">
        <v>107</v>
      </c>
      <c r="B40" s="205"/>
      <c r="C40" s="205"/>
      <c r="D40" s="205"/>
      <c r="E40" s="205"/>
      <c r="G40" s="91">
        <v>0.33</v>
      </c>
      <c r="H40" s="92">
        <v>15062</v>
      </c>
      <c r="I40" s="40">
        <f>G40*H40</f>
        <v>4970.46</v>
      </c>
      <c r="J40" s="40">
        <f>D86</f>
        <v>6585</v>
      </c>
      <c r="K40" s="117">
        <f>J40+I40</f>
        <v>11555.46</v>
      </c>
      <c r="L40" s="118"/>
      <c r="T40" s="11" t="s">
        <v>93</v>
      </c>
      <c r="U40" s="132" t="s">
        <v>74</v>
      </c>
      <c r="V40" s="8" t="s">
        <v>14</v>
      </c>
      <c r="W40" s="9">
        <v>1</v>
      </c>
      <c r="X40" s="12">
        <f>0.1*I$24</f>
        <v>2172.8669831603961</v>
      </c>
      <c r="Y40" s="13">
        <f t="shared" si="7"/>
        <v>2172.8669831603961</v>
      </c>
      <c r="Z40" s="94">
        <v>0.1</v>
      </c>
    </row>
    <row r="41" spans="1:26" ht="15">
      <c r="T41" s="11" t="s">
        <v>94</v>
      </c>
      <c r="U41" s="132" t="s">
        <v>75</v>
      </c>
      <c r="V41" s="8" t="s">
        <v>14</v>
      </c>
      <c r="W41" s="9">
        <v>1</v>
      </c>
      <c r="X41" s="12">
        <f>0.05*I$24</f>
        <v>1086.4334915801981</v>
      </c>
      <c r="Y41" s="13">
        <f t="shared" si="7"/>
        <v>1086.4334915801981</v>
      </c>
      <c r="Z41" s="94">
        <v>0.05</v>
      </c>
    </row>
    <row r="42" spans="1:26" ht="15">
      <c r="I42" s="41">
        <f>I27+I40</f>
        <v>212697.47165658098</v>
      </c>
      <c r="T42" s="11" t="s">
        <v>95</v>
      </c>
      <c r="U42" s="132" t="s">
        <v>116</v>
      </c>
      <c r="V42" s="8" t="s">
        <v>14</v>
      </c>
      <c r="W42" s="9">
        <v>1</v>
      </c>
      <c r="X42" s="12">
        <f>0.2*I$22</f>
        <v>8493.7931996184016</v>
      </c>
      <c r="Y42" s="13">
        <f t="shared" si="7"/>
        <v>8493.7931996184016</v>
      </c>
      <c r="Z42" s="94">
        <v>0.2</v>
      </c>
    </row>
    <row r="43" spans="1:26" ht="15">
      <c r="T43" s="11" t="s">
        <v>96</v>
      </c>
      <c r="U43" s="132" t="s">
        <v>76</v>
      </c>
      <c r="V43" s="8" t="s">
        <v>14</v>
      </c>
      <c r="W43" s="9">
        <v>1</v>
      </c>
      <c r="X43" s="12">
        <f>0.1*I$22</f>
        <v>4246.8965998092008</v>
      </c>
      <c r="Y43" s="13">
        <f t="shared" si="7"/>
        <v>4246.8965998092008</v>
      </c>
      <c r="Z43" s="94">
        <v>0.1</v>
      </c>
    </row>
    <row r="44" spans="1:26" ht="15">
      <c r="A44" s="203" t="s">
        <v>171</v>
      </c>
      <c r="B44" s="204"/>
      <c r="C44" s="204"/>
      <c r="D44" s="204"/>
      <c r="E44" s="204"/>
      <c r="F44" s="204"/>
      <c r="G44" s="204"/>
      <c r="H44" s="204"/>
      <c r="I44" s="204"/>
      <c r="T44" s="11" t="s">
        <v>97</v>
      </c>
      <c r="U44" s="132" t="s">
        <v>77</v>
      </c>
      <c r="V44" s="8" t="s">
        <v>14</v>
      </c>
      <c r="W44" s="9">
        <v>1</v>
      </c>
      <c r="X44" s="12">
        <f>0.05*I$22</f>
        <v>2123.4482999046004</v>
      </c>
      <c r="Y44" s="13">
        <f t="shared" si="7"/>
        <v>2123.4482999046004</v>
      </c>
      <c r="Z44" s="94">
        <v>0.05</v>
      </c>
    </row>
    <row r="45" spans="1:26" ht="30">
      <c r="A45"/>
      <c r="B45"/>
      <c r="C45"/>
      <c r="D45"/>
      <c r="E45"/>
      <c r="F45"/>
      <c r="G45"/>
      <c r="H45"/>
      <c r="I45"/>
      <c r="T45" s="11" t="s">
        <v>98</v>
      </c>
      <c r="U45" s="132" t="s">
        <v>129</v>
      </c>
      <c r="V45" s="15" t="s">
        <v>14</v>
      </c>
      <c r="W45" s="9">
        <v>1</v>
      </c>
      <c r="X45" s="12">
        <f>0.1*I$22</f>
        <v>4246.8965998092008</v>
      </c>
      <c r="Y45" s="13">
        <f t="shared" si="7"/>
        <v>4246.8965998092008</v>
      </c>
      <c r="Z45" s="94">
        <v>0.1</v>
      </c>
    </row>
    <row r="46" spans="1:26" ht="30">
      <c r="A46" t="s">
        <v>172</v>
      </c>
      <c r="B46"/>
      <c r="C46"/>
      <c r="D46"/>
      <c r="E46"/>
      <c r="F46"/>
      <c r="G46"/>
      <c r="H46"/>
      <c r="I46"/>
      <c r="T46" s="11" t="s">
        <v>99</v>
      </c>
      <c r="U46" s="132" t="s">
        <v>109</v>
      </c>
      <c r="V46" s="8" t="s">
        <v>14</v>
      </c>
      <c r="W46" s="9">
        <v>1</v>
      </c>
      <c r="X46" s="12">
        <f>0.6*I23</f>
        <v>15336.015499311001</v>
      </c>
      <c r="Y46" s="13">
        <f t="shared" si="7"/>
        <v>15336.015499311001</v>
      </c>
    </row>
    <row r="47" spans="1:26" ht="15">
      <c r="A47" t="s">
        <v>173</v>
      </c>
      <c r="B47"/>
      <c r="C47"/>
      <c r="D47"/>
      <c r="E47"/>
      <c r="F47"/>
      <c r="G47"/>
      <c r="H47"/>
      <c r="I47"/>
      <c r="T47" s="11" t="s">
        <v>100</v>
      </c>
      <c r="U47" s="132" t="s">
        <v>78</v>
      </c>
      <c r="V47" s="8" t="s">
        <v>14</v>
      </c>
      <c r="W47" s="9">
        <v>1</v>
      </c>
      <c r="X47" s="12">
        <f>0.1*I24</f>
        <v>2172.8669831603961</v>
      </c>
      <c r="Y47" s="13">
        <f t="shared" si="7"/>
        <v>2172.8669831603961</v>
      </c>
    </row>
    <row r="48" spans="1:26" ht="15">
      <c r="A48" t="s">
        <v>174</v>
      </c>
      <c r="B48"/>
      <c r="C48"/>
      <c r="D48"/>
      <c r="E48"/>
      <c r="F48"/>
      <c r="G48"/>
      <c r="H48"/>
      <c r="I48"/>
      <c r="T48" s="11" t="s">
        <v>101</v>
      </c>
      <c r="U48" s="132" t="s">
        <v>79</v>
      </c>
      <c r="V48" s="8" t="s">
        <v>14</v>
      </c>
      <c r="W48" s="9">
        <v>1</v>
      </c>
      <c r="X48" s="12">
        <f>0.06*I$22</f>
        <v>2548.1379598855201</v>
      </c>
      <c r="Y48" s="13">
        <f t="shared" si="7"/>
        <v>2548.1379598855201</v>
      </c>
      <c r="Z48" s="94">
        <v>0.06</v>
      </c>
    </row>
    <row r="49" spans="1:26" ht="15">
      <c r="A49" t="s">
        <v>175</v>
      </c>
      <c r="B49"/>
      <c r="C49"/>
      <c r="D49"/>
      <c r="E49"/>
      <c r="F49"/>
      <c r="G49"/>
      <c r="H49"/>
      <c r="I49"/>
      <c r="T49" s="11" t="s">
        <v>102</v>
      </c>
      <c r="U49" s="132" t="s">
        <v>80</v>
      </c>
      <c r="V49" s="8" t="s">
        <v>14</v>
      </c>
      <c r="W49" s="9">
        <v>1</v>
      </c>
      <c r="X49" s="12">
        <f>0.04*I$22</f>
        <v>1698.7586399236802</v>
      </c>
      <c r="Y49" s="13">
        <f t="shared" si="7"/>
        <v>1698.7586399236802</v>
      </c>
      <c r="Z49" s="94">
        <v>0.04</v>
      </c>
    </row>
    <row r="50" spans="1:26" ht="15">
      <c r="A50" t="s">
        <v>176</v>
      </c>
      <c r="B50"/>
      <c r="C50"/>
      <c r="D50"/>
      <c r="E50"/>
      <c r="F50"/>
      <c r="G50"/>
      <c r="H50"/>
      <c r="I50"/>
      <c r="T50" s="11" t="s">
        <v>103</v>
      </c>
      <c r="U50" s="132" t="s">
        <v>81</v>
      </c>
      <c r="V50" s="8" t="s">
        <v>14</v>
      </c>
      <c r="W50" s="9">
        <v>1</v>
      </c>
      <c r="X50" s="12">
        <f>0.3*I$25</f>
        <v>4718.7739997880008</v>
      </c>
      <c r="Y50" s="13">
        <f t="shared" si="7"/>
        <v>4718.7739997880008</v>
      </c>
      <c r="Z50" s="94">
        <v>0.3</v>
      </c>
    </row>
    <row r="51" spans="1:26" ht="15">
      <c r="A51" t="s">
        <v>177</v>
      </c>
      <c r="B51"/>
      <c r="C51"/>
      <c r="D51"/>
      <c r="E51"/>
      <c r="F51"/>
      <c r="G51"/>
      <c r="H51"/>
      <c r="I51"/>
      <c r="T51" s="11" t="s">
        <v>104</v>
      </c>
      <c r="U51" s="132" t="s">
        <v>110</v>
      </c>
      <c r="V51" s="8" t="s">
        <v>14</v>
      </c>
      <c r="W51" s="9">
        <v>1</v>
      </c>
      <c r="X51" s="12">
        <f t="shared" ref="X51:X53" si="10">0.3*I$25</f>
        <v>4718.7739997880008</v>
      </c>
      <c r="Y51" s="13">
        <f t="shared" si="7"/>
        <v>4718.7739997880008</v>
      </c>
      <c r="Z51" s="94">
        <v>0.3</v>
      </c>
    </row>
    <row r="52" spans="1:26" ht="15">
      <c r="A52" t="s">
        <v>178</v>
      </c>
      <c r="B52"/>
      <c r="C52"/>
      <c r="D52"/>
      <c r="E52"/>
      <c r="F52"/>
      <c r="G52"/>
      <c r="H52"/>
      <c r="I52"/>
      <c r="T52" s="11" t="s">
        <v>105</v>
      </c>
      <c r="U52" s="132" t="s">
        <v>82</v>
      </c>
      <c r="V52" s="8" t="s">
        <v>14</v>
      </c>
      <c r="W52" s="9">
        <v>1</v>
      </c>
      <c r="X52" s="12">
        <f>0.1*I$25</f>
        <v>1572.9246665960004</v>
      </c>
      <c r="Y52" s="13">
        <f t="shared" si="7"/>
        <v>1572.9246665960004</v>
      </c>
      <c r="Z52" s="94">
        <v>0.1</v>
      </c>
    </row>
    <row r="53" spans="1:26" ht="45">
      <c r="A53" t="s">
        <v>179</v>
      </c>
      <c r="B53"/>
      <c r="C53"/>
      <c r="D53"/>
      <c r="E53"/>
      <c r="F53"/>
      <c r="G53"/>
      <c r="H53"/>
      <c r="I53"/>
      <c r="T53" s="11" t="s">
        <v>130</v>
      </c>
      <c r="U53" s="132" t="s">
        <v>128</v>
      </c>
      <c r="V53" s="15" t="s">
        <v>14</v>
      </c>
      <c r="W53" s="9">
        <v>1</v>
      </c>
      <c r="X53" s="12">
        <f t="shared" si="10"/>
        <v>4718.7739997880008</v>
      </c>
      <c r="Y53" s="13">
        <f t="shared" si="7"/>
        <v>4718.7739997880008</v>
      </c>
      <c r="Z53" s="94">
        <v>0.3</v>
      </c>
    </row>
    <row r="54" spans="1:26" ht="15">
      <c r="A54" t="s">
        <v>180</v>
      </c>
      <c r="B54"/>
      <c r="C54"/>
      <c r="D54"/>
      <c r="E54"/>
      <c r="F54"/>
      <c r="G54"/>
      <c r="H54"/>
      <c r="I54"/>
      <c r="T54" s="67"/>
      <c r="U54" s="14"/>
      <c r="V54" s="68"/>
      <c r="W54" s="69"/>
      <c r="X54" s="70"/>
      <c r="Y54" s="71"/>
    </row>
    <row r="55" spans="1:26" ht="15.75">
      <c r="A55" t="s">
        <v>181</v>
      </c>
      <c r="B55"/>
      <c r="C55"/>
      <c r="D55"/>
      <c r="E55"/>
      <c r="F55"/>
      <c r="G55"/>
      <c r="H55"/>
      <c r="I55"/>
      <c r="T55" s="72"/>
      <c r="U55" s="73" t="s">
        <v>17</v>
      </c>
      <c r="V55" s="74"/>
      <c r="W55" s="75"/>
      <c r="X55" s="76"/>
      <c r="Y55" s="77">
        <f>SUM(Y30:Y54)</f>
        <v>121426.32520246376</v>
      </c>
    </row>
    <row r="56" spans="1:26" ht="15">
      <c r="A56" t="s">
        <v>182</v>
      </c>
      <c r="B56"/>
      <c r="C56"/>
      <c r="D56"/>
      <c r="E56"/>
      <c r="F56"/>
      <c r="G56"/>
      <c r="H56"/>
      <c r="I56"/>
      <c r="T56" s="27"/>
      <c r="U56" s="19"/>
      <c r="V56" s="20"/>
      <c r="W56" s="24"/>
      <c r="X56" s="21"/>
      <c r="Y56" s="28"/>
    </row>
    <row r="57" spans="1:26" ht="15.75">
      <c r="A57" t="s">
        <v>183</v>
      </c>
      <c r="B57"/>
      <c r="C57"/>
      <c r="D57"/>
      <c r="E57"/>
      <c r="F57"/>
      <c r="G57"/>
      <c r="H57"/>
      <c r="I57"/>
      <c r="T57" s="27"/>
      <c r="U57" s="29" t="s">
        <v>19</v>
      </c>
      <c r="V57" s="20"/>
      <c r="W57" s="24"/>
      <c r="X57" s="21"/>
      <c r="Y57" s="17">
        <f>+Y19+Y27+Y55</f>
        <v>191997.76499062096</v>
      </c>
    </row>
    <row r="58" spans="1:26" ht="15.75">
      <c r="A58" t="s">
        <v>184</v>
      </c>
      <c r="B58"/>
      <c r="C58"/>
      <c r="D58"/>
      <c r="E58"/>
      <c r="F58"/>
      <c r="G58"/>
      <c r="H58"/>
      <c r="I58"/>
      <c r="T58" s="27"/>
      <c r="U58" s="29" t="s">
        <v>20</v>
      </c>
      <c r="V58" s="20" t="s">
        <v>10</v>
      </c>
      <c r="W58" s="88">
        <v>20.49</v>
      </c>
      <c r="X58" s="21"/>
      <c r="Y58" s="17">
        <f>Y57*W58/100</f>
        <v>39340.342046578226</v>
      </c>
    </row>
    <row r="59" spans="1:26" ht="16.5" thickBot="1">
      <c r="A59" t="s">
        <v>185</v>
      </c>
      <c r="B59"/>
      <c r="C59"/>
      <c r="D59"/>
      <c r="E59"/>
      <c r="F59"/>
      <c r="G59"/>
      <c r="H59"/>
      <c r="I59"/>
      <c r="T59" s="30"/>
      <c r="U59" s="31" t="s">
        <v>21</v>
      </c>
      <c r="V59" s="32"/>
      <c r="W59" s="33"/>
      <c r="X59" s="34"/>
      <c r="Y59" s="35">
        <f>Y57+Y58</f>
        <v>231338.1070371992</v>
      </c>
    </row>
    <row r="60" spans="1:26">
      <c r="A60" t="s">
        <v>186</v>
      </c>
      <c r="B60"/>
      <c r="C60"/>
      <c r="D60"/>
      <c r="E60"/>
      <c r="F60"/>
      <c r="G60"/>
      <c r="H60"/>
      <c r="I60"/>
    </row>
    <row r="61" spans="1:26">
      <c r="A61" t="s">
        <v>187</v>
      </c>
      <c r="B61"/>
      <c r="C61"/>
      <c r="D61"/>
      <c r="E61"/>
      <c r="F61"/>
      <c r="G61"/>
      <c r="H61"/>
      <c r="I61"/>
    </row>
    <row r="62" spans="1:26">
      <c r="A62"/>
      <c r="B62"/>
      <c r="C62"/>
      <c r="D62"/>
      <c r="E62"/>
      <c r="F62"/>
      <c r="G62"/>
      <c r="H62"/>
      <c r="I62"/>
    </row>
    <row r="63" spans="1:26">
      <c r="A63"/>
      <c r="B63"/>
      <c r="C63"/>
      <c r="D63"/>
      <c r="E63"/>
      <c r="F63"/>
      <c r="G63"/>
      <c r="H63"/>
      <c r="I63"/>
    </row>
    <row r="64" spans="1:26">
      <c r="A64" s="108" t="s">
        <v>198</v>
      </c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188</v>
      </c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 t="s">
        <v>189</v>
      </c>
      <c r="B68"/>
      <c r="C68" s="94"/>
      <c r="D68" s="94" t="s">
        <v>191</v>
      </c>
      <c r="E68"/>
      <c r="F68"/>
      <c r="G68"/>
      <c r="H68"/>
      <c r="I68"/>
    </row>
    <row r="69" spans="1:9">
      <c r="A69" t="s">
        <v>192</v>
      </c>
      <c r="B69"/>
      <c r="C69" s="94"/>
      <c r="D69" s="94"/>
      <c r="E69"/>
      <c r="F69"/>
      <c r="G69"/>
      <c r="H69"/>
      <c r="I69"/>
    </row>
    <row r="70" spans="1:9">
      <c r="A70" s="108" t="s">
        <v>201</v>
      </c>
      <c r="B70"/>
      <c r="C70"/>
      <c r="D70"/>
      <c r="E70"/>
      <c r="F70"/>
      <c r="G70"/>
      <c r="H70"/>
      <c r="I70"/>
    </row>
    <row r="71" spans="1:9">
      <c r="A71" t="s">
        <v>193</v>
      </c>
      <c r="B71"/>
      <c r="C71" s="104"/>
      <c r="D71">
        <v>42.5</v>
      </c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 s="104"/>
      <c r="D73"/>
      <c r="E73"/>
      <c r="F73"/>
      <c r="G73"/>
      <c r="H73"/>
      <c r="I73"/>
    </row>
    <row r="74" spans="1:9">
      <c r="A74"/>
      <c r="B74"/>
      <c r="C74" s="104"/>
      <c r="D74"/>
      <c r="E74"/>
      <c r="F74"/>
      <c r="G74"/>
      <c r="H74"/>
      <c r="I74"/>
    </row>
    <row r="75" spans="1:9">
      <c r="A75"/>
      <c r="B75"/>
      <c r="C75" s="104"/>
      <c r="D75"/>
      <c r="E75"/>
      <c r="F75"/>
      <c r="G75"/>
      <c r="H75"/>
      <c r="I75"/>
    </row>
    <row r="76" spans="1:9">
      <c r="A76"/>
      <c r="B76"/>
      <c r="C76" s="104"/>
      <c r="D76"/>
      <c r="E76"/>
      <c r="F76"/>
      <c r="G76"/>
      <c r="H76"/>
      <c r="I76"/>
    </row>
    <row r="77" spans="1:9">
      <c r="A77"/>
      <c r="B77"/>
      <c r="C77" s="104"/>
      <c r="D77"/>
      <c r="E77"/>
      <c r="F77"/>
      <c r="G77"/>
      <c r="H77"/>
      <c r="I77"/>
    </row>
    <row r="78" spans="1:9">
      <c r="A78" t="s">
        <v>194</v>
      </c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 s="108" t="s">
        <v>199</v>
      </c>
      <c r="B80"/>
      <c r="C80"/>
      <c r="D80" s="105">
        <f>D71*120</f>
        <v>5100</v>
      </c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 t="s">
        <v>195</v>
      </c>
      <c r="B82"/>
      <c r="C82" s="104"/>
      <c r="D82" s="104">
        <v>495</v>
      </c>
      <c r="E82" s="104"/>
      <c r="F82"/>
      <c r="G82"/>
      <c r="H82"/>
      <c r="I82"/>
    </row>
    <row r="83" spans="1:9">
      <c r="A83"/>
      <c r="B83"/>
      <c r="C83" s="104"/>
      <c r="D83"/>
      <c r="E83"/>
      <c r="F83"/>
      <c r="G83"/>
      <c r="H83"/>
      <c r="I83"/>
    </row>
    <row r="84" spans="1:9">
      <c r="A84" t="s">
        <v>196</v>
      </c>
      <c r="B84"/>
      <c r="C84" s="104"/>
      <c r="D84">
        <f>D82*3</f>
        <v>1485</v>
      </c>
      <c r="E84"/>
      <c r="F84"/>
      <c r="G84"/>
      <c r="H84"/>
      <c r="I84"/>
    </row>
    <row r="85" spans="1:9">
      <c r="A85"/>
      <c r="B85"/>
      <c r="C85" s="104"/>
      <c r="D85"/>
      <c r="E85"/>
      <c r="F85"/>
      <c r="G85"/>
      <c r="H85"/>
      <c r="I85"/>
    </row>
    <row r="86" spans="1:9">
      <c r="A86"/>
      <c r="B86"/>
      <c r="C86" s="104"/>
      <c r="D86" s="110">
        <f>D80+D84</f>
        <v>6585</v>
      </c>
      <c r="E86"/>
      <c r="F86"/>
      <c r="G86"/>
      <c r="H86"/>
      <c r="I86"/>
    </row>
    <row r="87" spans="1:9">
      <c r="A87"/>
      <c r="B87"/>
      <c r="C87" s="106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 s="107"/>
      <c r="E92"/>
      <c r="F92"/>
      <c r="G92"/>
      <c r="H92"/>
      <c r="I92"/>
    </row>
  </sheetData>
  <mergeCells count="21">
    <mergeCell ref="I13:Q13"/>
    <mergeCell ref="I8:Q8"/>
    <mergeCell ref="I9:Q9"/>
    <mergeCell ref="I10:Q10"/>
    <mergeCell ref="I11:Q11"/>
    <mergeCell ref="I12:Q12"/>
    <mergeCell ref="A44:I44"/>
    <mergeCell ref="A34:I34"/>
    <mergeCell ref="A40:E40"/>
    <mergeCell ref="A17:B17"/>
    <mergeCell ref="B30:C30"/>
    <mergeCell ref="C31:D31"/>
    <mergeCell ref="C32:D32"/>
    <mergeCell ref="I32:K32"/>
    <mergeCell ref="A33:I33"/>
    <mergeCell ref="T2:Y2"/>
    <mergeCell ref="T3:Y3"/>
    <mergeCell ref="T4:W4"/>
    <mergeCell ref="X4:Y4"/>
    <mergeCell ref="T5:W5"/>
    <mergeCell ref="X5:Y5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5" max="31" man="1"/>
    <brk id="10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2"/>
  <sheetViews>
    <sheetView workbookViewId="0">
      <selection activeCell="I20" sqref="I20"/>
    </sheetView>
  </sheetViews>
  <sheetFormatPr defaultRowHeight="12.75"/>
  <cols>
    <col min="1" max="1" width="20.140625" style="36" customWidth="1"/>
    <col min="2" max="2" width="9.28515625" style="36" bestFit="1" customWidth="1"/>
    <col min="3" max="3" width="10.7109375" style="36" customWidth="1"/>
    <col min="4" max="4" width="12.42578125" style="36" customWidth="1"/>
    <col min="5" max="5" width="16.7109375" style="36" bestFit="1" customWidth="1"/>
    <col min="6" max="6" width="2.42578125" style="36" customWidth="1"/>
    <col min="7" max="7" width="15.5703125" style="36" bestFit="1" customWidth="1"/>
    <col min="8" max="8" width="13.42578125" style="36" customWidth="1"/>
    <col min="9" max="9" width="31.28515625" style="36" customWidth="1"/>
    <col min="10" max="10" width="15.42578125" style="36" customWidth="1"/>
    <col min="11" max="11" width="11.140625" style="36" customWidth="1"/>
    <col min="12" max="13" width="9.140625" style="36"/>
    <col min="14" max="14" width="4.5703125" style="36" customWidth="1"/>
    <col min="15" max="15" width="5.42578125" style="36" customWidth="1"/>
    <col min="16" max="16" width="3.7109375" style="36" customWidth="1"/>
    <col min="17" max="17" width="5.42578125" style="36" customWidth="1"/>
    <col min="18" max="19" width="9.140625" style="36"/>
    <col min="20" max="20" width="6.7109375" style="36" bestFit="1" customWidth="1"/>
    <col min="21" max="21" width="81.42578125" style="36" customWidth="1"/>
    <col min="22" max="22" width="7.5703125" style="36" customWidth="1"/>
    <col min="23" max="23" width="10" style="36" bestFit="1" customWidth="1"/>
    <col min="24" max="24" width="15.140625" style="36" bestFit="1" customWidth="1"/>
    <col min="25" max="25" width="16.5703125" style="36" customWidth="1"/>
    <col min="26" max="16384" width="9.140625" style="36"/>
  </cols>
  <sheetData>
    <row r="1" spans="1:25" ht="13.5" thickBot="1">
      <c r="A1" s="89" t="s">
        <v>145</v>
      </c>
      <c r="B1" s="61" t="s">
        <v>148</v>
      </c>
      <c r="C1" s="61" t="s">
        <v>197</v>
      </c>
    </row>
    <row r="2" spans="1:25" ht="15.75">
      <c r="A2" s="89" t="s">
        <v>146</v>
      </c>
      <c r="B2" s="103">
        <v>2451.42</v>
      </c>
      <c r="C2" s="36">
        <v>1491.42</v>
      </c>
      <c r="T2" s="169" t="s">
        <v>83</v>
      </c>
      <c r="U2" s="170"/>
      <c r="V2" s="170"/>
      <c r="W2" s="170"/>
      <c r="X2" s="170"/>
      <c r="Y2" s="171"/>
    </row>
    <row r="3" spans="1:25">
      <c r="A3" s="89" t="s">
        <v>212</v>
      </c>
      <c r="B3" s="103">
        <v>512.72</v>
      </c>
      <c r="C3" s="36">
        <v>0</v>
      </c>
      <c r="T3" s="172" t="s">
        <v>84</v>
      </c>
      <c r="U3" s="173"/>
      <c r="V3" s="173"/>
      <c r="W3" s="173"/>
      <c r="X3" s="173"/>
      <c r="Y3" s="174"/>
    </row>
    <row r="4" spans="1:25" ht="15.75">
      <c r="A4" s="89" t="s">
        <v>147</v>
      </c>
      <c r="B4" s="103">
        <v>63</v>
      </c>
      <c r="C4" s="36">
        <v>63</v>
      </c>
      <c r="T4" s="175" t="s">
        <v>111</v>
      </c>
      <c r="U4" s="176"/>
      <c r="V4" s="176"/>
      <c r="W4" s="176"/>
      <c r="X4" s="177" t="s">
        <v>112</v>
      </c>
      <c r="Y4" s="178"/>
    </row>
    <row r="5" spans="1:25" ht="15.75">
      <c r="A5" s="89"/>
      <c r="B5" s="103">
        <f>SUM(B2:B4)</f>
        <v>3027.1400000000003</v>
      </c>
      <c r="C5" s="103">
        <f>SUM(C2:C4)</f>
        <v>1554.42</v>
      </c>
      <c r="D5" s="99" t="s">
        <v>23</v>
      </c>
      <c r="E5" s="99" t="s">
        <v>24</v>
      </c>
      <c r="H5" s="99" t="s">
        <v>24</v>
      </c>
      <c r="T5" s="179" t="s">
        <v>35</v>
      </c>
      <c r="U5" s="180"/>
      <c r="V5" s="180"/>
      <c r="W5" s="181"/>
      <c r="X5" s="182" t="s">
        <v>216</v>
      </c>
      <c r="Y5" s="183"/>
    </row>
    <row r="6" spans="1:25" ht="25.5">
      <c r="A6" s="99" t="s">
        <v>25</v>
      </c>
      <c r="B6" s="99" t="s">
        <v>26</v>
      </c>
      <c r="C6" s="143" t="s">
        <v>214</v>
      </c>
      <c r="D6" s="61" t="s">
        <v>43</v>
      </c>
      <c r="E6" s="61" t="s">
        <v>215</v>
      </c>
      <c r="G6" s="99"/>
      <c r="H6" s="78" t="s">
        <v>215</v>
      </c>
      <c r="I6" s="99" t="str">
        <f>[1]Coefic.CEF!G2</f>
        <v>Observações:</v>
      </c>
      <c r="T6" s="1" t="s">
        <v>22</v>
      </c>
      <c r="U6" s="2" t="s">
        <v>11</v>
      </c>
      <c r="V6" s="3" t="s">
        <v>12</v>
      </c>
      <c r="W6" s="4" t="s">
        <v>13</v>
      </c>
      <c r="X6" s="63" t="s">
        <v>50</v>
      </c>
      <c r="Y6" s="5" t="s">
        <v>0</v>
      </c>
    </row>
    <row r="7" spans="1:25" ht="12.75" customHeight="1">
      <c r="A7" s="89" t="s">
        <v>117</v>
      </c>
      <c r="B7" s="90">
        <v>0.02</v>
      </c>
      <c r="C7" s="40">
        <f>$C$17*1.7</f>
        <v>1977.4570000000001</v>
      </c>
      <c r="D7" s="40">
        <f t="shared" ref="D7:D12" si="0">B7*C7</f>
        <v>39.549140000000001</v>
      </c>
      <c r="E7" s="41">
        <f t="shared" ref="E7:E12" si="1">B7*C7*$C$16</f>
        <v>119720.78365960001</v>
      </c>
      <c r="H7" s="41">
        <f t="shared" ref="H7:H12" si="2">B7*C7*$H$16</f>
        <v>78646.233329800016</v>
      </c>
      <c r="I7" s="192" t="s">
        <v>39</v>
      </c>
      <c r="J7" s="193"/>
      <c r="K7" s="193"/>
      <c r="L7" s="193"/>
      <c r="M7" s="193"/>
      <c r="N7" s="193"/>
      <c r="O7" s="193"/>
      <c r="P7" s="193"/>
      <c r="Q7" s="193"/>
      <c r="R7" s="39">
        <v>0.02</v>
      </c>
      <c r="T7" s="1" t="s">
        <v>51</v>
      </c>
      <c r="U7" s="7" t="s">
        <v>52</v>
      </c>
      <c r="V7" s="3"/>
      <c r="W7" s="4"/>
      <c r="X7" s="63"/>
      <c r="Y7" s="5"/>
    </row>
    <row r="8" spans="1:25" ht="15">
      <c r="A8" s="89" t="s">
        <v>118</v>
      </c>
      <c r="B8" s="90">
        <f>R8</f>
        <v>5.9999999999999993E-3</v>
      </c>
      <c r="C8" s="40">
        <f t="shared" ref="C8:C12" si="3">$C$17*1.7</f>
        <v>1977.4570000000001</v>
      </c>
      <c r="D8" s="40">
        <f t="shared" si="0"/>
        <v>11.864742</v>
      </c>
      <c r="E8" s="41">
        <f t="shared" si="1"/>
        <v>35916.235097880002</v>
      </c>
      <c r="H8" s="41">
        <f t="shared" si="2"/>
        <v>23593.869998940001</v>
      </c>
      <c r="I8" s="192" t="s">
        <v>38</v>
      </c>
      <c r="J8" s="193"/>
      <c r="K8" s="193"/>
      <c r="L8" s="193"/>
      <c r="M8" s="193"/>
      <c r="N8" s="193"/>
      <c r="O8" s="193"/>
      <c r="P8" s="193"/>
      <c r="Q8" s="193"/>
      <c r="R8" s="39">
        <f>0.0012+0.0048</f>
        <v>5.9999999999999993E-3</v>
      </c>
      <c r="T8" s="11" t="s">
        <v>1</v>
      </c>
      <c r="U8" s="132" t="s">
        <v>113</v>
      </c>
      <c r="V8" s="8" t="s">
        <v>14</v>
      </c>
      <c r="W8" s="9">
        <v>0</v>
      </c>
      <c r="X8" s="12">
        <f>0.25*I20+K40</f>
        <v>33155.768332450003</v>
      </c>
      <c r="Y8" s="13">
        <f>W8*X8</f>
        <v>0</v>
      </c>
    </row>
    <row r="9" spans="1:25" ht="15">
      <c r="A9" s="36" t="s">
        <v>28</v>
      </c>
      <c r="B9" s="90">
        <v>1.0800000000000001E-2</v>
      </c>
      <c r="C9" s="40">
        <f t="shared" si="3"/>
        <v>1977.4570000000001</v>
      </c>
      <c r="D9" s="40">
        <f t="shared" si="0"/>
        <v>21.356535600000001</v>
      </c>
      <c r="E9" s="41">
        <f t="shared" si="1"/>
        <v>64649.223176184008</v>
      </c>
      <c r="H9" s="41">
        <f t="shared" si="2"/>
        <v>42468.965998092004</v>
      </c>
      <c r="I9" s="192" t="s">
        <v>40</v>
      </c>
      <c r="J9" s="193"/>
      <c r="K9" s="193"/>
      <c r="L9" s="193"/>
      <c r="M9" s="193"/>
      <c r="N9" s="193"/>
      <c r="O9" s="193"/>
      <c r="P9" s="193"/>
      <c r="Q9" s="193"/>
      <c r="R9" s="39">
        <f>0.0037+0.0009+0.0004+0.001+0.001+0.0024+0.0004+0.0005+0.0005</f>
        <v>1.0800000000000001E-2</v>
      </c>
      <c r="T9" s="11" t="s">
        <v>2</v>
      </c>
      <c r="U9" s="132" t="s">
        <v>53</v>
      </c>
      <c r="V9" s="8" t="s">
        <v>14</v>
      </c>
      <c r="W9" s="9">
        <v>1</v>
      </c>
      <c r="X9" s="12">
        <f>(0.25*I20)/2</f>
        <v>9830.779166225002</v>
      </c>
      <c r="Y9" s="13">
        <f t="shared" ref="Y9:Y17" si="4">W9*X9</f>
        <v>9830.779166225002</v>
      </c>
    </row>
    <row r="10" spans="1:25" ht="15">
      <c r="A10" s="36" t="s">
        <v>29</v>
      </c>
      <c r="B10" s="90">
        <f>R10</f>
        <v>6.4999999999999997E-3</v>
      </c>
      <c r="C10" s="40">
        <f t="shared" si="3"/>
        <v>1977.4570000000001</v>
      </c>
      <c r="D10" s="40">
        <f t="shared" si="0"/>
        <v>12.8534705</v>
      </c>
      <c r="E10" s="41">
        <f t="shared" si="1"/>
        <v>38909.254689370006</v>
      </c>
      <c r="H10" s="41">
        <f t="shared" si="2"/>
        <v>25560.025832185001</v>
      </c>
      <c r="I10" s="192" t="s">
        <v>119</v>
      </c>
      <c r="J10" s="192"/>
      <c r="K10" s="192"/>
      <c r="L10" s="192"/>
      <c r="M10" s="192"/>
      <c r="N10" s="192"/>
      <c r="O10" s="192"/>
      <c r="P10" s="192"/>
      <c r="Q10" s="192"/>
      <c r="R10" s="39">
        <v>6.4999999999999997E-3</v>
      </c>
      <c r="T10" s="11" t="s">
        <v>3</v>
      </c>
      <c r="U10" s="132" t="s">
        <v>54</v>
      </c>
      <c r="V10" s="8" t="s">
        <v>14</v>
      </c>
      <c r="W10" s="9">
        <v>1</v>
      </c>
      <c r="X10" s="12">
        <f>0.08*I20</f>
        <v>6291.6986663840016</v>
      </c>
      <c r="Y10" s="13">
        <f t="shared" si="4"/>
        <v>6291.6986663840016</v>
      </c>
    </row>
    <row r="11" spans="1:25" ht="15">
      <c r="A11" s="36" t="s">
        <v>30</v>
      </c>
      <c r="B11" s="90">
        <v>4.7000000000000002E-3</v>
      </c>
      <c r="C11" s="40">
        <f t="shared" si="3"/>
        <v>1977.4570000000001</v>
      </c>
      <c r="D11" s="40">
        <f t="shared" si="0"/>
        <v>9.2940479000000007</v>
      </c>
      <c r="E11" s="41">
        <f t="shared" si="1"/>
        <v>28134.384160006004</v>
      </c>
      <c r="H11" s="41">
        <f>B11*C11*$H$17</f>
        <v>21728.669831603962</v>
      </c>
      <c r="I11" s="192" t="s">
        <v>41</v>
      </c>
      <c r="J11" s="192"/>
      <c r="K11" s="192"/>
      <c r="L11" s="192"/>
      <c r="M11" s="192"/>
      <c r="N11" s="192"/>
      <c r="O11" s="192"/>
      <c r="P11" s="192"/>
      <c r="Q11" s="192"/>
      <c r="R11" s="39">
        <f>0.001+0.001+0.002+0.0007</f>
        <v>4.7000000000000002E-3</v>
      </c>
      <c r="T11" s="11" t="s">
        <v>4</v>
      </c>
      <c r="U11" s="132" t="s">
        <v>55</v>
      </c>
      <c r="V11" s="8" t="s">
        <v>14</v>
      </c>
      <c r="W11" s="9">
        <v>1</v>
      </c>
      <c r="X11" s="12">
        <f>(0.075*I21)+(0.075*I21)</f>
        <v>3539.0804998409999</v>
      </c>
      <c r="Y11" s="13">
        <f t="shared" si="4"/>
        <v>3539.0804998409999</v>
      </c>
    </row>
    <row r="12" spans="1:25" ht="15">
      <c r="A12" s="36" t="s">
        <v>31</v>
      </c>
      <c r="B12" s="90">
        <v>4.0000000000000001E-3</v>
      </c>
      <c r="C12" s="40">
        <f t="shared" si="3"/>
        <v>1977.4570000000001</v>
      </c>
      <c r="D12" s="40">
        <f t="shared" si="0"/>
        <v>7.909828000000001</v>
      </c>
      <c r="E12" s="41">
        <f t="shared" si="1"/>
        <v>23944.156731920004</v>
      </c>
      <c r="H12" s="41">
        <f t="shared" si="2"/>
        <v>15729.246665960003</v>
      </c>
      <c r="I12" s="192" t="s">
        <v>42</v>
      </c>
      <c r="J12" s="192"/>
      <c r="K12" s="192"/>
      <c r="L12" s="192"/>
      <c r="M12" s="192"/>
      <c r="N12" s="192"/>
      <c r="O12" s="192"/>
      <c r="P12" s="192"/>
      <c r="Q12" s="192"/>
      <c r="R12" s="39">
        <v>4.0000000000000001E-3</v>
      </c>
      <c r="T12" s="11" t="s">
        <v>15</v>
      </c>
      <c r="U12" s="132" t="s">
        <v>56</v>
      </c>
      <c r="V12" s="8" t="s">
        <v>14</v>
      </c>
      <c r="W12" s="9">
        <v>1</v>
      </c>
      <c r="X12" s="12">
        <f>0.15*I24</f>
        <v>3259.3004747405944</v>
      </c>
      <c r="Y12" s="13">
        <f t="shared" si="4"/>
        <v>3259.3004747405944</v>
      </c>
    </row>
    <row r="13" spans="1:25" ht="30">
      <c r="D13" s="42">
        <f>SUM(D7:D12)</f>
        <v>102.827764</v>
      </c>
      <c r="E13" s="42">
        <f>SUM(E7:E12)</f>
        <v>311274.03751496004</v>
      </c>
      <c r="H13" s="42">
        <f>SUM(H7:H12)</f>
        <v>207727.01165658099</v>
      </c>
      <c r="I13" s="97"/>
      <c r="T13" s="11" t="s">
        <v>16</v>
      </c>
      <c r="U13" s="132" t="s">
        <v>114</v>
      </c>
      <c r="V13" s="8" t="s">
        <v>14</v>
      </c>
      <c r="W13" s="9">
        <v>1</v>
      </c>
      <c r="X13" s="12">
        <f>0.2*I22</f>
        <v>8493.7931996184016</v>
      </c>
      <c r="Y13" s="13">
        <f t="shared" si="4"/>
        <v>8493.7931996184016</v>
      </c>
    </row>
    <row r="14" spans="1:25" ht="30">
      <c r="E14" s="41">
        <f>E13/C16</f>
        <v>102.827764</v>
      </c>
      <c r="H14" s="41">
        <f>H13/C16</f>
        <v>68.62154101117919</v>
      </c>
      <c r="T14" s="11" t="s">
        <v>36</v>
      </c>
      <c r="U14" s="132" t="s">
        <v>132</v>
      </c>
      <c r="V14" s="8" t="s">
        <v>14</v>
      </c>
      <c r="W14" s="9">
        <v>1</v>
      </c>
      <c r="X14" s="12">
        <f>0.05*I22</f>
        <v>2123.4482999046004</v>
      </c>
      <c r="Y14" s="13">
        <f t="shared" si="4"/>
        <v>2123.4482999046004</v>
      </c>
    </row>
    <row r="15" spans="1:25" ht="30">
      <c r="E15" s="43">
        <f>D13/1200</f>
        <v>8.5689803333333328E-2</v>
      </c>
      <c r="H15" s="43">
        <f>H14/1200</f>
        <v>5.7184617509315992E-2</v>
      </c>
      <c r="I15" s="43">
        <f>H14/1840</f>
        <v>3.729431576694521E-2</v>
      </c>
      <c r="T15" s="11" t="s">
        <v>85</v>
      </c>
      <c r="U15" s="133" t="s">
        <v>108</v>
      </c>
      <c r="V15" s="15" t="s">
        <v>14</v>
      </c>
      <c r="W15" s="9">
        <v>1</v>
      </c>
      <c r="X15" s="12">
        <f>0.4*I23</f>
        <v>10224.010332874001</v>
      </c>
      <c r="Y15" s="13">
        <f t="shared" si="4"/>
        <v>10224.010332874001</v>
      </c>
    </row>
    <row r="16" spans="1:25" ht="30">
      <c r="A16" s="206" t="s">
        <v>44</v>
      </c>
      <c r="B16" s="206"/>
      <c r="C16" s="62">
        <f>B5</f>
        <v>3027.1400000000003</v>
      </c>
      <c r="G16" s="98" t="s">
        <v>45</v>
      </c>
      <c r="H16" s="45">
        <f>(300+(500*0.83)+(1000*0.66)+(C16-1800)*0.5)</f>
        <v>1988.5700000000002</v>
      </c>
      <c r="I16" s="40">
        <f>H16/C16</f>
        <v>0.65691378661046396</v>
      </c>
      <c r="T16" s="11" t="s">
        <v>86</v>
      </c>
      <c r="U16" s="132" t="s">
        <v>57</v>
      </c>
      <c r="V16" s="8" t="s">
        <v>14</v>
      </c>
      <c r="W16" s="9">
        <v>1</v>
      </c>
      <c r="X16" s="12">
        <f>0.15*I24</f>
        <v>3259.3004747405944</v>
      </c>
      <c r="Y16" s="13">
        <f t="shared" si="4"/>
        <v>3259.3004747405944</v>
      </c>
    </row>
    <row r="17" spans="1:25" ht="15">
      <c r="A17" s="102" t="s">
        <v>149</v>
      </c>
      <c r="B17" s="46">
        <v>41487</v>
      </c>
      <c r="C17" s="59">
        <v>1163.21</v>
      </c>
      <c r="G17" s="98" t="s">
        <v>48</v>
      </c>
      <c r="H17" s="45">
        <f>(500+(1000*0.83)+(C16-1500)*0.66)</f>
        <v>2337.9124000000002</v>
      </c>
      <c r="I17" s="40">
        <f>H17/C16</f>
        <v>0.7723172367317005</v>
      </c>
      <c r="T17" s="11" t="s">
        <v>58</v>
      </c>
      <c r="U17" s="132" t="s">
        <v>59</v>
      </c>
      <c r="V17" s="8" t="s">
        <v>14</v>
      </c>
      <c r="W17" s="9">
        <v>1</v>
      </c>
      <c r="X17" s="12">
        <f>0.05*I22</f>
        <v>2123.4482999046004</v>
      </c>
      <c r="Y17" s="13">
        <f t="shared" si="4"/>
        <v>2123.4482999046004</v>
      </c>
    </row>
    <row r="18" spans="1:25" ht="15">
      <c r="A18" s="78" t="s">
        <v>213</v>
      </c>
      <c r="T18" s="11"/>
      <c r="U18" s="14"/>
      <c r="V18" s="8"/>
      <c r="W18" s="9"/>
      <c r="X18" s="12"/>
      <c r="Y18" s="13"/>
    </row>
    <row r="19" spans="1:25" ht="16.5" thickBot="1">
      <c r="A19" s="78"/>
      <c r="T19" s="11"/>
      <c r="U19" s="64" t="s">
        <v>17</v>
      </c>
      <c r="V19" s="8"/>
      <c r="W19" s="9"/>
      <c r="X19" s="16"/>
      <c r="Y19" s="17">
        <f>SUM(Y8:Y18)</f>
        <v>49144.859414232793</v>
      </c>
    </row>
    <row r="20" spans="1:25" ht="15">
      <c r="H20" s="60" t="s">
        <v>27</v>
      </c>
      <c r="I20" s="47">
        <f t="shared" ref="I20:I25" si="5">H7</f>
        <v>78646.233329800016</v>
      </c>
      <c r="T20" s="18"/>
      <c r="U20" s="19"/>
      <c r="V20" s="20"/>
      <c r="W20" s="21"/>
      <c r="X20" s="22"/>
      <c r="Y20" s="23"/>
    </row>
    <row r="21" spans="1:25" ht="15">
      <c r="C21" s="36">
        <f>23000*0.0005</f>
        <v>11.5</v>
      </c>
      <c r="H21" s="48" t="s">
        <v>32</v>
      </c>
      <c r="I21" s="49">
        <f t="shared" si="5"/>
        <v>23593.869998940001</v>
      </c>
      <c r="T21" s="18"/>
      <c r="U21" s="19"/>
      <c r="V21" s="20"/>
      <c r="W21" s="24"/>
      <c r="X21" s="22"/>
      <c r="Y21" s="25"/>
    </row>
    <row r="22" spans="1:25" ht="15.75">
      <c r="A22" s="79"/>
      <c r="B22" s="79"/>
      <c r="C22" s="79"/>
      <c r="D22" s="79"/>
      <c r="E22" s="79"/>
      <c r="F22" s="79"/>
      <c r="H22" s="48" t="s">
        <v>33</v>
      </c>
      <c r="I22" s="49">
        <f t="shared" si="5"/>
        <v>42468.965998092004</v>
      </c>
      <c r="L22" s="89"/>
      <c r="T22" s="87" t="s">
        <v>60</v>
      </c>
      <c r="U22" s="65" t="s">
        <v>61</v>
      </c>
      <c r="V22" s="20"/>
      <c r="W22" s="24"/>
      <c r="X22" s="22"/>
      <c r="Y22" s="25"/>
    </row>
    <row r="23" spans="1:25" ht="15">
      <c r="A23" s="80"/>
      <c r="B23" s="81"/>
      <c r="C23" s="81"/>
      <c r="D23" s="80"/>
      <c r="E23" s="81"/>
      <c r="F23" s="79"/>
      <c r="H23" s="50" t="s">
        <v>29</v>
      </c>
      <c r="I23" s="51">
        <f t="shared" si="5"/>
        <v>25560.025832185001</v>
      </c>
      <c r="J23" s="52"/>
      <c r="T23" s="11" t="s">
        <v>5</v>
      </c>
      <c r="U23" s="132" t="s">
        <v>62</v>
      </c>
      <c r="V23" s="8" t="s">
        <v>14</v>
      </c>
      <c r="W23" s="9">
        <v>1</v>
      </c>
      <c r="X23" s="12">
        <f>0.1*I20+0.05*I20</f>
        <v>11796.934999470002</v>
      </c>
      <c r="Y23" s="13">
        <f>W23*X23</f>
        <v>11796.934999470002</v>
      </c>
    </row>
    <row r="24" spans="1:25" ht="15">
      <c r="A24" s="79"/>
      <c r="B24" s="82"/>
      <c r="C24" s="83"/>
      <c r="D24" s="83"/>
      <c r="E24" s="84"/>
      <c r="F24" s="79"/>
      <c r="H24" s="48" t="s">
        <v>30</v>
      </c>
      <c r="I24" s="49">
        <f t="shared" si="5"/>
        <v>21728.669831603962</v>
      </c>
      <c r="J24" s="41"/>
      <c r="T24" s="11" t="s">
        <v>6</v>
      </c>
      <c r="U24" s="132" t="s">
        <v>63</v>
      </c>
      <c r="V24" s="8" t="s">
        <v>14</v>
      </c>
      <c r="W24" s="9">
        <v>1</v>
      </c>
      <c r="X24" s="12">
        <f>0.15*I22</f>
        <v>6370.3448997138003</v>
      </c>
      <c r="Y24" s="13">
        <f t="shared" ref="Y24:Y25" si="6">W24*X24</f>
        <v>6370.3448997138003</v>
      </c>
    </row>
    <row r="25" spans="1:25" ht="15">
      <c r="A25" s="79"/>
      <c r="B25" s="82"/>
      <c r="C25" s="83"/>
      <c r="D25" s="83"/>
      <c r="E25" s="84"/>
      <c r="F25" s="79"/>
      <c r="H25" s="53" t="s">
        <v>34</v>
      </c>
      <c r="I25" s="49">
        <f t="shared" si="5"/>
        <v>15729.246665960003</v>
      </c>
      <c r="J25" s="41"/>
      <c r="T25" s="11" t="s">
        <v>7</v>
      </c>
      <c r="U25" s="132" t="s">
        <v>64</v>
      </c>
      <c r="V25" s="8" t="s">
        <v>14</v>
      </c>
      <c r="W25" s="9">
        <v>1</v>
      </c>
      <c r="X25" s="12">
        <f>0.15*I24</f>
        <v>3259.3004747405944</v>
      </c>
      <c r="Y25" s="13">
        <f t="shared" si="6"/>
        <v>3259.3004747405944</v>
      </c>
    </row>
    <row r="26" spans="1:25" ht="15">
      <c r="A26" s="79"/>
      <c r="B26" s="82"/>
      <c r="C26" s="83"/>
      <c r="D26" s="83"/>
      <c r="E26" s="84"/>
      <c r="F26" s="79"/>
      <c r="H26" s="54"/>
      <c r="I26" s="55"/>
      <c r="J26" s="41"/>
      <c r="T26" s="11"/>
      <c r="U26" s="14"/>
      <c r="V26" s="8"/>
      <c r="W26" s="9"/>
      <c r="X26" s="12"/>
      <c r="Y26" s="13"/>
    </row>
    <row r="27" spans="1:25" ht="16.5" thickBot="1">
      <c r="A27" s="79"/>
      <c r="B27" s="82"/>
      <c r="C27" s="83"/>
      <c r="D27" s="83"/>
      <c r="E27" s="84"/>
      <c r="F27" s="79"/>
      <c r="H27" s="56"/>
      <c r="I27" s="57">
        <f>SUM(I20:I25)</f>
        <v>207727.01165658099</v>
      </c>
      <c r="J27" s="41"/>
      <c r="T27" s="11"/>
      <c r="U27" s="64" t="s">
        <v>17</v>
      </c>
      <c r="V27" s="8"/>
      <c r="W27" s="9"/>
      <c r="X27" s="16"/>
      <c r="Y27" s="17">
        <f>SUM(Y23:Y26)</f>
        <v>21426.580373924397</v>
      </c>
    </row>
    <row r="28" spans="1:25" ht="15.75">
      <c r="A28" s="79"/>
      <c r="B28" s="82"/>
      <c r="C28" s="83"/>
      <c r="D28" s="83"/>
      <c r="E28" s="84"/>
      <c r="F28" s="79"/>
      <c r="I28" s="41"/>
      <c r="J28" s="41"/>
      <c r="T28" s="11"/>
      <c r="U28" s="14"/>
      <c r="V28" s="8"/>
      <c r="W28" s="9"/>
      <c r="X28" s="26"/>
      <c r="Y28" s="10"/>
    </row>
    <row r="29" spans="1:25" ht="15.75">
      <c r="A29" s="79"/>
      <c r="B29" s="82"/>
      <c r="C29" s="83"/>
      <c r="D29" s="83"/>
      <c r="E29" s="84"/>
      <c r="F29" s="79"/>
      <c r="H29" s="98" t="s">
        <v>49</v>
      </c>
      <c r="I29" s="42">
        <f>I27/C16</f>
        <v>68.62154101117919</v>
      </c>
      <c r="J29" s="41"/>
      <c r="T29" s="6">
        <v>3</v>
      </c>
      <c r="U29" s="65" t="s">
        <v>65</v>
      </c>
      <c r="V29" s="8"/>
      <c r="W29" s="9"/>
      <c r="X29" s="22"/>
      <c r="Y29" s="23"/>
    </row>
    <row r="30" spans="1:25" ht="15">
      <c r="A30" s="79"/>
      <c r="B30" s="188"/>
      <c r="C30" s="188"/>
      <c r="D30" s="85"/>
      <c r="E30" s="86"/>
      <c r="F30" s="79"/>
      <c r="T30" s="11" t="s">
        <v>8</v>
      </c>
      <c r="U30" s="132" t="s">
        <v>115</v>
      </c>
      <c r="V30" s="8" t="s">
        <v>14</v>
      </c>
      <c r="W30" s="9">
        <v>1</v>
      </c>
      <c r="X30" s="12">
        <f>0.255*I20</f>
        <v>20054.789499099003</v>
      </c>
      <c r="Y30" s="13">
        <f>W30*X30</f>
        <v>20054.789499099003</v>
      </c>
    </row>
    <row r="31" spans="1:25" ht="15">
      <c r="C31" s="188"/>
      <c r="D31" s="188"/>
      <c r="E31" s="41"/>
      <c r="T31" s="11" t="s">
        <v>9</v>
      </c>
      <c r="U31" s="132" t="s">
        <v>66</v>
      </c>
      <c r="V31" s="8" t="s">
        <v>14</v>
      </c>
      <c r="W31" s="9">
        <v>1</v>
      </c>
      <c r="X31" s="12">
        <f>0.04*I$20</f>
        <v>3145.8493331920008</v>
      </c>
      <c r="Y31" s="13">
        <f t="shared" ref="Y31:Y53" si="7">W31*X31</f>
        <v>3145.8493331920008</v>
      </c>
    </row>
    <row r="32" spans="1:25" ht="15">
      <c r="C32" s="188"/>
      <c r="D32" s="188"/>
      <c r="E32" s="43"/>
      <c r="I32" s="189"/>
      <c r="J32" s="189"/>
      <c r="K32" s="189"/>
      <c r="T32" s="11" t="s">
        <v>18</v>
      </c>
      <c r="U32" s="132" t="s">
        <v>67</v>
      </c>
      <c r="V32" s="8" t="s">
        <v>14</v>
      </c>
      <c r="W32" s="9">
        <v>1</v>
      </c>
      <c r="X32" s="12">
        <f t="shared" ref="X32" si="8">0.04*I$20</f>
        <v>3145.8493331920008</v>
      </c>
      <c r="Y32" s="13">
        <f t="shared" si="7"/>
        <v>3145.8493331920008</v>
      </c>
    </row>
    <row r="33" spans="1:25" ht="15">
      <c r="A33" s="190" t="s">
        <v>46</v>
      </c>
      <c r="B33" s="190"/>
      <c r="C33" s="190"/>
      <c r="D33" s="190"/>
      <c r="E33" s="190"/>
      <c r="F33" s="190"/>
      <c r="G33" s="190"/>
      <c r="H33" s="190"/>
      <c r="I33" s="190"/>
      <c r="T33" s="11" t="s">
        <v>37</v>
      </c>
      <c r="U33" s="132" t="s">
        <v>68</v>
      </c>
      <c r="V33" s="8" t="s">
        <v>14</v>
      </c>
      <c r="W33" s="9">
        <v>1</v>
      </c>
      <c r="X33" s="12">
        <f>0.06*I$20</f>
        <v>4718.7739997880008</v>
      </c>
      <c r="Y33" s="13">
        <f t="shared" si="7"/>
        <v>4718.7739997880008</v>
      </c>
    </row>
    <row r="34" spans="1:25" ht="15">
      <c r="A34" s="191" t="s">
        <v>150</v>
      </c>
      <c r="B34" s="191"/>
      <c r="C34" s="191"/>
      <c r="D34" s="191"/>
      <c r="E34" s="191"/>
      <c r="F34" s="191"/>
      <c r="G34" s="191"/>
      <c r="H34" s="191"/>
      <c r="I34" s="191"/>
      <c r="T34" s="11" t="s">
        <v>87</v>
      </c>
      <c r="U34" s="132" t="s">
        <v>69</v>
      </c>
      <c r="V34" s="8" t="s">
        <v>14</v>
      </c>
      <c r="W34" s="9">
        <v>1</v>
      </c>
      <c r="X34" s="12">
        <f>0.075*I$20</f>
        <v>5898.4674997350012</v>
      </c>
      <c r="Y34" s="13">
        <f t="shared" si="7"/>
        <v>5898.4674997350012</v>
      </c>
    </row>
    <row r="35" spans="1:25" ht="15">
      <c r="T35" s="11" t="s">
        <v>88</v>
      </c>
      <c r="U35" s="132" t="s">
        <v>131</v>
      </c>
      <c r="V35" s="8" t="s">
        <v>14</v>
      </c>
      <c r="W35" s="9">
        <v>1</v>
      </c>
      <c r="X35" s="12">
        <f>0.05*I$20</f>
        <v>3932.3116664900008</v>
      </c>
      <c r="Y35" s="13">
        <f t="shared" si="7"/>
        <v>3932.3116664900008</v>
      </c>
    </row>
    <row r="36" spans="1:25" ht="15">
      <c r="T36" s="11" t="s">
        <v>89</v>
      </c>
      <c r="U36" s="132" t="s">
        <v>70</v>
      </c>
      <c r="V36" s="8" t="s">
        <v>14</v>
      </c>
      <c r="W36" s="9">
        <v>1</v>
      </c>
      <c r="X36" s="12">
        <f>0.3*I21</f>
        <v>7078.1609996819998</v>
      </c>
      <c r="Y36" s="13">
        <f t="shared" si="7"/>
        <v>7078.1609996819998</v>
      </c>
    </row>
    <row r="37" spans="1:25" ht="15">
      <c r="A37" s="89" t="s">
        <v>106</v>
      </c>
      <c r="T37" s="11" t="s">
        <v>90</v>
      </c>
      <c r="U37" s="132" t="s">
        <v>71</v>
      </c>
      <c r="V37" s="8" t="s">
        <v>14</v>
      </c>
      <c r="W37" s="9">
        <v>1</v>
      </c>
      <c r="X37" s="12">
        <f>0.3*I21</f>
        <v>7078.1609996819998</v>
      </c>
      <c r="Y37" s="13">
        <f t="shared" si="7"/>
        <v>7078.1609996819998</v>
      </c>
    </row>
    <row r="38" spans="1:25" ht="15">
      <c r="T38" s="11" t="s">
        <v>91</v>
      </c>
      <c r="U38" s="132" t="s">
        <v>72</v>
      </c>
      <c r="V38" s="8" t="s">
        <v>14</v>
      </c>
      <c r="W38" s="9">
        <v>1</v>
      </c>
      <c r="X38" s="12">
        <f>0.15*I$24</f>
        <v>3259.3004747405944</v>
      </c>
      <c r="Y38" s="13">
        <f t="shared" si="7"/>
        <v>3259.3004747405944</v>
      </c>
    </row>
    <row r="39" spans="1:25" ht="15">
      <c r="A39" s="89" t="s">
        <v>211</v>
      </c>
      <c r="G39" s="91" t="s">
        <v>121</v>
      </c>
      <c r="H39" s="91" t="s">
        <v>120</v>
      </c>
      <c r="T39" s="11" t="s">
        <v>92</v>
      </c>
      <c r="U39" s="132" t="s">
        <v>73</v>
      </c>
      <c r="V39" s="8" t="s">
        <v>14</v>
      </c>
      <c r="W39" s="9">
        <v>1</v>
      </c>
      <c r="X39" s="12">
        <f t="shared" ref="X39" si="9">0.15*I$24</f>
        <v>3259.3004747405944</v>
      </c>
      <c r="Y39" s="13">
        <f t="shared" si="7"/>
        <v>3259.3004747405944</v>
      </c>
    </row>
    <row r="40" spans="1:25" ht="26.25" customHeight="1">
      <c r="A40" s="205" t="s">
        <v>107</v>
      </c>
      <c r="B40" s="205"/>
      <c r="C40" s="205"/>
      <c r="D40" s="205"/>
      <c r="E40" s="205"/>
      <c r="G40" s="91">
        <v>0.33</v>
      </c>
      <c r="H40" s="92">
        <v>20937</v>
      </c>
      <c r="I40" s="40">
        <f>G40*H40</f>
        <v>6909.21</v>
      </c>
      <c r="J40" s="112">
        <f>D86</f>
        <v>6585</v>
      </c>
      <c r="K40" s="111">
        <f>J40+I40</f>
        <v>13494.21</v>
      </c>
      <c r="T40" s="11" t="s">
        <v>93</v>
      </c>
      <c r="U40" s="132" t="s">
        <v>74</v>
      </c>
      <c r="V40" s="8" t="s">
        <v>14</v>
      </c>
      <c r="W40" s="9">
        <v>1</v>
      </c>
      <c r="X40" s="12">
        <f>0.1*I$24</f>
        <v>2172.8669831603961</v>
      </c>
      <c r="Y40" s="13">
        <f t="shared" si="7"/>
        <v>2172.8669831603961</v>
      </c>
    </row>
    <row r="41" spans="1:25" ht="15">
      <c r="T41" s="11" t="s">
        <v>94</v>
      </c>
      <c r="U41" s="132" t="s">
        <v>75</v>
      </c>
      <c r="V41" s="8" t="s">
        <v>14</v>
      </c>
      <c r="W41" s="9">
        <v>1</v>
      </c>
      <c r="X41" s="12">
        <f>0.05*I$24</f>
        <v>1086.4334915801981</v>
      </c>
      <c r="Y41" s="13">
        <f t="shared" si="7"/>
        <v>1086.4334915801981</v>
      </c>
    </row>
    <row r="42" spans="1:25" ht="15">
      <c r="I42" s="41">
        <f>I27+I40</f>
        <v>214636.22165658098</v>
      </c>
      <c r="T42" s="11" t="s">
        <v>95</v>
      </c>
      <c r="U42" s="132" t="s">
        <v>116</v>
      </c>
      <c r="V42" s="8" t="s">
        <v>14</v>
      </c>
      <c r="W42" s="9">
        <v>1</v>
      </c>
      <c r="X42" s="12">
        <f>0.2*I$22</f>
        <v>8493.7931996184016</v>
      </c>
      <c r="Y42" s="13">
        <f t="shared" si="7"/>
        <v>8493.7931996184016</v>
      </c>
    </row>
    <row r="43" spans="1:25" ht="15">
      <c r="T43" s="11" t="s">
        <v>96</v>
      </c>
      <c r="U43" s="132" t="s">
        <v>76</v>
      </c>
      <c r="V43" s="8" t="s">
        <v>14</v>
      </c>
      <c r="W43" s="9">
        <v>1</v>
      </c>
      <c r="X43" s="12">
        <f>0.1*I$22</f>
        <v>4246.8965998092008</v>
      </c>
      <c r="Y43" s="13">
        <f t="shared" si="7"/>
        <v>4246.8965998092008</v>
      </c>
    </row>
    <row r="44" spans="1:25" ht="15">
      <c r="A44" s="203" t="s">
        <v>171</v>
      </c>
      <c r="B44" s="204"/>
      <c r="C44" s="204"/>
      <c r="D44" s="204"/>
      <c r="E44" s="204"/>
      <c r="F44" s="204"/>
      <c r="G44" s="204"/>
      <c r="H44" s="204"/>
      <c r="I44" s="204"/>
      <c r="T44" s="11" t="s">
        <v>97</v>
      </c>
      <c r="U44" s="132" t="s">
        <v>77</v>
      </c>
      <c r="V44" s="8" t="s">
        <v>14</v>
      </c>
      <c r="W44" s="9">
        <v>1</v>
      </c>
      <c r="X44" s="12">
        <f>0.05*I$22</f>
        <v>2123.4482999046004</v>
      </c>
      <c r="Y44" s="13">
        <f t="shared" si="7"/>
        <v>2123.4482999046004</v>
      </c>
    </row>
    <row r="45" spans="1:25" ht="30">
      <c r="A45"/>
      <c r="B45"/>
      <c r="C45"/>
      <c r="D45"/>
      <c r="E45"/>
      <c r="F45"/>
      <c r="G45"/>
      <c r="H45"/>
      <c r="I45"/>
      <c r="T45" s="11" t="s">
        <v>98</v>
      </c>
      <c r="U45" s="132" t="s">
        <v>129</v>
      </c>
      <c r="V45" s="15" t="s">
        <v>14</v>
      </c>
      <c r="W45" s="9">
        <v>1</v>
      </c>
      <c r="X45" s="12">
        <f>0.1*I$22</f>
        <v>4246.8965998092008</v>
      </c>
      <c r="Y45" s="13">
        <f t="shared" si="7"/>
        <v>4246.8965998092008</v>
      </c>
    </row>
    <row r="46" spans="1:25" ht="30">
      <c r="A46" t="s">
        <v>172</v>
      </c>
      <c r="B46"/>
      <c r="C46"/>
      <c r="D46"/>
      <c r="E46"/>
      <c r="F46"/>
      <c r="G46"/>
      <c r="H46"/>
      <c r="I46"/>
      <c r="T46" s="11" t="s">
        <v>99</v>
      </c>
      <c r="U46" s="132" t="s">
        <v>109</v>
      </c>
      <c r="V46" s="8" t="s">
        <v>14</v>
      </c>
      <c r="W46" s="9">
        <v>1</v>
      </c>
      <c r="X46" s="12">
        <f>0.6*I23</f>
        <v>15336.015499311001</v>
      </c>
      <c r="Y46" s="13">
        <f t="shared" si="7"/>
        <v>15336.015499311001</v>
      </c>
    </row>
    <row r="47" spans="1:25" ht="15">
      <c r="A47" t="s">
        <v>173</v>
      </c>
      <c r="B47"/>
      <c r="C47"/>
      <c r="D47"/>
      <c r="E47"/>
      <c r="F47"/>
      <c r="G47"/>
      <c r="H47"/>
      <c r="I47"/>
      <c r="T47" s="11" t="s">
        <v>100</v>
      </c>
      <c r="U47" s="132" t="s">
        <v>78</v>
      </c>
      <c r="V47" s="8" t="s">
        <v>14</v>
      </c>
      <c r="W47" s="9">
        <v>1</v>
      </c>
      <c r="X47" s="12">
        <f>0.1*I24</f>
        <v>2172.8669831603961</v>
      </c>
      <c r="Y47" s="13">
        <f t="shared" si="7"/>
        <v>2172.8669831603961</v>
      </c>
    </row>
    <row r="48" spans="1:25" ht="15">
      <c r="A48" t="s">
        <v>174</v>
      </c>
      <c r="B48"/>
      <c r="C48"/>
      <c r="D48"/>
      <c r="E48"/>
      <c r="F48"/>
      <c r="G48"/>
      <c r="H48"/>
      <c r="I48"/>
      <c r="T48" s="11" t="s">
        <v>101</v>
      </c>
      <c r="U48" s="132" t="s">
        <v>79</v>
      </c>
      <c r="V48" s="8" t="s">
        <v>14</v>
      </c>
      <c r="W48" s="9">
        <v>1</v>
      </c>
      <c r="X48" s="12">
        <f>0.06*I$22</f>
        <v>2548.1379598855201</v>
      </c>
      <c r="Y48" s="13">
        <f t="shared" si="7"/>
        <v>2548.1379598855201</v>
      </c>
    </row>
    <row r="49" spans="1:25" ht="15">
      <c r="A49" t="s">
        <v>175</v>
      </c>
      <c r="B49"/>
      <c r="C49"/>
      <c r="D49"/>
      <c r="E49"/>
      <c r="F49"/>
      <c r="G49"/>
      <c r="H49"/>
      <c r="I49"/>
      <c r="T49" s="11" t="s">
        <v>102</v>
      </c>
      <c r="U49" s="132" t="s">
        <v>80</v>
      </c>
      <c r="V49" s="8" t="s">
        <v>14</v>
      </c>
      <c r="W49" s="9">
        <v>1</v>
      </c>
      <c r="X49" s="12">
        <f>0.04*I$22</f>
        <v>1698.7586399236802</v>
      </c>
      <c r="Y49" s="13">
        <f t="shared" si="7"/>
        <v>1698.7586399236802</v>
      </c>
    </row>
    <row r="50" spans="1:25" ht="15">
      <c r="A50" t="s">
        <v>176</v>
      </c>
      <c r="B50"/>
      <c r="C50"/>
      <c r="D50"/>
      <c r="E50"/>
      <c r="F50"/>
      <c r="G50"/>
      <c r="H50"/>
      <c r="I50"/>
      <c r="T50" s="11" t="s">
        <v>103</v>
      </c>
      <c r="U50" s="132" t="s">
        <v>81</v>
      </c>
      <c r="V50" s="8" t="s">
        <v>14</v>
      </c>
      <c r="W50" s="9">
        <v>1</v>
      </c>
      <c r="X50" s="12">
        <f>0.3*I$25</f>
        <v>4718.7739997880008</v>
      </c>
      <c r="Y50" s="13">
        <f t="shared" si="7"/>
        <v>4718.7739997880008</v>
      </c>
    </row>
    <row r="51" spans="1:25" ht="15">
      <c r="A51" t="s">
        <v>177</v>
      </c>
      <c r="B51"/>
      <c r="C51"/>
      <c r="D51"/>
      <c r="E51"/>
      <c r="F51"/>
      <c r="G51"/>
      <c r="H51"/>
      <c r="I51"/>
      <c r="T51" s="11" t="s">
        <v>104</v>
      </c>
      <c r="U51" s="132" t="s">
        <v>110</v>
      </c>
      <c r="V51" s="8" t="s">
        <v>14</v>
      </c>
      <c r="W51" s="9">
        <v>1</v>
      </c>
      <c r="X51" s="12">
        <f t="shared" ref="X51:X53" si="10">0.3*I$25</f>
        <v>4718.7739997880008</v>
      </c>
      <c r="Y51" s="13">
        <f t="shared" si="7"/>
        <v>4718.7739997880008</v>
      </c>
    </row>
    <row r="52" spans="1:25" ht="15">
      <c r="A52" t="s">
        <v>178</v>
      </c>
      <c r="B52"/>
      <c r="C52"/>
      <c r="D52"/>
      <c r="E52"/>
      <c r="F52"/>
      <c r="G52"/>
      <c r="H52"/>
      <c r="I52"/>
      <c r="T52" s="11" t="s">
        <v>105</v>
      </c>
      <c r="U52" s="132" t="s">
        <v>82</v>
      </c>
      <c r="V52" s="8" t="s">
        <v>14</v>
      </c>
      <c r="W52" s="9">
        <v>1</v>
      </c>
      <c r="X52" s="12">
        <f>0.1*I$25</f>
        <v>1572.9246665960004</v>
      </c>
      <c r="Y52" s="13">
        <f t="shared" si="7"/>
        <v>1572.9246665960004</v>
      </c>
    </row>
    <row r="53" spans="1:25" ht="45">
      <c r="A53" t="s">
        <v>179</v>
      </c>
      <c r="B53"/>
      <c r="C53"/>
      <c r="D53"/>
      <c r="E53"/>
      <c r="F53"/>
      <c r="G53"/>
      <c r="H53"/>
      <c r="I53"/>
      <c r="T53" s="11" t="s">
        <v>130</v>
      </c>
      <c r="U53" s="132" t="s">
        <v>128</v>
      </c>
      <c r="V53" s="15" t="s">
        <v>14</v>
      </c>
      <c r="W53" s="9">
        <v>1</v>
      </c>
      <c r="X53" s="12">
        <f t="shared" si="10"/>
        <v>4718.7739997880008</v>
      </c>
      <c r="Y53" s="13">
        <f t="shared" si="7"/>
        <v>4718.7739997880008</v>
      </c>
    </row>
    <row r="54" spans="1:25" ht="15">
      <c r="A54" t="s">
        <v>180</v>
      </c>
      <c r="B54"/>
      <c r="C54"/>
      <c r="D54"/>
      <c r="E54"/>
      <c r="F54"/>
      <c r="G54"/>
      <c r="H54"/>
      <c r="I54"/>
      <c r="T54" s="67"/>
      <c r="U54" s="14"/>
      <c r="V54" s="68"/>
      <c r="W54" s="69"/>
      <c r="X54" s="70"/>
      <c r="Y54" s="71"/>
    </row>
    <row r="55" spans="1:25" ht="15.75">
      <c r="A55" t="s">
        <v>181</v>
      </c>
      <c r="B55"/>
      <c r="C55"/>
      <c r="D55"/>
      <c r="E55"/>
      <c r="F55"/>
      <c r="G55"/>
      <c r="H55"/>
      <c r="I55"/>
      <c r="T55" s="72"/>
      <c r="U55" s="73" t="s">
        <v>17</v>
      </c>
      <c r="V55" s="74"/>
      <c r="W55" s="75"/>
      <c r="X55" s="76"/>
      <c r="Y55" s="77">
        <f>SUM(Y30:Y54)</f>
        <v>121426.32520246376</v>
      </c>
    </row>
    <row r="56" spans="1:25" ht="15">
      <c r="A56" t="s">
        <v>182</v>
      </c>
      <c r="B56"/>
      <c r="C56"/>
      <c r="D56"/>
      <c r="E56"/>
      <c r="F56"/>
      <c r="G56"/>
      <c r="H56"/>
      <c r="I56"/>
      <c r="T56" s="27"/>
      <c r="U56" s="19"/>
      <c r="V56" s="20"/>
      <c r="W56" s="24"/>
      <c r="X56" s="21"/>
      <c r="Y56" s="28"/>
    </row>
    <row r="57" spans="1:25" ht="15.75">
      <c r="A57" t="s">
        <v>183</v>
      </c>
      <c r="B57"/>
      <c r="C57"/>
      <c r="D57"/>
      <c r="E57"/>
      <c r="F57"/>
      <c r="G57"/>
      <c r="H57"/>
      <c r="I57"/>
      <c r="T57" s="27"/>
      <c r="U57" s="29" t="s">
        <v>19</v>
      </c>
      <c r="V57" s="20"/>
      <c r="W57" s="24"/>
      <c r="X57" s="21"/>
      <c r="Y57" s="17">
        <f>+Y19+Y27+Y55</f>
        <v>191997.76499062096</v>
      </c>
    </row>
    <row r="58" spans="1:25" ht="15.75">
      <c r="A58" t="s">
        <v>184</v>
      </c>
      <c r="B58"/>
      <c r="C58"/>
      <c r="D58"/>
      <c r="E58"/>
      <c r="F58"/>
      <c r="G58"/>
      <c r="H58"/>
      <c r="I58"/>
      <c r="T58" s="27"/>
      <c r="U58" s="29" t="s">
        <v>20</v>
      </c>
      <c r="V58" s="20" t="s">
        <v>10</v>
      </c>
      <c r="W58" s="88">
        <v>20.49</v>
      </c>
      <c r="X58" s="21"/>
      <c r="Y58" s="17">
        <f>Y57*W58/100</f>
        <v>39340.342046578226</v>
      </c>
    </row>
    <row r="59" spans="1:25" ht="16.5" thickBot="1">
      <c r="A59" t="s">
        <v>185</v>
      </c>
      <c r="B59"/>
      <c r="C59"/>
      <c r="D59"/>
      <c r="E59"/>
      <c r="F59"/>
      <c r="G59"/>
      <c r="H59"/>
      <c r="I59"/>
      <c r="T59" s="30"/>
      <c r="U59" s="31" t="s">
        <v>21</v>
      </c>
      <c r="V59" s="32"/>
      <c r="W59" s="33"/>
      <c r="X59" s="34"/>
      <c r="Y59" s="35">
        <f>Y57+Y58</f>
        <v>231338.1070371992</v>
      </c>
    </row>
    <row r="60" spans="1:25">
      <c r="A60" t="s">
        <v>186</v>
      </c>
      <c r="B60"/>
      <c r="C60"/>
      <c r="D60"/>
      <c r="E60"/>
      <c r="F60"/>
      <c r="G60"/>
      <c r="H60"/>
      <c r="I60"/>
    </row>
    <row r="61" spans="1:25">
      <c r="A61" t="s">
        <v>187</v>
      </c>
      <c r="B61"/>
      <c r="C61"/>
      <c r="D61"/>
      <c r="E61"/>
      <c r="F61"/>
      <c r="G61"/>
      <c r="H61"/>
      <c r="I61"/>
    </row>
    <row r="62" spans="1:25">
      <c r="A62"/>
      <c r="B62"/>
      <c r="C62"/>
      <c r="D62"/>
      <c r="E62"/>
      <c r="F62"/>
      <c r="G62"/>
      <c r="H62"/>
      <c r="I62"/>
    </row>
    <row r="63" spans="1:25">
      <c r="A63"/>
      <c r="B63"/>
      <c r="C63"/>
      <c r="D63"/>
      <c r="E63"/>
      <c r="F63"/>
      <c r="G63"/>
      <c r="H63"/>
      <c r="I63"/>
    </row>
    <row r="64" spans="1:25">
      <c r="A64" s="108" t="s">
        <v>198</v>
      </c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 t="s">
        <v>188</v>
      </c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 t="s">
        <v>189</v>
      </c>
      <c r="B68"/>
      <c r="C68" s="94"/>
      <c r="D68" s="94" t="s">
        <v>191</v>
      </c>
      <c r="E68"/>
      <c r="F68"/>
      <c r="G68"/>
      <c r="H68"/>
      <c r="I68"/>
    </row>
    <row r="69" spans="1:9">
      <c r="A69" t="s">
        <v>192</v>
      </c>
      <c r="B69"/>
      <c r="C69" s="94"/>
      <c r="D69" s="94"/>
      <c r="E69"/>
      <c r="F69"/>
      <c r="G69"/>
      <c r="H69"/>
      <c r="I69"/>
    </row>
    <row r="70" spans="1:9">
      <c r="A70" s="108" t="s">
        <v>201</v>
      </c>
      <c r="B70"/>
      <c r="C70"/>
      <c r="D70"/>
      <c r="E70"/>
      <c r="F70"/>
      <c r="G70"/>
      <c r="H70"/>
      <c r="I70"/>
    </row>
    <row r="71" spans="1:9">
      <c r="A71" t="s">
        <v>193</v>
      </c>
      <c r="B71"/>
      <c r="C71" s="104"/>
      <c r="D71">
        <v>42.5</v>
      </c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 s="104"/>
      <c r="D73"/>
      <c r="E73"/>
      <c r="F73"/>
      <c r="G73"/>
      <c r="H73"/>
      <c r="I73"/>
    </row>
    <row r="74" spans="1:9">
      <c r="A74"/>
      <c r="B74"/>
      <c r="C74" s="104"/>
      <c r="D74"/>
      <c r="E74"/>
      <c r="F74"/>
      <c r="G74"/>
      <c r="H74"/>
      <c r="I74"/>
    </row>
    <row r="75" spans="1:9">
      <c r="A75"/>
      <c r="B75"/>
      <c r="C75" s="104"/>
      <c r="D75"/>
      <c r="E75"/>
      <c r="F75"/>
      <c r="G75"/>
      <c r="H75"/>
      <c r="I75"/>
    </row>
    <row r="76" spans="1:9">
      <c r="A76"/>
      <c r="B76"/>
      <c r="C76" s="104"/>
      <c r="D76"/>
      <c r="E76"/>
      <c r="F76"/>
      <c r="G76"/>
      <c r="H76"/>
      <c r="I76"/>
    </row>
    <row r="77" spans="1:9">
      <c r="A77"/>
      <c r="B77"/>
      <c r="C77" s="104"/>
      <c r="D77"/>
      <c r="E77"/>
      <c r="F77"/>
      <c r="G77"/>
      <c r="H77"/>
      <c r="I77"/>
    </row>
    <row r="78" spans="1:9">
      <c r="A78" t="s">
        <v>194</v>
      </c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 s="108" t="s">
        <v>199</v>
      </c>
      <c r="B80"/>
      <c r="C80"/>
      <c r="D80" s="105">
        <f>D71*120</f>
        <v>5100</v>
      </c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 t="s">
        <v>195</v>
      </c>
      <c r="B82"/>
      <c r="C82" s="104"/>
      <c r="D82" s="104">
        <v>495</v>
      </c>
      <c r="E82" s="104"/>
      <c r="F82"/>
      <c r="G82"/>
      <c r="H82"/>
      <c r="I82"/>
    </row>
    <row r="83" spans="1:9">
      <c r="A83"/>
      <c r="B83"/>
      <c r="C83" s="104"/>
      <c r="D83"/>
      <c r="E83"/>
      <c r="F83"/>
      <c r="G83"/>
      <c r="H83"/>
      <c r="I83"/>
    </row>
    <row r="84" spans="1:9">
      <c r="A84" t="s">
        <v>196</v>
      </c>
      <c r="B84"/>
      <c r="C84" s="104"/>
      <c r="D84">
        <f>D82*3</f>
        <v>1485</v>
      </c>
      <c r="E84"/>
      <c r="F84"/>
      <c r="G84"/>
      <c r="H84"/>
      <c r="I84"/>
    </row>
    <row r="85" spans="1:9">
      <c r="A85"/>
      <c r="B85"/>
      <c r="C85" s="104"/>
      <c r="D85"/>
      <c r="E85"/>
      <c r="F85"/>
      <c r="G85"/>
      <c r="H85"/>
      <c r="I85"/>
    </row>
    <row r="86" spans="1:9">
      <c r="A86"/>
      <c r="B86"/>
      <c r="C86" s="104"/>
      <c r="D86" s="110">
        <f>D80+D84</f>
        <v>6585</v>
      </c>
      <c r="E86"/>
      <c r="F86"/>
      <c r="G86"/>
      <c r="H86"/>
      <c r="I86"/>
    </row>
    <row r="87" spans="1:9">
      <c r="A87"/>
      <c r="B87"/>
      <c r="C87" s="106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 s="107"/>
      <c r="E92"/>
      <c r="F92"/>
      <c r="G92"/>
      <c r="H92"/>
      <c r="I92"/>
    </row>
  </sheetData>
  <mergeCells count="21">
    <mergeCell ref="I12:Q12"/>
    <mergeCell ref="I7:Q7"/>
    <mergeCell ref="I8:Q8"/>
    <mergeCell ref="I9:Q9"/>
    <mergeCell ref="I10:Q10"/>
    <mergeCell ref="I11:Q11"/>
    <mergeCell ref="A44:I44"/>
    <mergeCell ref="A34:I34"/>
    <mergeCell ref="A40:E40"/>
    <mergeCell ref="A16:B16"/>
    <mergeCell ref="B30:C30"/>
    <mergeCell ref="C31:D31"/>
    <mergeCell ref="C32:D32"/>
    <mergeCell ref="I32:K32"/>
    <mergeCell ref="A33:I33"/>
    <mergeCell ref="T2:Y2"/>
    <mergeCell ref="T3:Y3"/>
    <mergeCell ref="T4:W4"/>
    <mergeCell ref="X4:Y4"/>
    <mergeCell ref="T5:W5"/>
    <mergeCell ref="X5:Y5"/>
  </mergeCells>
  <pageMargins left="0.27559055118110237" right="0.35433070866141736" top="0.98425196850393704" bottom="0.98425196850393704" header="0.51181102362204722" footer="0.51181102362204722"/>
  <pageSetup paperSize="9" orientation="landscape" r:id="rId1"/>
  <headerFooter alignWithMargins="0"/>
  <colBreaks count="2" manualBreakCount="2">
    <brk id="9" min="4" max="30" man="1"/>
    <brk id="1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25</vt:i4>
      </vt:variant>
      <vt:variant>
        <vt:lpstr>Intervalos nomeados</vt:lpstr>
      </vt:variant>
      <vt:variant>
        <vt:i4>19</vt:i4>
      </vt:variant>
    </vt:vector>
  </HeadingPairs>
  <TitlesOfParts>
    <vt:vector size="44" baseType="lpstr">
      <vt:lpstr>Plan. Geral - PARTE A</vt:lpstr>
      <vt:lpstr>Plan. Geral - PARTE B</vt:lpstr>
      <vt:lpstr>Plan. Geral - PARTE C</vt:lpstr>
      <vt:lpstr>Plan. Geral - PARTE D</vt:lpstr>
      <vt:lpstr>Plan. Geral - PARTE E</vt:lpstr>
      <vt:lpstr>HON__CEF</vt:lpstr>
      <vt:lpstr>Plan1</vt:lpstr>
      <vt:lpstr>HON__CEF (MS-CORUMBA)</vt:lpstr>
      <vt:lpstr>HON__CEF (MS-PONTA PORÃ)</vt:lpstr>
      <vt:lpstr>HON__CEF (MT-RONDONÓPOLIS)</vt:lpstr>
      <vt:lpstr>HON__CEF (MT-SINOP)</vt:lpstr>
      <vt:lpstr>HON__CEF (PA-SANTARÉM)</vt:lpstr>
      <vt:lpstr>HON__CEF (AM-TABATINGA)</vt:lpstr>
      <vt:lpstr>HON__CEF (RR-PACARAIMA)</vt:lpstr>
      <vt:lpstr>HON__CEF (AC-CRUZ DO SUL)</vt:lpstr>
      <vt:lpstr>HON__CEF (AP-OIAPOQUE)</vt:lpstr>
      <vt:lpstr>HON__CEF (PA-ALTAMIRA)</vt:lpstr>
      <vt:lpstr>HON__CEF (PA-MARABÁ)</vt:lpstr>
      <vt:lpstr>HON__CEF (RO-GUAJARÁ-MIRIM)</vt:lpstr>
      <vt:lpstr>HON__CEF (RO-VILHENA)</vt:lpstr>
      <vt:lpstr>HON__CEF (RS-URUGUAIANA)</vt:lpstr>
      <vt:lpstr>HON__CEF (RS-CHUÍ)</vt:lpstr>
      <vt:lpstr>HON__CEF (RO-GUAJARÁMIRIM) (R)</vt:lpstr>
      <vt:lpstr>HON__CEF (RO-VILHENA) (R)</vt:lpstr>
      <vt:lpstr>HON__CEF (AC-CRUZ DO SUL) (R)</vt:lpstr>
      <vt:lpstr>HON__CEF!Area_de_impressao</vt:lpstr>
      <vt:lpstr>'HON__CEF (AC-CRUZ DO SUL)'!Area_de_impressao</vt:lpstr>
      <vt:lpstr>'HON__CEF (AC-CRUZ DO SUL) (R)'!Area_de_impressao</vt:lpstr>
      <vt:lpstr>'HON__CEF (AM-TABATINGA)'!Area_de_impressao</vt:lpstr>
      <vt:lpstr>'HON__CEF (AP-OIAPOQUE)'!Area_de_impressao</vt:lpstr>
      <vt:lpstr>'HON__CEF (MS-CORUMBA)'!Area_de_impressao</vt:lpstr>
      <vt:lpstr>'HON__CEF (MS-PONTA PORÃ)'!Area_de_impressao</vt:lpstr>
      <vt:lpstr>'HON__CEF (MT-RONDONÓPOLIS)'!Area_de_impressao</vt:lpstr>
      <vt:lpstr>'HON__CEF (MT-SINOP)'!Area_de_impressao</vt:lpstr>
      <vt:lpstr>'HON__CEF (PA-ALTAMIRA)'!Area_de_impressao</vt:lpstr>
      <vt:lpstr>'HON__CEF (PA-MARABÁ)'!Area_de_impressao</vt:lpstr>
      <vt:lpstr>'HON__CEF (PA-SANTARÉM)'!Area_de_impressao</vt:lpstr>
      <vt:lpstr>'HON__CEF (RO-GUAJARÁ-MIRIM)'!Area_de_impressao</vt:lpstr>
      <vt:lpstr>'HON__CEF (RO-GUAJARÁMIRIM) (R)'!Area_de_impressao</vt:lpstr>
      <vt:lpstr>'HON__CEF (RO-VILHENA)'!Area_de_impressao</vt:lpstr>
      <vt:lpstr>'HON__CEF (RO-VILHENA) (R)'!Area_de_impressao</vt:lpstr>
      <vt:lpstr>'HON__CEF (RR-PACARAIMA)'!Area_de_impressao</vt:lpstr>
      <vt:lpstr>'HON__CEF (RS-CHUÍ)'!Area_de_impressao</vt:lpstr>
      <vt:lpstr>'HON__CEF (RS-URUGUAIANA)'!Area_de_impressao</vt:lpstr>
    </vt:vector>
  </TitlesOfParts>
  <Company>Polícia Federal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Laura Alves Pereira</dc:creator>
  <cp:lastModifiedBy>DefaultUserAdminFull</cp:lastModifiedBy>
  <cp:lastPrinted>2013-10-01T18:06:49Z</cp:lastPrinted>
  <dcterms:created xsi:type="dcterms:W3CDTF">2007-05-21T14:04:30Z</dcterms:created>
  <dcterms:modified xsi:type="dcterms:W3CDTF">2013-10-02T18:37:57Z</dcterms:modified>
</cp:coreProperties>
</file>