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lessandra.julio\Desktop\"/>
    </mc:Choice>
  </mc:AlternateContent>
  <bookViews>
    <workbookView xWindow="0" yWindow="0" windowWidth="14415" windowHeight="11490"/>
  </bookViews>
  <sheets>
    <sheet name="Planilha e Cronograma" sheetId="4" r:id="rId1"/>
    <sheet name="BDI" sheetId="5" r:id="rId2"/>
    <sheet name="Estimativa quantidades" sheetId="1" r:id="rId3"/>
  </sheets>
  <calcPr calcId="152511"/>
</workbook>
</file>

<file path=xl/calcChain.xml><?xml version="1.0" encoding="utf-8"?>
<calcChain xmlns="http://schemas.openxmlformats.org/spreadsheetml/2006/main">
  <c r="D8" i="4" l="1"/>
  <c r="D8" i="1"/>
  <c r="G7" i="4"/>
  <c r="H7" i="4" s="1"/>
  <c r="D26" i="1"/>
  <c r="D26" i="4" s="1"/>
  <c r="G26" i="4" s="1"/>
  <c r="J26" i="4" s="1"/>
  <c r="G8" i="4" l="1"/>
  <c r="H8" i="4" s="1"/>
  <c r="D29" i="1"/>
  <c r="D28" i="4" s="1"/>
  <c r="G28" i="4" s="1"/>
  <c r="D28" i="1"/>
  <c r="J28" i="4" l="1"/>
  <c r="D25" i="1"/>
  <c r="D24" i="1"/>
  <c r="D15" i="1"/>
  <c r="C14" i="5" l="1"/>
  <c r="B19" i="5" s="1"/>
  <c r="C19" i="5" s="1"/>
  <c r="C11" i="5"/>
  <c r="B18" i="5" s="1"/>
  <c r="C18" i="5" l="1"/>
  <c r="B20" i="5"/>
  <c r="C20" i="5" s="1"/>
  <c r="C21" i="5" s="1"/>
  <c r="F31" i="4" s="1"/>
  <c r="D24" i="4" l="1"/>
  <c r="D23" i="1"/>
  <c r="D23" i="4" s="1"/>
  <c r="D22" i="1"/>
  <c r="D22" i="4" s="1"/>
  <c r="D21" i="1"/>
  <c r="D21" i="4" s="1"/>
  <c r="D20" i="1"/>
  <c r="D20" i="4" s="1"/>
  <c r="D18" i="1"/>
  <c r="D11" i="1"/>
  <c r="D17" i="1" s="1"/>
  <c r="D17" i="4" s="1"/>
  <c r="D29" i="4"/>
  <c r="D25" i="4"/>
  <c r="D18" i="4"/>
  <c r="D15" i="4"/>
  <c r="D14" i="4"/>
  <c r="D13" i="4"/>
  <c r="D10" i="4"/>
  <c r="D19" i="1" l="1"/>
  <c r="D19" i="4" s="1"/>
  <c r="D11" i="4"/>
  <c r="D12" i="1"/>
  <c r="D12" i="4" s="1"/>
  <c r="G12" i="4" s="1"/>
  <c r="I12" i="4" s="1"/>
  <c r="D9" i="1"/>
  <c r="D9" i="4" s="1"/>
  <c r="G9" i="4" s="1"/>
  <c r="G14" i="4"/>
  <c r="I14" i="4" s="1"/>
  <c r="G29" i="4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G19" i="4"/>
  <c r="J19" i="4" s="1"/>
  <c r="G18" i="4"/>
  <c r="G17" i="4"/>
  <c r="G15" i="4"/>
  <c r="I15" i="4" s="1"/>
  <c r="G13" i="4"/>
  <c r="I13" i="4" s="1"/>
  <c r="G11" i="4"/>
  <c r="I11" i="4" s="1"/>
  <c r="G10" i="4"/>
  <c r="H10" i="4" s="1"/>
  <c r="J29" i="4" l="1"/>
  <c r="J27" i="4" s="1"/>
  <c r="G27" i="4"/>
  <c r="H9" i="4"/>
  <c r="G6" i="4"/>
  <c r="J16" i="4"/>
  <c r="I17" i="4"/>
  <c r="G16" i="4"/>
  <c r="I18" i="4"/>
  <c r="I6" i="4" l="1"/>
  <c r="H6" i="4"/>
  <c r="H30" i="4" s="1"/>
  <c r="H31" i="4" s="1"/>
  <c r="H33" i="4" s="1"/>
  <c r="I16" i="4"/>
  <c r="I30" i="4" s="1"/>
  <c r="I31" i="4" s="1"/>
  <c r="J30" i="4"/>
  <c r="J31" i="4" s="1"/>
  <c r="G30" i="4"/>
  <c r="G31" i="4" l="1"/>
  <c r="G33" i="4" s="1"/>
  <c r="J33" i="4"/>
  <c r="I33" i="4"/>
</calcChain>
</file>

<file path=xl/sharedStrings.xml><?xml version="1.0" encoding="utf-8"?>
<sst xmlns="http://schemas.openxmlformats.org/spreadsheetml/2006/main" count="238" uniqueCount="138">
  <si>
    <t>TOTAL</t>
  </si>
  <si>
    <t>TOTAL GERAL (R$)</t>
  </si>
  <si>
    <t>ITEM</t>
  </si>
  <si>
    <t xml:space="preserve">DISCRIMINAÇÃO </t>
  </si>
  <si>
    <t>UNID</t>
  </si>
  <si>
    <t>QUANT</t>
  </si>
  <si>
    <t>02.</t>
  </si>
  <si>
    <t>REFERENCIA</t>
  </si>
  <si>
    <t>Índice de preço para remoção de entulho decorrente da execução de obras, incluindo aluguel da caçamba, carga, transporte e descarga em área licenciada</t>
  </si>
  <si>
    <t>Demolição manual de concreto simples</t>
  </si>
  <si>
    <t>m³</t>
  </si>
  <si>
    <t>m²</t>
  </si>
  <si>
    <t>mensal</t>
  </si>
  <si>
    <t>Aterro com areia em áreas de calçada, inclusive fornecimento e adensamento (h=10,5cm)</t>
  </si>
  <si>
    <t>02.02</t>
  </si>
  <si>
    <t>02.01</t>
  </si>
  <si>
    <t>Junta plástica 17 x 3 mm, para pisos corridos, inclusive fornecimento e colocação</t>
  </si>
  <si>
    <t>m</t>
  </si>
  <si>
    <t>02.03</t>
  </si>
  <si>
    <t>02.04</t>
  </si>
  <si>
    <t>Fornecimento e assentamento de ladrilho hidráulico pastilhado, vermelho, dim. 20x20 cm, esp. 1.5cm, assentado com pasta de cimento colante, exclusive regularização e lastro</t>
  </si>
  <si>
    <t>02.05</t>
  </si>
  <si>
    <t>02.06</t>
  </si>
  <si>
    <t>02.07</t>
  </si>
  <si>
    <t>02.08</t>
  </si>
  <si>
    <t>Caiação de meio-fio, a três demãos</t>
  </si>
  <si>
    <t>01.01</t>
  </si>
  <si>
    <t>01.02</t>
  </si>
  <si>
    <t>01.03</t>
  </si>
  <si>
    <t>01.04</t>
  </si>
  <si>
    <t xml:space="preserve">FONTES: </t>
  </si>
  <si>
    <t>30 dias</t>
  </si>
  <si>
    <t>SERVIÇOS PRELIMINARES/ DEMOLIÇÃO</t>
  </si>
  <si>
    <t>EXECUÇÃO</t>
  </si>
  <si>
    <t>COMPLEMENTARES</t>
  </si>
  <si>
    <t>Relatório final</t>
  </si>
  <si>
    <t>Limpeza geral e final da obra</t>
  </si>
  <si>
    <t>03.01</t>
  </si>
  <si>
    <t>03.02</t>
  </si>
  <si>
    <t>12312-SBC/ES</t>
  </si>
  <si>
    <t>012057-SBC/ES</t>
  </si>
  <si>
    <t>84175-SINAPI/ES</t>
  </si>
  <si>
    <t>79482-SINAPI/ES</t>
  </si>
  <si>
    <t>Execução de Passeio (calçada) ou piso de concreto com concreto moldado in loco, feito em obra, acabamento convencional, espessura 8 cm, armado, inclusive preparo de caixa</t>
  </si>
  <si>
    <t>RESOLUÇÃO Nº 1.049, DE 27 DE SETEMBRO DE 2013 CONFEA</t>
  </si>
  <si>
    <t>01.05</t>
  </si>
  <si>
    <t>TAPUME/CERCAMENTO ALTURA 1,20m TELA PLASTICA FACHADEIRA</t>
  </si>
  <si>
    <t>012223-SBC/ES</t>
  </si>
  <si>
    <t>01.06</t>
  </si>
  <si>
    <t>ART/RRT</t>
  </si>
  <si>
    <t>83693-SINAPI/ES</t>
  </si>
  <si>
    <t>Fornecimento e assentamento de ladrilho hidráulico ranhurado, vermelho, dim. 20x20 cm, esp. 1.5cm, assentado com pasta de cimento colante, exclusive regularização e lastro</t>
  </si>
  <si>
    <t>200253-IOPES</t>
  </si>
  <si>
    <t>200254-IOPES</t>
  </si>
  <si>
    <t>171256-SBC/ES</t>
  </si>
  <si>
    <t>30304-IOPES</t>
  </si>
  <si>
    <t>Fornecimento e instalação das placas da obra em chapa galvanizada (1,00 X 1,5m para CAU ou CREA) e (0,625 x 1,00m para Governo Federal) - em chapa galvanizada nº 26, pintadas na frente e verso com fundo anticorrosivo e tinta automotiva (frente: pintura automotiva  fundo azul , texto: plotter de recorte película branca  e parte inferior: aplicação das marcas em cor conforme manual de identidade visual do Governo Federal e CAU ou CREA)</t>
  </si>
  <si>
    <t>01.07</t>
  </si>
  <si>
    <t>Aluguel mensal container para escritório, dim. 6.00x2.40m, c/ banheiro (vaso+lavat+chuveiro e básc), incl. porta, 2
janelas, abert p/ ar cond., 2 pt iluminação, 2 tom. elét. e 1 tom.telef. Isolam.térmico(teto e paredes), piso em comp. Naval, cert.
NR18, incl. laudo descontaminação.</t>
  </si>
  <si>
    <t>02.09</t>
  </si>
  <si>
    <t>RAMPA DE DEFICIENTE EM CIMENTADO CAMURÇADO INCLUSIVE LASTRO</t>
  </si>
  <si>
    <t>RAMPA DE PLANO INCLINADO COM BASE CONCRETO</t>
  </si>
  <si>
    <t>030403-SBC/ES</t>
  </si>
  <si>
    <t>022378-SBC/ES</t>
  </si>
  <si>
    <t>01.</t>
  </si>
  <si>
    <t>03.</t>
  </si>
  <si>
    <t>Mobilização e desmobilização de conteiner locado para barracão de obra</t>
  </si>
  <si>
    <t>020344 - IOPES</t>
  </si>
  <si>
    <t>200209-IOPES</t>
  </si>
  <si>
    <t>Serviço: Contratação de empresa especializada para construção de calçada cidadã frontal ao terreno do Museu Solar Monjardim - ES.</t>
  </si>
  <si>
    <t>ESTIMATIVAS QUANTIDADES</t>
  </si>
  <si>
    <t>PLANILHA ORÇAMENTÁRIA/CRONOGRAMA FÍSICO FINANCEIRO</t>
  </si>
  <si>
    <t>V.U</t>
  </si>
  <si>
    <t>1,00x1,50 = CREA e 0,625x1,00 Governo Federal</t>
  </si>
  <si>
    <t>ART</t>
  </si>
  <si>
    <t>Calçada: (36,57x1,55)+(40,44x2,55)+(1,68x2,55)</t>
  </si>
  <si>
    <t>Calçada: (36,57x1,55)+(40,44x2,55)+(1,68x2,55) com altura de 20cm</t>
  </si>
  <si>
    <t>2 meses</t>
  </si>
  <si>
    <t>Perímetro da calçada: 36,57+40,44+1,68</t>
  </si>
  <si>
    <t>Perímetro da calçada: 36,57+40,44+1,68 multiplicado por 2</t>
  </si>
  <si>
    <t>ESTIMATIVAS</t>
  </si>
  <si>
    <t>Ladrilho pastilhado: (36,57x0,4)+(40,44x0,6)+(1,68x0,6)</t>
  </si>
  <si>
    <t>Ladrinho ranhurado: 0,6+0,6+0,2</t>
  </si>
  <si>
    <t>Rampa pedestre: (0,85x1,2)+(0,5x0,85)</t>
  </si>
  <si>
    <t>Rampa garagem: (4,03x1,55)</t>
  </si>
  <si>
    <t>99811-SINAPI/ES</t>
  </si>
  <si>
    <t>Meio-fio de concreto pré-moldado com dimensões de 15x12x30x100 cm, rejuntados com argamassa de cimento e areia
no traço 1:3</t>
  </si>
  <si>
    <t>BDI - SERVIÇOS DE ENGENHARIA</t>
  </si>
  <si>
    <t>PLANILHA – BENEFÍCIOS DE DESPESAS INDIRETAS (BDI)</t>
  </si>
  <si>
    <t>DESCRIÇÃO</t>
  </si>
  <si>
    <t>SIGLA</t>
  </si>
  <si>
    <t>TAXA</t>
  </si>
  <si>
    <t>ADMINISTRAÇÃO CENTRAL</t>
  </si>
  <si>
    <t>AC</t>
  </si>
  <si>
    <t>LUCRO</t>
  </si>
  <si>
    <t>L</t>
  </si>
  <si>
    <t>DESPESAS FINANCEIRAS</t>
  </si>
  <si>
    <t>DF</t>
  </si>
  <si>
    <t>SEGUROS, GARANTIAS E RISCO</t>
  </si>
  <si>
    <t>Seguros+Garantia</t>
  </si>
  <si>
    <t>S+G</t>
  </si>
  <si>
    <t>Risco</t>
  </si>
  <si>
    <t>R</t>
  </si>
  <si>
    <t>TRIBUTOS</t>
  </si>
  <si>
    <t>I</t>
  </si>
  <si>
    <t xml:space="preserve">ISS </t>
  </si>
  <si>
    <t>ISS</t>
  </si>
  <si>
    <t>PIS</t>
  </si>
  <si>
    <t>COFINS</t>
  </si>
  <si>
    <r>
      <rPr>
        <b/>
        <sz val="10"/>
        <color rgb="FF000000"/>
        <rFont val="Calibri"/>
        <family val="2"/>
      </rPr>
      <t xml:space="preserve">BDI (numerador)     </t>
    </r>
    <r>
      <rPr>
        <b/>
        <u/>
        <sz val="10"/>
        <color rgb="FF000000"/>
        <rFont val="Calibri"/>
        <family val="2"/>
      </rPr>
      <t>(1 + (AC + S + G + R)) x (1 + DF) x (1 + L)</t>
    </r>
  </si>
  <si>
    <t>BDI (denominador)                       (1 - I)</t>
  </si>
  <si>
    <t>TOTAL DE BDI</t>
  </si>
  <si>
    <t>TAXA BDI ADOTADA</t>
  </si>
  <si>
    <r>
      <t xml:space="preserve">OBS.: </t>
    </r>
    <r>
      <rPr>
        <sz val="10"/>
        <color rgb="FF000000"/>
        <rFont val="Calibri"/>
        <family val="2"/>
      </rPr>
      <t>Dados com  base no caderno de ORIENTAÇÕES PARA ELABORAÇÃO DE PLANILHAS ORÇAMENTÁRIAS DE OBRAS PÚBLICAS do TCU - http://portal.tcu.gov.br/biblioteca-digital/orientacoes-para-elaboracao-de-planilhas-orcamentarias-de-obras-publicas.htm</t>
    </r>
  </si>
  <si>
    <t>Rafaela Alves Felicio - SIAPE 1919475</t>
  </si>
  <si>
    <t>CONFEA, Informativo Sistema Boletim de Custos - SBC Vitória Agosto/2019; SINAPI ESPÍRITO SANTO DESONERADO Ago/2019; IOPES Julho/2019</t>
  </si>
  <si>
    <t>ENDEREÇO: Av. Paulino Muller, s/n - Jucutuquara, Vitória - ES</t>
  </si>
  <si>
    <t>Rafaela Alves Felício - SIAPE 1919475</t>
  </si>
  <si>
    <t>BDI</t>
  </si>
  <si>
    <t>Perímetro da calçada sem rampas: (36,57+40,44+1,68)-(4,03+1,2)</t>
  </si>
  <si>
    <t>Calçada sem rampas nem golas de árvores (36,57x1,55)+(40,44x2,55)+(1,68x2,55)-(0,85x1,2)+(0,5x0,85)-(4,03x1,55)-(2,65*1,34)-(1,81*1,34)-(1,90*1,3)-(1,28*1,41)</t>
  </si>
  <si>
    <t>Perímetro da calçada: (36,57+40,44+1,68) multiplicado pela dimensão do meio fio e três demãos</t>
  </si>
  <si>
    <t>ED-4277 REL-TEC-120 - SETOP/MG</t>
  </si>
  <si>
    <t>02.10</t>
  </si>
  <si>
    <t>Acabamento em grama vegetal esmeralda nas golas de árvore</t>
  </si>
  <si>
    <t>98504-SINAPI/ES</t>
  </si>
  <si>
    <t>Golas de árvores: (2,65*1,34)-(1,81*1,34)-(1,90*1,3)-(1,28*1,41)</t>
  </si>
  <si>
    <t>266-SBC/ES</t>
  </si>
  <si>
    <t>SERVICO DE DESPACHANTE NA APROVACAO DE PROJETOS PREFEITURA</t>
  </si>
  <si>
    <t>01.08</t>
  </si>
  <si>
    <t>60 dias</t>
  </si>
  <si>
    <t>90 dias</t>
  </si>
  <si>
    <t>01.09</t>
  </si>
  <si>
    <t>Projeto para aprovação</t>
  </si>
  <si>
    <t>4371-SBC/ES</t>
  </si>
  <si>
    <t/>
  </si>
  <si>
    <t>CALÇAMENTO</t>
  </si>
  <si>
    <t>Projeto executivo para aprovação da calçada junto a Prefeitura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</si>
</sst>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164" formatCode="_(* #,##0.00_);_(* \(#,##0.00\);_(* \-??_);_(@_)"/>
    <numFmt numFmtId="165" formatCode="#,###.00"/>
    <numFmt numFmtId="166" formatCode="0.0"/>
    <numFmt numFmtId="167" formatCode="0.0000"/>
  </numFmts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7"/>
      </patternFill>
    </fill>
    <fill>
      <patternFill patternType="solid">
        <fgColor theme="0" tint="-0.249977111117893"/>
        <bgColor indexed="43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rgb="FFD9D9D9"/>
      </patternFill>
    </fill>
    <fill>
      <patternFill patternType="solid">
        <fgColor theme="0" tint="-0.249977111117893"/>
        <bgColor rgb="FF96969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4" fillId="2" borderId="1" applyNumberFormat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16" borderId="0" applyNumberFormat="0" applyBorder="0" applyAlignment="0" applyProtection="0"/>
    <xf numFmtId="0" fontId="7" fillId="3" borderId="1" applyNumberFormat="0" applyAlignment="0" applyProtection="0"/>
    <xf numFmtId="0" fontId="8" fillId="17" borderId="0" applyNumberFormat="0" applyBorder="0" applyAlignment="0" applyProtection="0"/>
    <xf numFmtId="0" fontId="9" fillId="4" borderId="0" applyNumberFormat="0" applyBorder="0" applyAlignment="0" applyProtection="0"/>
    <xf numFmtId="2" fontId="10" fillId="0" borderId="0"/>
    <xf numFmtId="0" fontId="10" fillId="0" borderId="0"/>
    <xf numFmtId="0" fontId="10" fillId="4" borderId="4" applyNumberFormat="0" applyFont="0" applyAlignment="0" applyProtection="0"/>
    <xf numFmtId="0" fontId="11" fillId="2" borderId="5" applyNumberFormat="0" applyAlignment="0" applyProtection="0"/>
    <xf numFmtId="164" fontId="10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0"/>
    <xf numFmtId="0" fontId="10" fillId="0" borderId="0"/>
    <xf numFmtId="9" fontId="10" fillId="0" borderId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6">
    <xf numFmtId="0" fontId="0" fillId="0" borderId="0" xfId="0"/>
    <xf numFmtId="0" fontId="10" fillId="0" borderId="0" xfId="0" applyFont="1"/>
    <xf numFmtId="0" fontId="22" fillId="0" borderId="10" xfId="38" applyNumberFormat="1" applyFont="1" applyBorder="1" applyAlignment="1" applyProtection="1">
      <alignment horizontal="center" vertical="center" wrapText="1"/>
    </xf>
    <xf numFmtId="0" fontId="22" fillId="0" borderId="10" xfId="38" applyNumberFormat="1" applyFont="1" applyBorder="1" applyAlignment="1" applyProtection="1">
      <alignment horizontal="left" vertical="center" wrapText="1"/>
    </xf>
    <xf numFmtId="10" fontId="22" fillId="0" borderId="10" xfId="38" applyNumberFormat="1" applyFont="1" applyFill="1" applyBorder="1" applyAlignment="1">
      <alignment horizontal="center" vertical="center" wrapText="1"/>
    </xf>
    <xf numFmtId="10" fontId="22" fillId="0" borderId="10" xfId="38" applyNumberFormat="1" applyFont="1" applyFill="1" applyBorder="1" applyAlignment="1" applyProtection="1">
      <alignment horizontal="center" vertical="center" wrapText="1"/>
    </xf>
    <xf numFmtId="0" fontId="23" fillId="0" borderId="10" xfId="38" applyNumberFormat="1" applyFont="1" applyBorder="1" applyAlignment="1" applyProtection="1">
      <alignment horizontal="left" vertical="center" wrapText="1"/>
    </xf>
    <xf numFmtId="0" fontId="23" fillId="0" borderId="10" xfId="38" applyNumberFormat="1" applyFont="1" applyBorder="1" applyAlignment="1" applyProtection="1">
      <alignment horizontal="center" vertical="center" wrapText="1"/>
    </xf>
    <xf numFmtId="10" fontId="23" fillId="0" borderId="10" xfId="38" applyNumberFormat="1" applyFont="1" applyFill="1" applyBorder="1" applyAlignment="1">
      <alignment horizontal="center" vertical="center" wrapText="1"/>
    </xf>
    <xf numFmtId="167" fontId="23" fillId="0" borderId="10" xfId="38" applyNumberFormat="1" applyFont="1" applyBorder="1" applyAlignment="1" applyProtection="1">
      <alignment vertical="center"/>
    </xf>
    <xf numFmtId="167" fontId="23" fillId="0" borderId="10" xfId="38" applyNumberFormat="1" applyFont="1" applyBorder="1" applyAlignment="1" applyProtection="1">
      <alignment horizontal="right" vertical="center" wrapText="1"/>
    </xf>
    <xf numFmtId="0" fontId="22" fillId="22" borderId="10" xfId="38" applyNumberFormat="1" applyFont="1" applyFill="1" applyBorder="1" applyAlignment="1" applyProtection="1">
      <alignment horizontal="left" vertical="center" wrapText="1"/>
    </xf>
    <xf numFmtId="10" fontId="22" fillId="22" borderId="10" xfId="38" applyNumberFormat="1" applyFont="1" applyFill="1" applyBorder="1" applyAlignment="1" applyProtection="1">
      <alignment horizontal="center" vertical="center"/>
    </xf>
    <xf numFmtId="14" fontId="25" fillId="0" borderId="10" xfId="0" applyNumberFormat="1" applyFont="1" applyFill="1" applyBorder="1" applyAlignment="1">
      <alignment vertical="center" wrapText="1"/>
    </xf>
    <xf numFmtId="0" fontId="26" fillId="20" borderId="10" xfId="33" applyFont="1" applyFill="1" applyBorder="1" applyAlignment="1">
      <alignment horizontal="center" vertical="center"/>
    </xf>
    <xf numFmtId="0" fontId="26" fillId="20" borderId="10" xfId="33" applyFont="1" applyFill="1" applyBorder="1" applyAlignment="1">
      <alignment horizontal="center" vertical="top"/>
    </xf>
    <xf numFmtId="49" fontId="27" fillId="18" borderId="10" xfId="33" applyNumberFormat="1" applyFont="1" applyFill="1" applyBorder="1" applyAlignment="1">
      <alignment horizontal="right"/>
    </xf>
    <xf numFmtId="0" fontId="27" fillId="18" borderId="10" xfId="33" applyFont="1" applyFill="1" applyBorder="1" applyAlignment="1">
      <alignment vertical="top"/>
    </xf>
    <xf numFmtId="0" fontId="27" fillId="18" borderId="10" xfId="33" applyFont="1" applyFill="1" applyBorder="1" applyAlignment="1">
      <alignment horizontal="center"/>
    </xf>
    <xf numFmtId="4" fontId="28" fillId="18" borderId="10" xfId="33" applyNumberFormat="1" applyFont="1" applyFill="1" applyBorder="1" applyAlignment="1">
      <alignment horizontal="center"/>
    </xf>
    <xf numFmtId="49" fontId="29" fillId="0" borderId="10" xfId="33" applyNumberFormat="1" applyFont="1" applyFill="1" applyBorder="1" applyAlignment="1">
      <alignment horizontal="right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right"/>
    </xf>
    <xf numFmtId="0" fontId="30" fillId="0" borderId="10" xfId="0" applyFont="1" applyBorder="1"/>
    <xf numFmtId="0" fontId="30" fillId="0" borderId="10" xfId="0" applyFont="1" applyFill="1" applyBorder="1"/>
    <xf numFmtId="0" fontId="30" fillId="0" borderId="10" xfId="0" applyFont="1" applyFill="1" applyBorder="1" applyAlignment="1">
      <alignment horizontal="center"/>
    </xf>
    <xf numFmtId="2" fontId="30" fillId="0" borderId="10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left" wrapText="1"/>
    </xf>
    <xf numFmtId="2" fontId="30" fillId="0" borderId="10" xfId="0" applyNumberFormat="1" applyFont="1" applyBorder="1" applyAlignment="1">
      <alignment horizontal="right"/>
    </xf>
    <xf numFmtId="49" fontId="27" fillId="0" borderId="10" xfId="33" applyNumberFormat="1" applyFont="1" applyFill="1" applyBorder="1" applyAlignment="1">
      <alignment horizontal="right"/>
    </xf>
    <xf numFmtId="4" fontId="27" fillId="18" borderId="10" xfId="33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wrapText="1"/>
    </xf>
    <xf numFmtId="0" fontId="30" fillId="0" borderId="10" xfId="0" applyFont="1" applyFill="1" applyBorder="1" applyAlignment="1">
      <alignment horizontal="right"/>
    </xf>
    <xf numFmtId="166" fontId="30" fillId="0" borderId="10" xfId="0" applyNumberFormat="1" applyFont="1" applyBorder="1" applyAlignment="1">
      <alignment horizontal="right"/>
    </xf>
    <xf numFmtId="0" fontId="30" fillId="0" borderId="10" xfId="0" applyFont="1" applyFill="1" applyBorder="1" applyAlignment="1">
      <alignment horizontal="justify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6" fillId="20" borderId="10" xfId="33" applyFont="1" applyFill="1" applyBorder="1" applyAlignment="1">
      <alignment horizontal="center"/>
    </xf>
    <xf numFmtId="0" fontId="26" fillId="20" borderId="10" xfId="33" applyFont="1" applyFill="1" applyBorder="1" applyAlignment="1">
      <alignment horizontal="center" vertical="center" wrapText="1"/>
    </xf>
    <xf numFmtId="39" fontId="28" fillId="18" borderId="10" xfId="33" applyNumberFormat="1" applyFont="1" applyFill="1" applyBorder="1" applyAlignment="1">
      <alignment horizontal="center" wrapText="1"/>
    </xf>
    <xf numFmtId="165" fontId="27" fillId="18" borderId="10" xfId="33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center" vertical="center"/>
    </xf>
    <xf numFmtId="44" fontId="29" fillId="19" borderId="10" xfId="33" applyNumberFormat="1" applyFont="1" applyFill="1" applyBorder="1" applyAlignment="1">
      <alignment horizontal="right" wrapText="1"/>
    </xf>
    <xf numFmtId="44" fontId="29" fillId="21" borderId="10" xfId="33" applyNumberFormat="1" applyFont="1" applyFill="1" applyBorder="1" applyAlignment="1">
      <alignment horizontal="right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44" fontId="29" fillId="0" borderId="10" xfId="33" applyNumberFormat="1" applyFont="1" applyFill="1" applyBorder="1" applyAlignment="1">
      <alignment horizontal="right" wrapText="1"/>
    </xf>
    <xf numFmtId="165" fontId="29" fillId="19" borderId="10" xfId="33" applyNumberFormat="1" applyFont="1" applyFill="1" applyBorder="1" applyAlignment="1">
      <alignment horizontal="right" wrapText="1"/>
    </xf>
    <xf numFmtId="39" fontId="27" fillId="18" borderId="10" xfId="33" applyNumberFormat="1" applyFont="1" applyFill="1" applyBorder="1" applyAlignment="1">
      <alignment horizontal="center" wrapText="1"/>
    </xf>
    <xf numFmtId="165" fontId="29" fillId="0" borderId="10" xfId="33" applyNumberFormat="1" applyFont="1" applyFill="1" applyBorder="1" applyAlignment="1">
      <alignment horizontal="right" wrapText="1"/>
    </xf>
    <xf numFmtId="0" fontId="32" fillId="0" borderId="10" xfId="0" applyFont="1" applyFill="1" applyBorder="1" applyAlignment="1">
      <alignment horizontal="center" vertical="center"/>
    </xf>
    <xf numFmtId="2" fontId="27" fillId="18" borderId="10" xfId="33" applyNumberFormat="1" applyFont="1" applyFill="1" applyBorder="1" applyAlignment="1">
      <alignment horizontal="left"/>
    </xf>
    <xf numFmtId="2" fontId="27" fillId="18" borderId="14" xfId="33" applyNumberFormat="1" applyFont="1" applyFill="1" applyBorder="1" applyAlignment="1">
      <alignment horizontal="left" vertical="top"/>
    </xf>
    <xf numFmtId="2" fontId="27" fillId="18" borderId="14" xfId="33" applyNumberFormat="1" applyFont="1" applyFill="1" applyBorder="1" applyAlignment="1">
      <alignment horizontal="left"/>
    </xf>
    <xf numFmtId="39" fontId="27" fillId="18" borderId="14" xfId="33" applyNumberFormat="1" applyFont="1" applyFill="1" applyBorder="1" applyAlignment="1">
      <alignment horizontal="center"/>
    </xf>
    <xf numFmtId="39" fontId="27" fillId="18" borderId="10" xfId="33" applyNumberFormat="1" applyFont="1" applyFill="1" applyBorder="1" applyAlignment="1">
      <alignment horizontal="center"/>
    </xf>
    <xf numFmtId="0" fontId="29" fillId="0" borderId="18" xfId="33" applyFont="1" applyFill="1" applyBorder="1"/>
    <xf numFmtId="0" fontId="29" fillId="0" borderId="18" xfId="33" applyFont="1" applyFill="1" applyBorder="1" applyAlignment="1">
      <alignment vertical="top"/>
    </xf>
    <xf numFmtId="0" fontId="29" fillId="0" borderId="19" xfId="33" applyFont="1" applyFill="1" applyBorder="1" applyAlignment="1">
      <alignment horizontal="center"/>
    </xf>
    <xf numFmtId="0" fontId="29" fillId="0" borderId="19" xfId="33" applyFont="1" applyFill="1" applyBorder="1"/>
    <xf numFmtId="0" fontId="29" fillId="0" borderId="20" xfId="33" applyFont="1" applyFill="1" applyBorder="1"/>
    <xf numFmtId="0" fontId="29" fillId="0" borderId="13" xfId="33" applyFont="1" applyFill="1" applyBorder="1"/>
    <xf numFmtId="0" fontId="29" fillId="0" borderId="10" xfId="33" applyFont="1" applyFill="1" applyBorder="1"/>
    <xf numFmtId="2" fontId="27" fillId="18" borderId="11" xfId="33" applyNumberFormat="1" applyFont="1" applyFill="1" applyBorder="1" applyAlignment="1">
      <alignment horizontal="left"/>
    </xf>
    <xf numFmtId="2" fontId="27" fillId="18" borderId="12" xfId="33" applyNumberFormat="1" applyFont="1" applyFill="1" applyBorder="1" applyAlignment="1">
      <alignment horizontal="left" vertical="top"/>
    </xf>
    <xf numFmtId="2" fontId="27" fillId="18" borderId="12" xfId="33" applyNumberFormat="1" applyFont="1" applyFill="1" applyBorder="1" applyAlignment="1">
      <alignment horizontal="left"/>
    </xf>
    <xf numFmtId="39" fontId="27" fillId="18" borderId="13" xfId="33" applyNumberFormat="1" applyFont="1" applyFill="1" applyBorder="1" applyAlignment="1">
      <alignment horizontal="center"/>
    </xf>
    <xf numFmtId="2" fontId="27" fillId="18" borderId="17" xfId="33" applyNumberFormat="1" applyFont="1" applyFill="1" applyBorder="1" applyAlignment="1">
      <alignment horizontal="left"/>
    </xf>
    <xf numFmtId="0" fontId="27" fillId="0" borderId="10" xfId="0" applyFont="1" applyBorder="1" applyAlignment="1">
      <alignment horizontal="center"/>
    </xf>
    <xf numFmtId="10" fontId="27" fillId="18" borderId="10" xfId="50" applyNumberFormat="1" applyFont="1" applyFill="1" applyBorder="1" applyAlignment="1">
      <alignment horizontal="center"/>
    </xf>
    <xf numFmtId="165" fontId="29" fillId="18" borderId="10" xfId="33" applyNumberFormat="1" applyFont="1" applyFill="1" applyBorder="1" applyAlignment="1">
      <alignment horizontal="right"/>
    </xf>
    <xf numFmtId="166" fontId="30" fillId="0" borderId="10" xfId="0" applyNumberFormat="1" applyFont="1" applyFill="1" applyBorder="1" applyAlignment="1">
      <alignment horizontal="right"/>
    </xf>
    <xf numFmtId="44" fontId="34" fillId="0" borderId="10" xfId="33" applyNumberFormat="1" applyFont="1" applyFill="1" applyBorder="1" applyAlignment="1">
      <alignment horizontal="right" wrapText="1"/>
    </xf>
    <xf numFmtId="0" fontId="31" fillId="0" borderId="10" xfId="0" applyFont="1" applyFill="1" applyBorder="1" applyAlignment="1">
      <alignment horizontal="center" vertical="center" wrapText="1"/>
    </xf>
    <xf numFmtId="0" fontId="26" fillId="0" borderId="10" xfId="33" applyFont="1" applyFill="1" applyBorder="1" applyAlignment="1">
      <alignment horizontal="center" vertical="center" wrapText="1"/>
    </xf>
    <xf numFmtId="0" fontId="0" fillId="0" borderId="0" xfId="0" quotePrefix="1"/>
    <xf numFmtId="0" fontId="26" fillId="0" borderId="10" xfId="33" applyFont="1" applyFill="1" applyBorder="1" applyAlignment="1">
      <alignment horizontal="center" vertical="center"/>
    </xf>
    <xf numFmtId="0" fontId="0" fillId="0" borderId="10" xfId="0" applyBorder="1"/>
    <xf numFmtId="0" fontId="27" fillId="0" borderId="10" xfId="0" applyFont="1" applyBorder="1" applyAlignment="1">
      <alignment horizontal="center"/>
    </xf>
    <xf numFmtId="14" fontId="27" fillId="0" borderId="1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3" fillId="0" borderId="11" xfId="38" applyNumberFormat="1" applyFont="1" applyBorder="1" applyAlignment="1" applyProtection="1">
      <alignment horizontal="left" vertical="center"/>
    </xf>
    <xf numFmtId="0" fontId="23" fillId="0" borderId="12" xfId="38" applyNumberFormat="1" applyFont="1" applyBorder="1" applyAlignment="1" applyProtection="1">
      <alignment horizontal="left" vertical="center"/>
    </xf>
    <xf numFmtId="0" fontId="23" fillId="0" borderId="13" xfId="38" applyNumberFormat="1" applyFont="1" applyBorder="1" applyAlignment="1" applyProtection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/>
    </xf>
    <xf numFmtId="2" fontId="27" fillId="18" borderId="15" xfId="33" applyNumberFormat="1" applyFont="1" applyFill="1" applyBorder="1" applyAlignment="1">
      <alignment horizontal="left" vertical="top"/>
    </xf>
    <xf numFmtId="2" fontId="27" fillId="18" borderId="16" xfId="33" applyNumberFormat="1" applyFont="1" applyFill="1" applyBorder="1" applyAlignment="1">
      <alignment horizontal="left" vertical="top"/>
    </xf>
    <xf numFmtId="2" fontId="27" fillId="18" borderId="12" xfId="33" applyNumberFormat="1" applyFont="1" applyFill="1" applyBorder="1" applyAlignment="1">
      <alignment horizontal="left" vertical="top"/>
    </xf>
    <xf numFmtId="2" fontId="27" fillId="18" borderId="13" xfId="33" applyNumberFormat="1" applyFont="1" applyFill="1" applyBorder="1" applyAlignment="1">
      <alignment horizontal="left" vertical="top"/>
    </xf>
    <xf numFmtId="2" fontId="27" fillId="18" borderId="11" xfId="33" applyNumberFormat="1" applyFont="1" applyFill="1" applyBorder="1" applyAlignment="1">
      <alignment horizontal="right" vertical="top" wrapText="1"/>
    </xf>
    <xf numFmtId="2" fontId="27" fillId="18" borderId="12" xfId="33" applyNumberFormat="1" applyFont="1" applyFill="1" applyBorder="1" applyAlignment="1">
      <alignment horizontal="right" vertical="top" wrapText="1"/>
    </xf>
    <xf numFmtId="2" fontId="27" fillId="18" borderId="13" xfId="33" applyNumberFormat="1" applyFont="1" applyFill="1" applyBorder="1" applyAlignment="1">
      <alignment horizontal="right" vertical="top" wrapText="1"/>
    </xf>
    <xf numFmtId="0" fontId="22" fillId="0" borderId="10" xfId="38" applyNumberFormat="1" applyFont="1" applyBorder="1" applyAlignment="1" applyProtection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0" xfId="38" applyNumberFormat="1" applyFont="1" applyBorder="1" applyAlignment="1" applyProtection="1">
      <alignment horizontal="left" vertical="center" wrapText="1"/>
    </xf>
    <xf numFmtId="0" fontId="23" fillId="0" borderId="10" xfId="38" applyNumberFormat="1" applyFont="1" applyBorder="1" applyAlignment="1" applyProtection="1">
      <alignment horizontal="left" vertical="center"/>
    </xf>
    <xf numFmtId="0" fontId="22" fillId="0" borderId="10" xfId="38" applyNumberFormat="1" applyFont="1" applyBorder="1" applyAlignment="1" applyProtection="1">
      <alignment horizontal="center" vertical="center"/>
    </xf>
    <xf numFmtId="0" fontId="22" fillId="23" borderId="10" xfId="38" applyNumberFormat="1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rmal 3 2 2" xfId="47"/>
    <cellStyle name="Normal 6" xfId="46"/>
    <cellStyle name="Normal_Plan1" xfId="33"/>
    <cellStyle name="Nota" xfId="34" builtinId="10" customBuiltin="1"/>
    <cellStyle name="Porcentagem" xfId="50" builtinId="5"/>
    <cellStyle name="Porcentagem 3" xfId="48"/>
    <cellStyle name="Porcentagem 4" xfId="49"/>
    <cellStyle name="Saída" xfId="35" builtinId="21" customBuiltin="1"/>
    <cellStyle name="Separador de milhares 2" xfId="36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ítulo 5" xfId="44"/>
    <cellStyle name="Total" xfId="4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95250</xdr:rowOff>
    </xdr:from>
    <xdr:to>
      <xdr:col>6</xdr:col>
      <xdr:colOff>323483</xdr:colOff>
      <xdr:row>0</xdr:row>
      <xdr:rowOff>607315</xdr:rowOff>
    </xdr:to>
    <xdr:pic>
      <xdr:nvPicPr>
        <xdr:cNvPr id="2" name="Imagem 1" descr="Museu-Solar-Monjardi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" y="95250"/>
          <a:ext cx="7095758" cy="512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238125</xdr:rowOff>
    </xdr:from>
    <xdr:to>
      <xdr:col>0</xdr:col>
      <xdr:colOff>1824203</xdr:colOff>
      <xdr:row>0</xdr:row>
      <xdr:rowOff>240375</xdr:rowOff>
    </xdr:to>
    <xdr:pic>
      <xdr:nvPicPr>
        <xdr:cNvPr id="2" name="Imagem 1" descr="https://www.museus.gov.br/wp-content/uploads/2019/01/Museu-Casa-Hist%C3%B3rica-de-Alc%C3%A2nta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38125"/>
          <a:ext cx="4176877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180974</xdr:rowOff>
    </xdr:from>
    <xdr:to>
      <xdr:col>2</xdr:col>
      <xdr:colOff>1011019</xdr:colOff>
      <xdr:row>0</xdr:row>
      <xdr:rowOff>438149</xdr:rowOff>
    </xdr:to>
    <xdr:pic>
      <xdr:nvPicPr>
        <xdr:cNvPr id="3" name="Imagem 2" descr="Museu-Solar-Monjardim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180974"/>
          <a:ext cx="3563719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142876</xdr:rowOff>
    </xdr:from>
    <xdr:to>
      <xdr:col>3</xdr:col>
      <xdr:colOff>419087</xdr:colOff>
      <xdr:row>0</xdr:row>
      <xdr:rowOff>542925</xdr:rowOff>
    </xdr:to>
    <xdr:pic>
      <xdr:nvPicPr>
        <xdr:cNvPr id="2" name="Imagem 1" descr="Museu-Solar-Monjardi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42876"/>
          <a:ext cx="5543537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L33" sqref="L33"/>
    </sheetView>
  </sheetViews>
  <sheetFormatPr defaultRowHeight="12.75" x14ac:dyDescent="0.2"/>
  <cols>
    <col min="1" max="1" width="7" customWidth="1"/>
    <col min="2" max="2" width="61.85546875" customWidth="1"/>
    <col min="3" max="3" width="7" bestFit="1" customWidth="1"/>
    <col min="4" max="4" width="11.28515625" bestFit="1" customWidth="1"/>
    <col min="5" max="5" width="16.140625" customWidth="1"/>
    <col min="6" max="6" width="9.140625" customWidth="1"/>
    <col min="7" max="7" width="10.5703125" bestFit="1" customWidth="1"/>
    <col min="8" max="8" width="10.5703125" customWidth="1"/>
    <col min="9" max="9" width="10.85546875" bestFit="1" customWidth="1"/>
    <col min="10" max="10" width="10.7109375" customWidth="1"/>
    <col min="11" max="16" width="9.140625" customWidth="1"/>
  </cols>
  <sheetData>
    <row r="1" spans="1:10" ht="60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</row>
    <row r="2" spans="1:10" ht="18.75" x14ac:dyDescent="0.2">
      <c r="A2" s="87" t="s">
        <v>71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2">
      <c r="A3" s="86" t="s">
        <v>69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2">
      <c r="A4" s="83" t="s">
        <v>116</v>
      </c>
      <c r="B4" s="84"/>
      <c r="C4" s="84"/>
      <c r="D4" s="84"/>
      <c r="E4" s="84"/>
      <c r="F4" s="84"/>
      <c r="G4" s="84"/>
      <c r="H4" s="84"/>
      <c r="I4" s="84"/>
      <c r="J4" s="85"/>
    </row>
    <row r="5" spans="1:10" ht="12.75" customHeight="1" x14ac:dyDescent="0.2">
      <c r="A5" s="14" t="s">
        <v>2</v>
      </c>
      <c r="B5" s="15" t="s">
        <v>3</v>
      </c>
      <c r="C5" s="14" t="s">
        <v>4</v>
      </c>
      <c r="D5" s="14" t="s">
        <v>5</v>
      </c>
      <c r="E5" s="38" t="s">
        <v>7</v>
      </c>
      <c r="F5" s="38" t="s">
        <v>72</v>
      </c>
      <c r="G5" s="39" t="s">
        <v>0</v>
      </c>
      <c r="H5" s="39" t="s">
        <v>31</v>
      </c>
      <c r="I5" s="39" t="s">
        <v>130</v>
      </c>
      <c r="J5" s="39" t="s">
        <v>131</v>
      </c>
    </row>
    <row r="6" spans="1:10" ht="12.75" customHeight="1" x14ac:dyDescent="0.2">
      <c r="A6" s="16" t="s">
        <v>64</v>
      </c>
      <c r="B6" s="17" t="s">
        <v>32</v>
      </c>
      <c r="C6" s="18"/>
      <c r="D6" s="19"/>
      <c r="E6" s="40"/>
      <c r="F6" s="40"/>
      <c r="G6" s="41">
        <f>SUM(G7:G15)</f>
        <v>11969.370402999999</v>
      </c>
      <c r="H6" s="41">
        <f>SUM(H7:H15)</f>
        <v>4477.4407499999998</v>
      </c>
      <c r="I6" s="71">
        <f>SUM(I9:I15)</f>
        <v>7491.9296530000001</v>
      </c>
      <c r="J6" s="39"/>
    </row>
    <row r="7" spans="1:10" ht="12.75" customHeight="1" x14ac:dyDescent="0.2">
      <c r="A7" s="20" t="s">
        <v>26</v>
      </c>
      <c r="B7" s="21" t="s">
        <v>128</v>
      </c>
      <c r="C7" s="22" t="s">
        <v>4</v>
      </c>
      <c r="D7" s="34">
        <v>1</v>
      </c>
      <c r="E7" s="46" t="s">
        <v>127</v>
      </c>
      <c r="F7" s="43">
        <v>2320</v>
      </c>
      <c r="G7" s="43">
        <f t="shared" ref="G7:G15" si="0">D7*F7</f>
        <v>2320</v>
      </c>
      <c r="H7" s="44">
        <f>G7</f>
        <v>2320</v>
      </c>
      <c r="I7" s="47"/>
      <c r="J7" s="75"/>
    </row>
    <row r="8" spans="1:10" ht="12.75" customHeight="1" x14ac:dyDescent="0.2">
      <c r="A8" s="20" t="s">
        <v>27</v>
      </c>
      <c r="B8" s="21" t="s">
        <v>137</v>
      </c>
      <c r="C8" s="26" t="s">
        <v>11</v>
      </c>
      <c r="D8" s="72">
        <f>'Estimativa quantidades'!D8</f>
        <v>164.08949999999999</v>
      </c>
      <c r="E8" s="42" t="s">
        <v>134</v>
      </c>
      <c r="F8" s="47">
        <v>8.5</v>
      </c>
      <c r="G8" s="43">
        <f t="shared" si="0"/>
        <v>1394.7607499999999</v>
      </c>
      <c r="H8" s="44">
        <f>G8</f>
        <v>1394.7607499999999</v>
      </c>
      <c r="I8" s="47"/>
      <c r="J8" s="75"/>
    </row>
    <row r="9" spans="1:10" ht="89.25" x14ac:dyDescent="0.2">
      <c r="A9" s="20" t="s">
        <v>28</v>
      </c>
      <c r="B9" s="21" t="s">
        <v>56</v>
      </c>
      <c r="C9" s="22" t="s">
        <v>4</v>
      </c>
      <c r="D9" s="34">
        <f>'Estimativa quantidades'!D9</f>
        <v>2.125</v>
      </c>
      <c r="E9" s="42" t="s">
        <v>39</v>
      </c>
      <c r="F9" s="43">
        <v>280</v>
      </c>
      <c r="G9" s="43">
        <f t="shared" si="0"/>
        <v>595</v>
      </c>
      <c r="H9" s="44">
        <f>G9</f>
        <v>595</v>
      </c>
      <c r="I9" s="78"/>
      <c r="J9" s="43"/>
    </row>
    <row r="10" spans="1:10" ht="48" x14ac:dyDescent="0.2">
      <c r="A10" s="20" t="s">
        <v>29</v>
      </c>
      <c r="B10" s="21" t="s">
        <v>74</v>
      </c>
      <c r="C10" s="22" t="s">
        <v>4</v>
      </c>
      <c r="D10" s="23">
        <f>'Estimativa quantidades'!D10</f>
        <v>1</v>
      </c>
      <c r="E10" s="45" t="s">
        <v>44</v>
      </c>
      <c r="F10" s="43">
        <v>167.68</v>
      </c>
      <c r="G10" s="43">
        <f t="shared" si="0"/>
        <v>167.68</v>
      </c>
      <c r="H10" s="44">
        <f>G10</f>
        <v>167.68</v>
      </c>
      <c r="I10" s="78"/>
      <c r="J10" s="43"/>
    </row>
    <row r="11" spans="1:10" x14ac:dyDescent="0.2">
      <c r="A11" s="20" t="s">
        <v>45</v>
      </c>
      <c r="B11" s="25" t="s">
        <v>9</v>
      </c>
      <c r="C11" s="26" t="s">
        <v>10</v>
      </c>
      <c r="D11" s="72">
        <f>'Estimativa quantidades'!D11</f>
        <v>32.817900000000002</v>
      </c>
      <c r="E11" s="46" t="s">
        <v>63</v>
      </c>
      <c r="F11" s="47">
        <v>92.63</v>
      </c>
      <c r="G11" s="47">
        <f t="shared" si="0"/>
        <v>3039.9220770000002</v>
      </c>
      <c r="H11" s="47"/>
      <c r="I11" s="44">
        <f t="shared" ref="I11:I15" si="1">G11</f>
        <v>3039.9220770000002</v>
      </c>
      <c r="J11" s="47"/>
    </row>
    <row r="12" spans="1:10" ht="38.25" x14ac:dyDescent="0.2">
      <c r="A12" s="20" t="s">
        <v>48</v>
      </c>
      <c r="B12" s="28" t="s">
        <v>8</v>
      </c>
      <c r="C12" s="22" t="s">
        <v>10</v>
      </c>
      <c r="D12" s="34">
        <f>'Estimativa quantidades'!D12</f>
        <v>32.817900000000002</v>
      </c>
      <c r="E12" s="46" t="s">
        <v>55</v>
      </c>
      <c r="F12" s="43">
        <v>48.44</v>
      </c>
      <c r="G12" s="48">
        <f t="shared" si="0"/>
        <v>1589.6990760000001</v>
      </c>
      <c r="H12" s="48"/>
      <c r="I12" s="44">
        <f t="shared" si="1"/>
        <v>1589.6990760000001</v>
      </c>
      <c r="J12" s="43"/>
    </row>
    <row r="13" spans="1:10" ht="63.75" x14ac:dyDescent="0.2">
      <c r="A13" s="20" t="s">
        <v>57</v>
      </c>
      <c r="B13" s="21" t="s">
        <v>58</v>
      </c>
      <c r="C13" s="22" t="s">
        <v>12</v>
      </c>
      <c r="D13" s="23">
        <f>'Estimativa quantidades'!D13</f>
        <v>2</v>
      </c>
      <c r="E13" s="42" t="s">
        <v>40</v>
      </c>
      <c r="F13" s="43">
        <v>763.5</v>
      </c>
      <c r="G13" s="43">
        <f t="shared" si="0"/>
        <v>1527</v>
      </c>
      <c r="H13" s="43"/>
      <c r="I13" s="44">
        <f t="shared" si="1"/>
        <v>1527</v>
      </c>
      <c r="J13" s="43"/>
    </row>
    <row r="14" spans="1:10" x14ac:dyDescent="0.2">
      <c r="A14" s="20" t="s">
        <v>129</v>
      </c>
      <c r="B14" s="21" t="s">
        <v>66</v>
      </c>
      <c r="C14" s="22" t="s">
        <v>4</v>
      </c>
      <c r="D14" s="23">
        <f>'Estimativa quantidades'!D14</f>
        <v>1</v>
      </c>
      <c r="E14" s="46" t="s">
        <v>67</v>
      </c>
      <c r="F14" s="43">
        <v>733.33</v>
      </c>
      <c r="G14" s="43">
        <f t="shared" si="0"/>
        <v>733.33</v>
      </c>
      <c r="H14" s="43"/>
      <c r="I14" s="44">
        <f t="shared" si="1"/>
        <v>733.33</v>
      </c>
      <c r="J14" s="43"/>
    </row>
    <row r="15" spans="1:10" x14ac:dyDescent="0.2">
      <c r="A15" s="20" t="s">
        <v>132</v>
      </c>
      <c r="B15" s="21" t="s">
        <v>46</v>
      </c>
      <c r="C15" s="22" t="s">
        <v>17</v>
      </c>
      <c r="D15" s="34">
        <f>'Estimativa quantidades'!D15</f>
        <v>78.69</v>
      </c>
      <c r="E15" s="42" t="s">
        <v>47</v>
      </c>
      <c r="F15" s="43">
        <v>7.65</v>
      </c>
      <c r="G15" s="43">
        <f t="shared" si="0"/>
        <v>601.97850000000005</v>
      </c>
      <c r="H15" s="43"/>
      <c r="I15" s="44">
        <f t="shared" si="1"/>
        <v>601.97850000000005</v>
      </c>
      <c r="J15" s="43"/>
    </row>
    <row r="16" spans="1:10" x14ac:dyDescent="0.2">
      <c r="A16" s="30" t="s">
        <v>6</v>
      </c>
      <c r="B16" s="17" t="s">
        <v>136</v>
      </c>
      <c r="C16" s="18"/>
      <c r="D16" s="31"/>
      <c r="E16" s="49"/>
      <c r="F16" s="49"/>
      <c r="G16" s="41">
        <f>SUM(G17:G26)</f>
        <v>23361.256514999997</v>
      </c>
      <c r="H16" s="41"/>
      <c r="I16" s="71">
        <f>SUM(I17:I26)</f>
        <v>3744.4093830000002</v>
      </c>
      <c r="J16" s="71">
        <f>SUM(J17:J26)</f>
        <v>19616.847131999995</v>
      </c>
    </row>
    <row r="17" spans="1:12" ht="25.5" x14ac:dyDescent="0.2">
      <c r="A17" s="20" t="s">
        <v>15</v>
      </c>
      <c r="B17" s="21" t="s">
        <v>13</v>
      </c>
      <c r="C17" s="22" t="s">
        <v>10</v>
      </c>
      <c r="D17" s="34">
        <f>'Estimativa quantidades'!D17</f>
        <v>32.817900000000002</v>
      </c>
      <c r="E17" s="42" t="s">
        <v>42</v>
      </c>
      <c r="F17" s="43">
        <v>60.77</v>
      </c>
      <c r="G17" s="43">
        <f>F17*D17</f>
        <v>1994.3437830000003</v>
      </c>
      <c r="H17" s="43"/>
      <c r="I17" s="44">
        <f>G17</f>
        <v>1994.3437830000003</v>
      </c>
      <c r="J17" s="47"/>
    </row>
    <row r="18" spans="1:12" ht="25.5" x14ac:dyDescent="0.2">
      <c r="A18" s="20" t="s">
        <v>14</v>
      </c>
      <c r="B18" s="32" t="s">
        <v>16</v>
      </c>
      <c r="C18" s="26" t="s">
        <v>17</v>
      </c>
      <c r="D18" s="72">
        <f>'Estimativa quantidades'!D18</f>
        <v>157.38</v>
      </c>
      <c r="E18" s="46" t="s">
        <v>41</v>
      </c>
      <c r="F18" s="47">
        <v>11.12</v>
      </c>
      <c r="G18" s="50">
        <f t="shared" ref="G18:G26" si="2">D18*F18</f>
        <v>1750.0655999999999</v>
      </c>
      <c r="H18" s="50"/>
      <c r="I18" s="44">
        <f>G18</f>
        <v>1750.0655999999999</v>
      </c>
      <c r="J18" s="47"/>
    </row>
    <row r="19" spans="1:12" ht="38.25" x14ac:dyDescent="0.2">
      <c r="A19" s="20" t="s">
        <v>18</v>
      </c>
      <c r="B19" s="21" t="s">
        <v>43</v>
      </c>
      <c r="C19" s="22" t="s">
        <v>11</v>
      </c>
      <c r="D19" s="34">
        <f>'Estimativa quantidades'!D19</f>
        <v>146.14679999999998</v>
      </c>
      <c r="E19" s="46" t="s">
        <v>68</v>
      </c>
      <c r="F19" s="43">
        <v>93.83</v>
      </c>
      <c r="G19" s="48">
        <f t="shared" si="2"/>
        <v>13712.954243999999</v>
      </c>
      <c r="H19" s="48"/>
      <c r="I19" s="47"/>
      <c r="J19" s="44">
        <f t="shared" ref="J19:J26" si="3">G19</f>
        <v>13712.954243999999</v>
      </c>
      <c r="L19" s="1"/>
    </row>
    <row r="20" spans="1:12" ht="38.25" x14ac:dyDescent="0.2">
      <c r="A20" s="20" t="s">
        <v>19</v>
      </c>
      <c r="B20" s="21" t="s">
        <v>20</v>
      </c>
      <c r="C20" s="22" t="s">
        <v>11</v>
      </c>
      <c r="D20" s="23">
        <f>'Estimativa quantidades'!D20</f>
        <v>39.9</v>
      </c>
      <c r="E20" s="46" t="s">
        <v>52</v>
      </c>
      <c r="F20" s="43">
        <v>48.62</v>
      </c>
      <c r="G20" s="48">
        <f t="shared" si="2"/>
        <v>1939.9379999999999</v>
      </c>
      <c r="H20" s="48"/>
      <c r="I20" s="47"/>
      <c r="J20" s="44">
        <f t="shared" si="3"/>
        <v>1939.9379999999999</v>
      </c>
      <c r="L20" s="1"/>
    </row>
    <row r="21" spans="1:12" ht="38.25" x14ac:dyDescent="0.2">
      <c r="A21" s="20" t="s">
        <v>21</v>
      </c>
      <c r="B21" s="21" t="s">
        <v>51</v>
      </c>
      <c r="C21" s="22" t="s">
        <v>11</v>
      </c>
      <c r="D21" s="23">
        <f>'Estimativa quantidades'!D21</f>
        <v>1.4</v>
      </c>
      <c r="E21" s="46" t="s">
        <v>53</v>
      </c>
      <c r="F21" s="43">
        <v>48.62</v>
      </c>
      <c r="G21" s="48">
        <f t="shared" si="2"/>
        <v>68.067999999999998</v>
      </c>
      <c r="H21" s="48"/>
      <c r="I21" s="47"/>
      <c r="J21" s="44">
        <f t="shared" si="3"/>
        <v>68.067999999999998</v>
      </c>
      <c r="L21" s="1"/>
    </row>
    <row r="22" spans="1:12" x14ac:dyDescent="0.2">
      <c r="A22" s="20" t="s">
        <v>22</v>
      </c>
      <c r="B22" s="32" t="s">
        <v>60</v>
      </c>
      <c r="C22" s="22" t="s">
        <v>11</v>
      </c>
      <c r="D22" s="34">
        <f>'Estimativa quantidades'!D22</f>
        <v>1.4450000000000001</v>
      </c>
      <c r="E22" s="42" t="s">
        <v>54</v>
      </c>
      <c r="F22" s="43">
        <v>70.56</v>
      </c>
      <c r="G22" s="48">
        <f t="shared" si="2"/>
        <v>101.95920000000001</v>
      </c>
      <c r="H22" s="48"/>
      <c r="I22" s="47"/>
      <c r="J22" s="44">
        <f t="shared" si="3"/>
        <v>101.95920000000001</v>
      </c>
      <c r="L22" s="1"/>
    </row>
    <row r="23" spans="1:12" x14ac:dyDescent="0.2">
      <c r="A23" s="20" t="s">
        <v>23</v>
      </c>
      <c r="B23" s="21" t="s">
        <v>61</v>
      </c>
      <c r="C23" s="22" t="s">
        <v>17</v>
      </c>
      <c r="D23" s="34">
        <f>'Estimativa quantidades'!D23</f>
        <v>6.2465000000000002</v>
      </c>
      <c r="E23" s="42" t="s">
        <v>62</v>
      </c>
      <c r="F23" s="43">
        <v>112.93</v>
      </c>
      <c r="G23" s="48">
        <f t="shared" si="2"/>
        <v>705.41724500000009</v>
      </c>
      <c r="H23" s="48"/>
      <c r="I23" s="47"/>
      <c r="J23" s="44">
        <f t="shared" si="3"/>
        <v>705.41724500000009</v>
      </c>
    </row>
    <row r="24" spans="1:12" ht="38.25" x14ac:dyDescent="0.2">
      <c r="A24" s="20" t="s">
        <v>24</v>
      </c>
      <c r="B24" s="21" t="s">
        <v>86</v>
      </c>
      <c r="C24" s="22" t="s">
        <v>17</v>
      </c>
      <c r="D24" s="34">
        <f>'Estimativa quantidades'!D24</f>
        <v>73.459999999999994</v>
      </c>
      <c r="E24" s="46" t="s">
        <v>53</v>
      </c>
      <c r="F24" s="43">
        <v>38.01</v>
      </c>
      <c r="G24" s="48">
        <f t="shared" si="2"/>
        <v>2792.2145999999998</v>
      </c>
      <c r="H24" s="48"/>
      <c r="I24" s="47"/>
      <c r="J24" s="44">
        <f t="shared" si="3"/>
        <v>2792.2145999999998</v>
      </c>
    </row>
    <row r="25" spans="1:12" x14ac:dyDescent="0.2">
      <c r="A25" s="20" t="s">
        <v>59</v>
      </c>
      <c r="B25" s="25" t="s">
        <v>25</v>
      </c>
      <c r="C25" s="26" t="s">
        <v>11</v>
      </c>
      <c r="D25" s="72">
        <f>'Estimativa quantidades'!D25</f>
        <v>59.017499999999998</v>
      </c>
      <c r="E25" s="46" t="s">
        <v>50</v>
      </c>
      <c r="F25" s="47">
        <v>3.65</v>
      </c>
      <c r="G25" s="50">
        <f t="shared" si="2"/>
        <v>215.41387499999999</v>
      </c>
      <c r="H25" s="50"/>
      <c r="I25" s="47"/>
      <c r="J25" s="44">
        <f t="shared" si="3"/>
        <v>215.41387499999999</v>
      </c>
    </row>
    <row r="26" spans="1:12" x14ac:dyDescent="0.2">
      <c r="A26" s="20" t="s">
        <v>123</v>
      </c>
      <c r="B26" s="25" t="s">
        <v>124</v>
      </c>
      <c r="C26" s="26" t="s">
        <v>11</v>
      </c>
      <c r="D26" s="29">
        <f>'Estimativa quantidades'!D26</f>
        <v>10.251200000000001</v>
      </c>
      <c r="E26" s="46" t="s">
        <v>125</v>
      </c>
      <c r="F26" s="47">
        <v>7.89</v>
      </c>
      <c r="G26" s="50">
        <f t="shared" si="2"/>
        <v>80.881968000000001</v>
      </c>
      <c r="H26" s="50"/>
      <c r="I26" s="73"/>
      <c r="J26" s="44">
        <f t="shared" si="3"/>
        <v>80.881968000000001</v>
      </c>
    </row>
    <row r="27" spans="1:12" x14ac:dyDescent="0.2">
      <c r="A27" s="30" t="s">
        <v>65</v>
      </c>
      <c r="B27" s="17" t="s">
        <v>34</v>
      </c>
      <c r="C27" s="18"/>
      <c r="D27" s="31"/>
      <c r="E27" s="49"/>
      <c r="F27" s="49"/>
      <c r="G27" s="41">
        <f>G28+G29</f>
        <v>630.10367999999994</v>
      </c>
      <c r="H27" s="41"/>
      <c r="I27" s="41"/>
      <c r="J27" s="71">
        <f>SUM(J28:J29)</f>
        <v>630.10367999999994</v>
      </c>
    </row>
    <row r="28" spans="1:12" ht="24" x14ac:dyDescent="0.2">
      <c r="A28" s="20" t="s">
        <v>37</v>
      </c>
      <c r="B28" s="32" t="s">
        <v>35</v>
      </c>
      <c r="C28" s="26" t="s">
        <v>11</v>
      </c>
      <c r="D28" s="72">
        <f>'Estimativa quantidades'!D29</f>
        <v>164.08949999999999</v>
      </c>
      <c r="E28" s="45" t="s">
        <v>122</v>
      </c>
      <c r="F28" s="47">
        <v>1.5</v>
      </c>
      <c r="G28" s="47">
        <f>F28*D28</f>
        <v>246.13424999999998</v>
      </c>
      <c r="H28" s="47"/>
      <c r="I28" s="47"/>
      <c r="J28" s="44">
        <f>G28</f>
        <v>246.13424999999998</v>
      </c>
    </row>
    <row r="29" spans="1:12" x14ac:dyDescent="0.2">
      <c r="A29" s="20" t="s">
        <v>38</v>
      </c>
      <c r="B29" s="35" t="s">
        <v>36</v>
      </c>
      <c r="C29" s="26" t="s">
        <v>11</v>
      </c>
      <c r="D29" s="72">
        <f>'Estimativa quantidades'!D29</f>
        <v>164.08949999999999</v>
      </c>
      <c r="E29" s="51" t="s">
        <v>85</v>
      </c>
      <c r="F29" s="47">
        <v>2.34</v>
      </c>
      <c r="G29" s="50">
        <f t="shared" ref="G29" si="4">D29*F29</f>
        <v>383.96942999999993</v>
      </c>
      <c r="H29" s="50"/>
      <c r="I29" s="47"/>
      <c r="J29" s="44">
        <f>G29</f>
        <v>383.96942999999993</v>
      </c>
    </row>
    <row r="30" spans="1:12" x14ac:dyDescent="0.2">
      <c r="A30" s="52" t="s">
        <v>0</v>
      </c>
      <c r="B30" s="53"/>
      <c r="C30" s="54"/>
      <c r="D30" s="54"/>
      <c r="E30" s="55"/>
      <c r="F30" s="56"/>
      <c r="G30" s="41">
        <f>G27+G16+G6</f>
        <v>35960.730597999995</v>
      </c>
      <c r="H30" s="71">
        <f>H16+H6+H27</f>
        <v>4477.4407499999998</v>
      </c>
      <c r="I30" s="71">
        <f>I16+I6+I27</f>
        <v>11236.339036000001</v>
      </c>
      <c r="J30" s="71">
        <f>J16+J6+J27</f>
        <v>20246.950811999995</v>
      </c>
    </row>
    <row r="31" spans="1:12" x14ac:dyDescent="0.2">
      <c r="A31" s="52"/>
      <c r="B31" s="92" t="s">
        <v>118</v>
      </c>
      <c r="C31" s="93"/>
      <c r="D31" s="93"/>
      <c r="E31" s="94"/>
      <c r="F31" s="70">
        <f>BDI!C21</f>
        <v>0.25632722495894922</v>
      </c>
      <c r="G31" s="41">
        <f>G30*F31</f>
        <v>9217.7142816817122</v>
      </c>
      <c r="H31" s="71">
        <f>H30*F31</f>
        <v>1147.6899623656163</v>
      </c>
      <c r="I31" s="71">
        <f>I30*F31</f>
        <v>2880.1796037957947</v>
      </c>
      <c r="J31" s="71">
        <f>J30*F31</f>
        <v>5189.8447155203021</v>
      </c>
    </row>
    <row r="32" spans="1:12" x14ac:dyDescent="0.2">
      <c r="A32" s="57"/>
      <c r="B32" s="58"/>
      <c r="C32" s="59"/>
      <c r="D32" s="60"/>
      <c r="E32" s="61"/>
      <c r="F32" s="62"/>
      <c r="G32" s="63"/>
      <c r="H32" s="63"/>
      <c r="I32" s="24"/>
      <c r="J32" s="24"/>
    </row>
    <row r="33" spans="1:10" x14ac:dyDescent="0.2">
      <c r="A33" s="64" t="s">
        <v>1</v>
      </c>
      <c r="B33" s="65"/>
      <c r="C33" s="66"/>
      <c r="D33" s="66"/>
      <c r="E33" s="67"/>
      <c r="F33" s="67"/>
      <c r="G33" s="41">
        <f>G30+G31</f>
        <v>45178.444879681709</v>
      </c>
      <c r="H33" s="71">
        <f>H30+H31</f>
        <v>5625.1307123656161</v>
      </c>
      <c r="I33" s="71">
        <f>I30+I31</f>
        <v>14116.518639795795</v>
      </c>
      <c r="J33" s="71">
        <f>J30+J31</f>
        <v>25436.795527520298</v>
      </c>
    </row>
    <row r="34" spans="1:10" x14ac:dyDescent="0.2">
      <c r="A34" s="68" t="s">
        <v>30</v>
      </c>
      <c r="B34" s="88" t="s">
        <v>115</v>
      </c>
      <c r="C34" s="89"/>
      <c r="D34" s="89"/>
      <c r="E34" s="89"/>
      <c r="F34" s="90"/>
      <c r="G34" s="90"/>
      <c r="H34" s="90"/>
      <c r="I34" s="90"/>
      <c r="J34" s="91"/>
    </row>
    <row r="35" spans="1:10" x14ac:dyDescent="0.2">
      <c r="A35" s="79" t="s">
        <v>117</v>
      </c>
      <c r="B35" s="79"/>
      <c r="C35" s="79"/>
      <c r="D35" s="79"/>
      <c r="E35" s="79"/>
      <c r="F35" s="79"/>
      <c r="G35" s="79"/>
      <c r="H35" s="69"/>
      <c r="I35" s="80">
        <v>43731</v>
      </c>
      <c r="J35" s="79"/>
    </row>
    <row r="36" spans="1:10" x14ac:dyDescent="0.2">
      <c r="A36" s="36"/>
      <c r="B36" s="37"/>
      <c r="C36" s="36"/>
      <c r="D36" s="36"/>
      <c r="E36" s="36"/>
      <c r="F36" s="36"/>
      <c r="G36" s="36"/>
      <c r="H36" s="36"/>
      <c r="I36" s="36"/>
      <c r="J36" s="36"/>
    </row>
    <row r="74" ht="12.75" customHeight="1" x14ac:dyDescent="0.2"/>
    <row r="75" ht="12.75" customHeight="1" x14ac:dyDescent="0.2"/>
    <row r="76" ht="12.75" customHeight="1" x14ac:dyDescent="0.2"/>
    <row r="77" ht="12.75" customHeight="1" x14ac:dyDescent="0.2"/>
  </sheetData>
  <mergeCells count="8">
    <mergeCell ref="A35:G35"/>
    <mergeCell ref="I35:J35"/>
    <mergeCell ref="A1:J1"/>
    <mergeCell ref="A4:J4"/>
    <mergeCell ref="A3:J3"/>
    <mergeCell ref="A2:J2"/>
    <mergeCell ref="B34:J34"/>
    <mergeCell ref="B31:E31"/>
  </mergeCells>
  <pageMargins left="0.39370078740157483" right="0.39370078740157483" top="0.39370078740157483" bottom="0.39370078740157483" header="0.11811023622047245" footer="0.1181102362204724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2" sqref="E2"/>
    </sheetView>
  </sheetViews>
  <sheetFormatPr defaultRowHeight="12.75" x14ac:dyDescent="0.2"/>
  <cols>
    <col min="1" max="1" width="29.5703125" customWidth="1"/>
    <col min="3" max="3" width="15.5703125" customWidth="1"/>
  </cols>
  <sheetData>
    <row r="1" spans="1:3" ht="49.5" customHeight="1" x14ac:dyDescent="0.2">
      <c r="A1" s="98"/>
      <c r="B1" s="98"/>
      <c r="C1" s="98"/>
    </row>
    <row r="2" spans="1:3" ht="18.75" x14ac:dyDescent="0.2">
      <c r="A2" s="99" t="s">
        <v>87</v>
      </c>
      <c r="B2" s="99"/>
      <c r="C2" s="99"/>
    </row>
    <row r="3" spans="1:3" ht="30.75" customHeight="1" x14ac:dyDescent="0.2">
      <c r="A3" s="95" t="s">
        <v>69</v>
      </c>
      <c r="B3" s="95"/>
      <c r="C3" s="95"/>
    </row>
    <row r="4" spans="1:3" x14ac:dyDescent="0.2">
      <c r="A4" s="100" t="s">
        <v>116</v>
      </c>
      <c r="B4" s="100"/>
      <c r="C4" s="100"/>
    </row>
    <row r="5" spans="1:3" x14ac:dyDescent="0.2">
      <c r="A5" s="101"/>
      <c r="B5" s="101"/>
      <c r="C5" s="101"/>
    </row>
    <row r="6" spans="1:3" x14ac:dyDescent="0.2">
      <c r="A6" s="102" t="s">
        <v>88</v>
      </c>
      <c r="B6" s="102"/>
      <c r="C6" s="102"/>
    </row>
    <row r="7" spans="1:3" x14ac:dyDescent="0.2">
      <c r="A7" s="3" t="s">
        <v>89</v>
      </c>
      <c r="B7" s="2" t="s">
        <v>90</v>
      </c>
      <c r="C7" s="2" t="s">
        <v>91</v>
      </c>
    </row>
    <row r="8" spans="1:3" x14ac:dyDescent="0.2">
      <c r="A8" s="3" t="s">
        <v>92</v>
      </c>
      <c r="B8" s="2" t="s">
        <v>93</v>
      </c>
      <c r="C8" s="4">
        <v>0.04</v>
      </c>
    </row>
    <row r="9" spans="1:3" x14ac:dyDescent="0.2">
      <c r="A9" s="3" t="s">
        <v>94</v>
      </c>
      <c r="B9" s="2" t="s">
        <v>95</v>
      </c>
      <c r="C9" s="4">
        <v>7.3999999999999996E-2</v>
      </c>
    </row>
    <row r="10" spans="1:3" x14ac:dyDescent="0.2">
      <c r="A10" s="3" t="s">
        <v>96</v>
      </c>
      <c r="B10" s="2" t="s">
        <v>97</v>
      </c>
      <c r="C10" s="4">
        <v>0.01</v>
      </c>
    </row>
    <row r="11" spans="1:3" x14ac:dyDescent="0.2">
      <c r="A11" s="3" t="s">
        <v>98</v>
      </c>
      <c r="B11" s="2"/>
      <c r="C11" s="5">
        <f>C12+C13</f>
        <v>1.8000000000000002E-2</v>
      </c>
    </row>
    <row r="12" spans="1:3" x14ac:dyDescent="0.2">
      <c r="A12" s="6" t="s">
        <v>99</v>
      </c>
      <c r="B12" s="7" t="s">
        <v>100</v>
      </c>
      <c r="C12" s="8">
        <v>8.0000000000000002E-3</v>
      </c>
    </row>
    <row r="13" spans="1:3" x14ac:dyDescent="0.2">
      <c r="A13" s="6" t="s">
        <v>101</v>
      </c>
      <c r="B13" s="7" t="s">
        <v>102</v>
      </c>
      <c r="C13" s="8">
        <v>0.01</v>
      </c>
    </row>
    <row r="14" spans="1:3" x14ac:dyDescent="0.2">
      <c r="A14" s="3" t="s">
        <v>103</v>
      </c>
      <c r="B14" s="2" t="s">
        <v>104</v>
      </c>
      <c r="C14" s="4">
        <f>C15+C16+C17</f>
        <v>8.6499999999999994E-2</v>
      </c>
    </row>
    <row r="15" spans="1:3" x14ac:dyDescent="0.2">
      <c r="A15" s="6" t="s">
        <v>105</v>
      </c>
      <c r="B15" s="7" t="s">
        <v>106</v>
      </c>
      <c r="C15" s="8">
        <v>0.05</v>
      </c>
    </row>
    <row r="16" spans="1:3" x14ac:dyDescent="0.2">
      <c r="A16" s="6" t="s">
        <v>107</v>
      </c>
      <c r="B16" s="7" t="s">
        <v>107</v>
      </c>
      <c r="C16" s="8">
        <v>6.4999999999999997E-3</v>
      </c>
    </row>
    <row r="17" spans="1:3" x14ac:dyDescent="0.2">
      <c r="A17" s="6" t="s">
        <v>108</v>
      </c>
      <c r="B17" s="7" t="s">
        <v>108</v>
      </c>
      <c r="C17" s="8">
        <v>0.03</v>
      </c>
    </row>
    <row r="18" spans="1:3" ht="25.5" x14ac:dyDescent="0.2">
      <c r="A18" s="3" t="s">
        <v>109</v>
      </c>
      <c r="B18" s="9">
        <f>(1+(C8+C11))*(1+C10)*(1+C9)</f>
        <v>1.1476549200000001</v>
      </c>
      <c r="C18" s="4">
        <f>B18-1</f>
        <v>0.14765492000000013</v>
      </c>
    </row>
    <row r="19" spans="1:3" ht="25.5" x14ac:dyDescent="0.2">
      <c r="A19" s="3" t="s">
        <v>110</v>
      </c>
      <c r="B19" s="10">
        <f>1-C14</f>
        <v>0.91349999999999998</v>
      </c>
      <c r="C19" s="4">
        <f>B19</f>
        <v>0.91349999999999998</v>
      </c>
    </row>
    <row r="20" spans="1:3" x14ac:dyDescent="0.2">
      <c r="A20" s="3" t="s">
        <v>111</v>
      </c>
      <c r="B20" s="10">
        <f>B18/B19</f>
        <v>1.2563272249589492</v>
      </c>
      <c r="C20" s="4">
        <f>B20-1</f>
        <v>0.25632722495894922</v>
      </c>
    </row>
    <row r="21" spans="1:3" x14ac:dyDescent="0.2">
      <c r="A21" s="11" t="s">
        <v>112</v>
      </c>
      <c r="B21" s="11"/>
      <c r="C21" s="12">
        <f>C20</f>
        <v>0.25632722495894922</v>
      </c>
    </row>
    <row r="22" spans="1:3" ht="65.25" customHeight="1" x14ac:dyDescent="0.2">
      <c r="A22" s="95" t="s">
        <v>113</v>
      </c>
      <c r="B22" s="95"/>
      <c r="C22" s="95"/>
    </row>
    <row r="23" spans="1:3" x14ac:dyDescent="0.2">
      <c r="A23" s="96" t="s">
        <v>114</v>
      </c>
      <c r="B23" s="97"/>
      <c r="C23" s="13">
        <v>43731</v>
      </c>
    </row>
  </sheetData>
  <mergeCells count="8">
    <mergeCell ref="A22:C22"/>
    <mergeCell ref="A23:B23"/>
    <mergeCell ref="A1:C1"/>
    <mergeCell ref="A2:C2"/>
    <mergeCell ref="A3:C3"/>
    <mergeCell ref="A4:C4"/>
    <mergeCell ref="A5:C5"/>
    <mergeCell ref="A6:C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6" sqref="I6"/>
    </sheetView>
  </sheetViews>
  <sheetFormatPr defaultRowHeight="12.75" x14ac:dyDescent="0.2"/>
  <cols>
    <col min="1" max="1" width="7.28515625" customWidth="1"/>
    <col min="2" max="2" width="63.85546875" customWidth="1"/>
    <col min="3" max="3" width="7" bestFit="1" customWidth="1"/>
    <col min="4" max="4" width="9" bestFit="1" customWidth="1"/>
    <col min="5" max="5" width="20.7109375" hidden="1" customWidth="1"/>
    <col min="6" max="8" width="9.140625" customWidth="1"/>
  </cols>
  <sheetData>
    <row r="1" spans="1:6" ht="54.75" customHeight="1" x14ac:dyDescent="0.2">
      <c r="A1" s="82"/>
      <c r="B1" s="82"/>
      <c r="C1" s="82"/>
      <c r="D1" s="82"/>
      <c r="E1" s="82"/>
    </row>
    <row r="2" spans="1:6" ht="18.75" x14ac:dyDescent="0.2">
      <c r="A2" s="87" t="s">
        <v>70</v>
      </c>
      <c r="B2" s="87"/>
      <c r="C2" s="87"/>
      <c r="D2" s="87"/>
      <c r="E2" s="87"/>
    </row>
    <row r="3" spans="1:6" ht="29.25" customHeight="1" x14ac:dyDescent="0.2">
      <c r="A3" s="86" t="s">
        <v>69</v>
      </c>
      <c r="B3" s="86"/>
      <c r="C3" s="86"/>
      <c r="D3" s="86"/>
      <c r="E3" s="86"/>
    </row>
    <row r="4" spans="1:6" x14ac:dyDescent="0.2">
      <c r="A4" s="103" t="s">
        <v>116</v>
      </c>
      <c r="B4" s="103"/>
      <c r="C4" s="103"/>
      <c r="D4" s="103"/>
      <c r="E4" s="103"/>
    </row>
    <row r="5" spans="1:6" x14ac:dyDescent="0.2">
      <c r="A5" s="14" t="s">
        <v>2</v>
      </c>
      <c r="B5" s="15" t="s">
        <v>3</v>
      </c>
      <c r="C5" s="14" t="s">
        <v>4</v>
      </c>
      <c r="D5" s="14" t="s">
        <v>5</v>
      </c>
      <c r="E5" s="14" t="s">
        <v>80</v>
      </c>
    </row>
    <row r="6" spans="1:6" x14ac:dyDescent="0.2">
      <c r="A6" s="16" t="s">
        <v>64</v>
      </c>
      <c r="B6" s="17" t="s">
        <v>32</v>
      </c>
      <c r="C6" s="18"/>
      <c r="D6" s="19"/>
      <c r="E6" s="14"/>
    </row>
    <row r="7" spans="1:6" x14ac:dyDescent="0.2">
      <c r="A7" s="20" t="s">
        <v>26</v>
      </c>
      <c r="B7" s="21" t="s">
        <v>128</v>
      </c>
      <c r="C7" s="22" t="s">
        <v>4</v>
      </c>
      <c r="D7" s="34">
        <v>1</v>
      </c>
      <c r="E7" s="77"/>
    </row>
    <row r="8" spans="1:6" ht="38.25" x14ac:dyDescent="0.2">
      <c r="A8" s="20" t="s">
        <v>27</v>
      </c>
      <c r="B8" s="21" t="s">
        <v>133</v>
      </c>
      <c r="C8" s="26" t="s">
        <v>11</v>
      </c>
      <c r="D8" s="33">
        <f>(36.57*1.55)+(40.44*2.55)+(1.68*2.55)</f>
        <v>164.08949999999999</v>
      </c>
      <c r="E8" s="21" t="s">
        <v>75</v>
      </c>
    </row>
    <row r="9" spans="1:6" ht="76.5" x14ac:dyDescent="0.2">
      <c r="A9" s="20" t="s">
        <v>28</v>
      </c>
      <c r="B9" s="21" t="s">
        <v>56</v>
      </c>
      <c r="C9" s="22" t="s">
        <v>4</v>
      </c>
      <c r="D9" s="23">
        <f>(1.5+(1*0.625))</f>
        <v>2.125</v>
      </c>
      <c r="E9" s="21" t="s">
        <v>73</v>
      </c>
      <c r="F9" s="76" t="s">
        <v>135</v>
      </c>
    </row>
    <row r="10" spans="1:6" x14ac:dyDescent="0.2">
      <c r="A10" s="20" t="s">
        <v>29</v>
      </c>
      <c r="B10" s="21" t="s">
        <v>49</v>
      </c>
      <c r="C10" s="22" t="s">
        <v>4</v>
      </c>
      <c r="D10" s="23">
        <v>1</v>
      </c>
      <c r="E10" s="24"/>
    </row>
    <row r="11" spans="1:6" ht="51" x14ac:dyDescent="0.2">
      <c r="A11" s="20" t="s">
        <v>45</v>
      </c>
      <c r="B11" s="25" t="s">
        <v>9</v>
      </c>
      <c r="C11" s="26" t="s">
        <v>10</v>
      </c>
      <c r="D11" s="27">
        <f>((36.57*1.55)+(40.44*2.55)+(1.68*2.55))*0.2</f>
        <v>32.817900000000002</v>
      </c>
      <c r="E11" s="21" t="s">
        <v>76</v>
      </c>
    </row>
    <row r="12" spans="1:6" ht="51" x14ac:dyDescent="0.2">
      <c r="A12" s="20" t="s">
        <v>48</v>
      </c>
      <c r="B12" s="28" t="s">
        <v>8</v>
      </c>
      <c r="C12" s="22" t="s">
        <v>10</v>
      </c>
      <c r="D12" s="29">
        <f>D11</f>
        <v>32.817900000000002</v>
      </c>
      <c r="E12" s="21" t="s">
        <v>76</v>
      </c>
    </row>
    <row r="13" spans="1:6" ht="63.75" x14ac:dyDescent="0.2">
      <c r="A13" s="20" t="s">
        <v>57</v>
      </c>
      <c r="B13" s="21" t="s">
        <v>58</v>
      </c>
      <c r="C13" s="22" t="s">
        <v>12</v>
      </c>
      <c r="D13" s="23">
        <v>2</v>
      </c>
      <c r="E13" s="21" t="s">
        <v>77</v>
      </c>
    </row>
    <row r="14" spans="1:6" x14ac:dyDescent="0.2">
      <c r="A14" s="20" t="s">
        <v>129</v>
      </c>
      <c r="B14" s="21" t="s">
        <v>66</v>
      </c>
      <c r="C14" s="22" t="s">
        <v>4</v>
      </c>
      <c r="D14" s="23">
        <v>1</v>
      </c>
      <c r="E14" s="24"/>
    </row>
    <row r="15" spans="1:6" ht="25.5" x14ac:dyDescent="0.2">
      <c r="A15" s="20" t="s">
        <v>132</v>
      </c>
      <c r="B15" s="21" t="s">
        <v>46</v>
      </c>
      <c r="C15" s="22" t="s">
        <v>17</v>
      </c>
      <c r="D15" s="23">
        <f>36.57+40.44+1.68</f>
        <v>78.69</v>
      </c>
      <c r="E15" s="21" t="s">
        <v>78</v>
      </c>
    </row>
    <row r="16" spans="1:6" x14ac:dyDescent="0.2">
      <c r="A16" s="30" t="s">
        <v>6</v>
      </c>
      <c r="B16" s="17" t="s">
        <v>33</v>
      </c>
      <c r="C16" s="18"/>
      <c r="D16" s="31"/>
      <c r="E16" s="24"/>
    </row>
    <row r="17" spans="1:5" ht="51" x14ac:dyDescent="0.2">
      <c r="A17" s="20" t="s">
        <v>15</v>
      </c>
      <c r="B17" s="21" t="s">
        <v>13</v>
      </c>
      <c r="C17" s="22" t="s">
        <v>10</v>
      </c>
      <c r="D17" s="29">
        <f>D11</f>
        <v>32.817900000000002</v>
      </c>
      <c r="E17" s="21" t="s">
        <v>76</v>
      </c>
    </row>
    <row r="18" spans="1:5" ht="38.25" x14ac:dyDescent="0.2">
      <c r="A18" s="20" t="s">
        <v>14</v>
      </c>
      <c r="B18" s="32" t="s">
        <v>16</v>
      </c>
      <c r="C18" s="26" t="s">
        <v>17</v>
      </c>
      <c r="D18" s="33">
        <f>D15*2</f>
        <v>157.38</v>
      </c>
      <c r="E18" s="21" t="s">
        <v>79</v>
      </c>
    </row>
    <row r="19" spans="1:5" ht="102" x14ac:dyDescent="0.2">
      <c r="A19" s="20" t="s">
        <v>18</v>
      </c>
      <c r="B19" s="21" t="s">
        <v>43</v>
      </c>
      <c r="C19" s="22" t="s">
        <v>11</v>
      </c>
      <c r="D19" s="23">
        <f>(36.57*1.55)+(40.44*2.55)+(1.68*2.55)-D22-D23-D26</f>
        <v>146.14679999999998</v>
      </c>
      <c r="E19" s="21" t="s">
        <v>120</v>
      </c>
    </row>
    <row r="20" spans="1:5" ht="38.25" x14ac:dyDescent="0.2">
      <c r="A20" s="20" t="s">
        <v>19</v>
      </c>
      <c r="B20" s="21" t="s">
        <v>20</v>
      </c>
      <c r="C20" s="22" t="s">
        <v>11</v>
      </c>
      <c r="D20" s="21">
        <f>(36.57*0.4)+(40.44*0.6)+(1.68*0.6)</f>
        <v>39.9</v>
      </c>
      <c r="E20" s="21" t="s">
        <v>81</v>
      </c>
    </row>
    <row r="21" spans="1:5" ht="38.25" x14ac:dyDescent="0.2">
      <c r="A21" s="20" t="s">
        <v>21</v>
      </c>
      <c r="B21" s="21" t="s">
        <v>51</v>
      </c>
      <c r="C21" s="22" t="s">
        <v>11</v>
      </c>
      <c r="D21" s="23">
        <f>0.6+0.6+0.2</f>
        <v>1.4</v>
      </c>
      <c r="E21" s="21" t="s">
        <v>82</v>
      </c>
    </row>
    <row r="22" spans="1:5" ht="25.5" x14ac:dyDescent="0.2">
      <c r="A22" s="20" t="s">
        <v>22</v>
      </c>
      <c r="B22" s="32" t="s">
        <v>60</v>
      </c>
      <c r="C22" s="22" t="s">
        <v>11</v>
      </c>
      <c r="D22" s="34">
        <f>(0.85*1.2)+(0.5*0.85)</f>
        <v>1.4450000000000001</v>
      </c>
      <c r="E22" s="21" t="s">
        <v>83</v>
      </c>
    </row>
    <row r="23" spans="1:5" ht="25.5" x14ac:dyDescent="0.2">
      <c r="A23" s="20" t="s">
        <v>23</v>
      </c>
      <c r="B23" s="21" t="s">
        <v>61</v>
      </c>
      <c r="C23" s="22" t="s">
        <v>17</v>
      </c>
      <c r="D23" s="29">
        <f>4.03*1.55</f>
        <v>6.2465000000000002</v>
      </c>
      <c r="E23" s="21" t="s">
        <v>84</v>
      </c>
    </row>
    <row r="24" spans="1:5" ht="51" x14ac:dyDescent="0.2">
      <c r="A24" s="20" t="s">
        <v>24</v>
      </c>
      <c r="B24" s="21" t="s">
        <v>86</v>
      </c>
      <c r="C24" s="22" t="s">
        <v>17</v>
      </c>
      <c r="D24" s="23">
        <f>(36.57+40.44+1.68)-(4.03+1.2)</f>
        <v>73.459999999999994</v>
      </c>
      <c r="E24" s="21" t="s">
        <v>119</v>
      </c>
    </row>
    <row r="25" spans="1:5" ht="63.75" x14ac:dyDescent="0.2">
      <c r="A25" s="20" t="s">
        <v>59</v>
      </c>
      <c r="B25" s="25" t="s">
        <v>25</v>
      </c>
      <c r="C25" s="26" t="s">
        <v>11</v>
      </c>
      <c r="D25" s="27">
        <f>(36.57+40.44+1.68)*0.25*3</f>
        <v>59.017499999999998</v>
      </c>
      <c r="E25" s="21" t="s">
        <v>121</v>
      </c>
    </row>
    <row r="26" spans="1:5" ht="36" x14ac:dyDescent="0.2">
      <c r="A26" s="20" t="s">
        <v>123</v>
      </c>
      <c r="B26" s="25" t="s">
        <v>124</v>
      </c>
      <c r="C26" s="26" t="s">
        <v>11</v>
      </c>
      <c r="D26" s="27">
        <f>(2.65*1.34)+(1.81*1.34)+(1.9*1.3)+(1.28*1.41)</f>
        <v>10.251200000000001</v>
      </c>
      <c r="E26" s="74" t="s">
        <v>126</v>
      </c>
    </row>
    <row r="27" spans="1:5" x14ac:dyDescent="0.2">
      <c r="A27" s="30" t="s">
        <v>65</v>
      </c>
      <c r="B27" s="17" t="s">
        <v>34</v>
      </c>
      <c r="C27" s="18"/>
      <c r="D27" s="31"/>
      <c r="E27" s="24"/>
    </row>
    <row r="28" spans="1:5" ht="38.25" x14ac:dyDescent="0.2">
      <c r="A28" s="20" t="s">
        <v>37</v>
      </c>
      <c r="B28" s="32" t="s">
        <v>35</v>
      </c>
      <c r="C28" s="26" t="s">
        <v>4</v>
      </c>
      <c r="D28" s="33">
        <f>(36.57*1.55)+(40.44*2.55)+(1.68*2.55)</f>
        <v>164.08949999999999</v>
      </c>
      <c r="E28" s="21" t="s">
        <v>75</v>
      </c>
    </row>
    <row r="29" spans="1:5" ht="38.25" x14ac:dyDescent="0.2">
      <c r="A29" s="20" t="s">
        <v>38</v>
      </c>
      <c r="B29" s="35" t="s">
        <v>36</v>
      </c>
      <c r="C29" s="26" t="s">
        <v>11</v>
      </c>
      <c r="D29" s="33">
        <f>(36.57*1.55)+(40.44*2.55)+(1.68*2.55)</f>
        <v>164.08949999999999</v>
      </c>
      <c r="E29" s="21" t="s">
        <v>75</v>
      </c>
    </row>
    <row r="30" spans="1:5" ht="12.75" customHeight="1" x14ac:dyDescent="0.2">
      <c r="A30" s="96" t="s">
        <v>114</v>
      </c>
      <c r="B30" s="104"/>
      <c r="C30" s="97"/>
      <c r="D30" s="105">
        <v>43731</v>
      </c>
      <c r="E30" s="105"/>
    </row>
    <row r="31" spans="1:5" ht="12.75" customHeight="1" x14ac:dyDescent="0.2">
      <c r="A31" s="36"/>
      <c r="B31" s="37"/>
      <c r="C31" s="36"/>
      <c r="D31" s="36"/>
      <c r="E31" s="36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</sheetData>
  <mergeCells count="6">
    <mergeCell ref="A1:E1"/>
    <mergeCell ref="A4:E4"/>
    <mergeCell ref="A30:C30"/>
    <mergeCell ref="D30:E30"/>
    <mergeCell ref="A2:E2"/>
    <mergeCell ref="A3:E3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e Cronograma</vt:lpstr>
      <vt:lpstr>BDI</vt:lpstr>
      <vt:lpstr>Estimativa quantidades</vt:lpstr>
    </vt:vector>
  </TitlesOfParts>
  <Company>museus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dimas.kubo</dc:creator>
  <cp:lastModifiedBy>Alessandra Braga de Julio</cp:lastModifiedBy>
  <cp:lastPrinted>2019-01-08T14:09:15Z</cp:lastPrinted>
  <dcterms:created xsi:type="dcterms:W3CDTF">2015-07-20T17:35:07Z</dcterms:created>
  <dcterms:modified xsi:type="dcterms:W3CDTF">2019-10-15T14:21:35Z</dcterms:modified>
</cp:coreProperties>
</file>