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0" yWindow="1335" windowWidth="18825" windowHeight="10170" activeTab="1"/>
  </bookViews>
  <sheets>
    <sheet name="Planilha-ANEXO-2-2.1" sheetId="2" r:id="rId1"/>
    <sheet name="Cronograma-ANEXO-2-2.2" sheetId="1" r:id="rId2"/>
  </sheets>
  <definedNames>
    <definedName name="_xlnm.Print_Area" localSheetId="1">'Cronograma-ANEXO-2-2.2'!$A$2:$N$366</definedName>
    <definedName name="_xlnm.Print_Area" localSheetId="0">'Planilha-ANEXO-2-2.1'!$A$2:$G$353</definedName>
  </definedNames>
  <calcPr calcId="125725"/>
</workbook>
</file>

<file path=xl/calcChain.xml><?xml version="1.0" encoding="utf-8"?>
<calcChain xmlns="http://schemas.openxmlformats.org/spreadsheetml/2006/main">
  <c r="F249" i="1"/>
  <c r="K249" s="1"/>
  <c r="F307"/>
  <c r="L307" s="1"/>
  <c r="F306"/>
  <c r="L306" s="1"/>
  <c r="F252"/>
  <c r="K252" s="1"/>
  <c r="F251"/>
  <c r="K251" s="1"/>
  <c r="F250"/>
  <c r="K250" s="1"/>
  <c r="F248"/>
  <c r="K248" s="1"/>
  <c r="F247"/>
  <c r="K247" s="1"/>
  <c r="F246"/>
  <c r="K246" s="1"/>
  <c r="I179"/>
  <c r="J179"/>
  <c r="N179"/>
  <c r="H179"/>
  <c r="F194"/>
  <c r="L194" s="1"/>
  <c r="F193"/>
  <c r="F192"/>
  <c r="F234"/>
  <c r="K234" s="1"/>
  <c r="F238"/>
  <c r="K238" s="1"/>
  <c r="F343" i="2"/>
  <c r="N343" s="1"/>
  <c r="F342"/>
  <c r="N342" s="1"/>
  <c r="F341"/>
  <c r="M341" s="1"/>
  <c r="F340"/>
  <c r="M340" s="1"/>
  <c r="F339"/>
  <c r="M339" s="1"/>
  <c r="F338"/>
  <c r="M338" s="1"/>
  <c r="F337"/>
  <c r="M337" s="1"/>
  <c r="F336"/>
  <c r="N336" s="1"/>
  <c r="F335"/>
  <c r="N335" s="1"/>
  <c r="F334"/>
  <c r="M334" s="1"/>
  <c r="M330" s="1"/>
  <c r="F333"/>
  <c r="I333" s="1"/>
  <c r="F332"/>
  <c r="J332" s="1"/>
  <c r="F331"/>
  <c r="I331" s="1"/>
  <c r="G330"/>
  <c r="C329"/>
  <c r="F329" s="1"/>
  <c r="H328"/>
  <c r="C328"/>
  <c r="F328" s="1"/>
  <c r="L328" s="1"/>
  <c r="F327"/>
  <c r="M327" s="1"/>
  <c r="C327"/>
  <c r="C326"/>
  <c r="F326" s="1"/>
  <c r="L326" s="1"/>
  <c r="C325"/>
  <c r="F325" s="1"/>
  <c r="H324"/>
  <c r="C324"/>
  <c r="F324" s="1"/>
  <c r="L324" s="1"/>
  <c r="F323"/>
  <c r="M323" s="1"/>
  <c r="C323"/>
  <c r="C322"/>
  <c r="F322" s="1"/>
  <c r="L322" s="1"/>
  <c r="C321"/>
  <c r="F321" s="1"/>
  <c r="H320"/>
  <c r="C320"/>
  <c r="F320" s="1"/>
  <c r="L320" s="1"/>
  <c r="F319"/>
  <c r="M319" s="1"/>
  <c r="C319"/>
  <c r="C318"/>
  <c r="F318" s="1"/>
  <c r="L318" s="1"/>
  <c r="C317"/>
  <c r="F317" s="1"/>
  <c r="H316"/>
  <c r="C316"/>
  <c r="F316" s="1"/>
  <c r="L316" s="1"/>
  <c r="F314"/>
  <c r="M314" s="1"/>
  <c r="F313"/>
  <c r="L313" s="1"/>
  <c r="F312"/>
  <c r="M312" s="1"/>
  <c r="F311"/>
  <c r="L311" s="1"/>
  <c r="F310"/>
  <c r="M310" s="1"/>
  <c r="F309"/>
  <c r="M309" s="1"/>
  <c r="C307"/>
  <c r="F307" s="1"/>
  <c r="N307" s="1"/>
  <c r="F306"/>
  <c r="N306" s="1"/>
  <c r="F305"/>
  <c r="N305" s="1"/>
  <c r="F304"/>
  <c r="K302"/>
  <c r="J302"/>
  <c r="I302"/>
  <c r="H302"/>
  <c r="F301"/>
  <c r="M301" s="1"/>
  <c r="F300"/>
  <c r="N300" s="1"/>
  <c r="C299"/>
  <c r="F299" s="1"/>
  <c r="L298"/>
  <c r="K298"/>
  <c r="J298"/>
  <c r="I298"/>
  <c r="H298"/>
  <c r="M297"/>
  <c r="F297"/>
  <c r="L297" s="1"/>
  <c r="L296"/>
  <c r="F296"/>
  <c r="M296" s="1"/>
  <c r="M295"/>
  <c r="F295"/>
  <c r="L295" s="1"/>
  <c r="L294"/>
  <c r="F294"/>
  <c r="M294" s="1"/>
  <c r="M293"/>
  <c r="M292" s="1"/>
  <c r="F293"/>
  <c r="L293" s="1"/>
  <c r="N292"/>
  <c r="K292"/>
  <c r="J292"/>
  <c r="I292"/>
  <c r="H292"/>
  <c r="G292"/>
  <c r="F291"/>
  <c r="F290"/>
  <c r="F289"/>
  <c r="F288"/>
  <c r="F287"/>
  <c r="C287"/>
  <c r="C286"/>
  <c r="F286" s="1"/>
  <c r="N286" s="1"/>
  <c r="F284"/>
  <c r="L284" s="1"/>
  <c r="K283"/>
  <c r="F283"/>
  <c r="N283" s="1"/>
  <c r="F282"/>
  <c r="L282" s="1"/>
  <c r="F281"/>
  <c r="N281" s="1"/>
  <c r="F280"/>
  <c r="L280" s="1"/>
  <c r="F279"/>
  <c r="N279" s="1"/>
  <c r="F278"/>
  <c r="L278" s="1"/>
  <c r="C277"/>
  <c r="F277" s="1"/>
  <c r="M277" s="1"/>
  <c r="C276"/>
  <c r="F276" s="1"/>
  <c r="K276" s="1"/>
  <c r="F275"/>
  <c r="N275" s="1"/>
  <c r="F274"/>
  <c r="L274" s="1"/>
  <c r="F273"/>
  <c r="N273" s="1"/>
  <c r="F272"/>
  <c r="L272" s="1"/>
  <c r="F271"/>
  <c r="N271" s="1"/>
  <c r="F270"/>
  <c r="L270" s="1"/>
  <c r="F269"/>
  <c r="N269" s="1"/>
  <c r="F267"/>
  <c r="L267" s="1"/>
  <c r="F266"/>
  <c r="L266" s="1"/>
  <c r="F265"/>
  <c r="L265" s="1"/>
  <c r="F264"/>
  <c r="L264" s="1"/>
  <c r="F263"/>
  <c r="L263" s="1"/>
  <c r="F262"/>
  <c r="L262" s="1"/>
  <c r="F261"/>
  <c r="L261" s="1"/>
  <c r="F260"/>
  <c r="L260" s="1"/>
  <c r="F259"/>
  <c r="L259" s="1"/>
  <c r="F258"/>
  <c r="L258" s="1"/>
  <c r="F257"/>
  <c r="L257" s="1"/>
  <c r="F256"/>
  <c r="L256" s="1"/>
  <c r="F255"/>
  <c r="L255" s="1"/>
  <c r="F254"/>
  <c r="L254" s="1"/>
  <c r="F252"/>
  <c r="K252" s="1"/>
  <c r="F251"/>
  <c r="K251" s="1"/>
  <c r="F250"/>
  <c r="K250" s="1"/>
  <c r="F249"/>
  <c r="K249" s="1"/>
  <c r="J247"/>
  <c r="I247"/>
  <c r="H247"/>
  <c r="F245"/>
  <c r="F244"/>
  <c r="F243"/>
  <c r="N242"/>
  <c r="M242"/>
  <c r="L242"/>
  <c r="H242"/>
  <c r="F241"/>
  <c r="F240"/>
  <c r="F239"/>
  <c r="F238"/>
  <c r="F237"/>
  <c r="F236"/>
  <c r="F235"/>
  <c r="F234"/>
  <c r="F233"/>
  <c r="F232"/>
  <c r="F231"/>
  <c r="F230"/>
  <c r="F229"/>
  <c r="F228"/>
  <c r="N227"/>
  <c r="H227"/>
  <c r="F226"/>
  <c r="M226" s="1"/>
  <c r="F225"/>
  <c r="F224"/>
  <c r="M224" s="1"/>
  <c r="N223"/>
  <c r="K223"/>
  <c r="J223"/>
  <c r="I223"/>
  <c r="H223"/>
  <c r="F222"/>
  <c r="K222" s="1"/>
  <c r="F221"/>
  <c r="L221" s="1"/>
  <c r="F220"/>
  <c r="K220" s="1"/>
  <c r="C220"/>
  <c r="F219"/>
  <c r="L219" s="1"/>
  <c r="F218"/>
  <c r="J218" s="1"/>
  <c r="J217" s="1"/>
  <c r="N217"/>
  <c r="M217"/>
  <c r="H217"/>
  <c r="F216"/>
  <c r="M216" s="1"/>
  <c r="F215"/>
  <c r="N215" s="1"/>
  <c r="F214"/>
  <c r="M214" s="1"/>
  <c r="M213"/>
  <c r="F213"/>
  <c r="N213" s="1"/>
  <c r="F212"/>
  <c r="M212" s="1"/>
  <c r="F211"/>
  <c r="N211" s="1"/>
  <c r="C210"/>
  <c r="F210" s="1"/>
  <c r="M210" s="1"/>
  <c r="F209"/>
  <c r="M209" s="1"/>
  <c r="M208"/>
  <c r="F208"/>
  <c r="N208" s="1"/>
  <c r="L207"/>
  <c r="K207"/>
  <c r="J207"/>
  <c r="I207"/>
  <c r="H207"/>
  <c r="F206"/>
  <c r="K206" s="1"/>
  <c r="K205"/>
  <c r="F205"/>
  <c r="L205" s="1"/>
  <c r="F204"/>
  <c r="K204" s="1"/>
  <c r="F203"/>
  <c r="L203" s="1"/>
  <c r="F202"/>
  <c r="K202" s="1"/>
  <c r="F201"/>
  <c r="L201" s="1"/>
  <c r="F199"/>
  <c r="L199" s="1"/>
  <c r="F198"/>
  <c r="K198" s="1"/>
  <c r="K197"/>
  <c r="F197"/>
  <c r="L197" s="1"/>
  <c r="F196"/>
  <c r="K196" s="1"/>
  <c r="F195"/>
  <c r="L195" s="1"/>
  <c r="F194"/>
  <c r="K194" s="1"/>
  <c r="N192"/>
  <c r="M192"/>
  <c r="J192"/>
  <c r="I192"/>
  <c r="H192"/>
  <c r="F191"/>
  <c r="L191" s="1"/>
  <c r="C190"/>
  <c r="F190" s="1"/>
  <c r="C189"/>
  <c r="F189" s="1"/>
  <c r="M189" s="1"/>
  <c r="C188"/>
  <c r="F188" s="1"/>
  <c r="F187"/>
  <c r="M187" s="1"/>
  <c r="F186"/>
  <c r="M186" s="1"/>
  <c r="F185"/>
  <c r="M185" s="1"/>
  <c r="C185"/>
  <c r="F184"/>
  <c r="L184" s="1"/>
  <c r="F183"/>
  <c r="L183" s="1"/>
  <c r="F182"/>
  <c r="L182" s="1"/>
  <c r="F181"/>
  <c r="L181" s="1"/>
  <c r="F180"/>
  <c r="L180" s="1"/>
  <c r="N179"/>
  <c r="J179"/>
  <c r="I179"/>
  <c r="H179"/>
  <c r="F178"/>
  <c r="M178" s="1"/>
  <c r="C176"/>
  <c r="F176" s="1"/>
  <c r="F174"/>
  <c r="L174" s="1"/>
  <c r="F173"/>
  <c r="M173" s="1"/>
  <c r="C171"/>
  <c r="F171" s="1"/>
  <c r="F170"/>
  <c r="L170" s="1"/>
  <c r="C168"/>
  <c r="F168" s="1"/>
  <c r="M168" s="1"/>
  <c r="C165"/>
  <c r="F165" s="1"/>
  <c r="J163"/>
  <c r="I163"/>
  <c r="H163"/>
  <c r="C162"/>
  <c r="F162" s="1"/>
  <c r="L162" s="1"/>
  <c r="F161"/>
  <c r="L161" s="1"/>
  <c r="C159"/>
  <c r="F159" s="1"/>
  <c r="L159" s="1"/>
  <c r="C158"/>
  <c r="F158" s="1"/>
  <c r="L158" s="1"/>
  <c r="C157"/>
  <c r="F157" s="1"/>
  <c r="L157" s="1"/>
  <c r="C156"/>
  <c r="F156" s="1"/>
  <c r="L156" s="1"/>
  <c r="F155"/>
  <c r="L155" s="1"/>
  <c r="C154"/>
  <c r="F154" s="1"/>
  <c r="L154" s="1"/>
  <c r="C153"/>
  <c r="F153" s="1"/>
  <c r="L153" s="1"/>
  <c r="N151"/>
  <c r="M151"/>
  <c r="K151"/>
  <c r="J151"/>
  <c r="I151"/>
  <c r="H151"/>
  <c r="C150"/>
  <c r="F150" s="1"/>
  <c r="L150" s="1"/>
  <c r="C149"/>
  <c r="F149" s="1"/>
  <c r="L149" s="1"/>
  <c r="F148"/>
  <c r="L148" s="1"/>
  <c r="F147"/>
  <c r="L147" s="1"/>
  <c r="F146"/>
  <c r="L146" s="1"/>
  <c r="C144"/>
  <c r="F144" s="1"/>
  <c r="L144" s="1"/>
  <c r="F143"/>
  <c r="L143" s="1"/>
  <c r="F142"/>
  <c r="L142" s="1"/>
  <c r="F141"/>
  <c r="L141" s="1"/>
  <c r="F140"/>
  <c r="L140" s="1"/>
  <c r="F139"/>
  <c r="L139" s="1"/>
  <c r="F138"/>
  <c r="L138" s="1"/>
  <c r="F137"/>
  <c r="L137" s="1"/>
  <c r="F136"/>
  <c r="L136" s="1"/>
  <c r="N134"/>
  <c r="M134"/>
  <c r="K134"/>
  <c r="J134"/>
  <c r="I134"/>
  <c r="H134"/>
  <c r="F133"/>
  <c r="J133" s="1"/>
  <c r="F132"/>
  <c r="J132" s="1"/>
  <c r="F131"/>
  <c r="J131" s="1"/>
  <c r="I130"/>
  <c r="F130"/>
  <c r="J130" s="1"/>
  <c r="F129"/>
  <c r="J129" s="1"/>
  <c r="N128"/>
  <c r="M128"/>
  <c r="L128"/>
  <c r="H128"/>
  <c r="C127"/>
  <c r="F127" s="1"/>
  <c r="J127" s="1"/>
  <c r="C126"/>
  <c r="F126" s="1"/>
  <c r="J126" s="1"/>
  <c r="C125"/>
  <c r="F125" s="1"/>
  <c r="J125" s="1"/>
  <c r="F124"/>
  <c r="J124" s="1"/>
  <c r="C123"/>
  <c r="F123" s="1"/>
  <c r="C122"/>
  <c r="F122" s="1"/>
  <c r="C120"/>
  <c r="F120" s="1"/>
  <c r="C119"/>
  <c r="F119" s="1"/>
  <c r="C118"/>
  <c r="F118" s="1"/>
  <c r="C117"/>
  <c r="F117" s="1"/>
  <c r="F115"/>
  <c r="K115" s="1"/>
  <c r="F114"/>
  <c r="L114" s="1"/>
  <c r="F113"/>
  <c r="K113" s="1"/>
  <c r="F112"/>
  <c r="L112" s="1"/>
  <c r="C111"/>
  <c r="F111" s="1"/>
  <c r="K111" s="1"/>
  <c r="F110"/>
  <c r="K110" s="1"/>
  <c r="F108"/>
  <c r="J108" s="1"/>
  <c r="C108"/>
  <c r="F107"/>
  <c r="J107" s="1"/>
  <c r="C107"/>
  <c r="F106"/>
  <c r="J106" s="1"/>
  <c r="C106"/>
  <c r="C105"/>
  <c r="F105" s="1"/>
  <c r="C104"/>
  <c r="F104" s="1"/>
  <c r="J104" s="1"/>
  <c r="C103"/>
  <c r="F103" s="1"/>
  <c r="J103" s="1"/>
  <c r="C102"/>
  <c r="F102" s="1"/>
  <c r="C100"/>
  <c r="F100" s="1"/>
  <c r="C99"/>
  <c r="F99" s="1"/>
  <c r="C98"/>
  <c r="F98" s="1"/>
  <c r="F96"/>
  <c r="J96" s="1"/>
  <c r="F95"/>
  <c r="J95" s="1"/>
  <c r="F94"/>
  <c r="J94" s="1"/>
  <c r="F93"/>
  <c r="J93" s="1"/>
  <c r="I92"/>
  <c r="F92"/>
  <c r="J92" s="1"/>
  <c r="F91"/>
  <c r="J91" s="1"/>
  <c r="F90"/>
  <c r="J90" s="1"/>
  <c r="C89"/>
  <c r="F89" s="1"/>
  <c r="C88"/>
  <c r="F88" s="1"/>
  <c r="K88" s="1"/>
  <c r="F87"/>
  <c r="J87" s="1"/>
  <c r="F86"/>
  <c r="J86" s="1"/>
  <c r="I85"/>
  <c r="F85"/>
  <c r="J85" s="1"/>
  <c r="F84"/>
  <c r="J84" s="1"/>
  <c r="F83"/>
  <c r="J83" s="1"/>
  <c r="F82"/>
  <c r="J82" s="1"/>
  <c r="F81"/>
  <c r="J81" s="1"/>
  <c r="F79"/>
  <c r="K79" s="1"/>
  <c r="F78"/>
  <c r="K78" s="1"/>
  <c r="F77"/>
  <c r="K77" s="1"/>
  <c r="F76"/>
  <c r="K76" s="1"/>
  <c r="F75"/>
  <c r="K75" s="1"/>
  <c r="F74"/>
  <c r="K74" s="1"/>
  <c r="F73"/>
  <c r="K73" s="1"/>
  <c r="F72"/>
  <c r="K72" s="1"/>
  <c r="F71"/>
  <c r="K71" s="1"/>
  <c r="F70"/>
  <c r="K70" s="1"/>
  <c r="F69"/>
  <c r="K69" s="1"/>
  <c r="F68"/>
  <c r="K68" s="1"/>
  <c r="F67"/>
  <c r="K67" s="1"/>
  <c r="F66"/>
  <c r="K66" s="1"/>
  <c r="F65"/>
  <c r="K65" s="1"/>
  <c r="F64"/>
  <c r="K64" s="1"/>
  <c r="C63"/>
  <c r="F63" s="1"/>
  <c r="K63" s="1"/>
  <c r="C62"/>
  <c r="F62" s="1"/>
  <c r="F61"/>
  <c r="K61" s="1"/>
  <c r="F60"/>
  <c r="K60" s="1"/>
  <c r="F59"/>
  <c r="K59" s="1"/>
  <c r="C58"/>
  <c r="F58" s="1"/>
  <c r="K58" s="1"/>
  <c r="F57"/>
  <c r="J57" s="1"/>
  <c r="C56"/>
  <c r="F56" s="1"/>
  <c r="F55"/>
  <c r="K55" s="1"/>
  <c r="C53"/>
  <c r="F53" s="1"/>
  <c r="H53" s="1"/>
  <c r="F52"/>
  <c r="H52" s="1"/>
  <c r="F51"/>
  <c r="H51" s="1"/>
  <c r="F50"/>
  <c r="H50" s="1"/>
  <c r="N48"/>
  <c r="M48"/>
  <c r="F47"/>
  <c r="H47" s="1"/>
  <c r="F46"/>
  <c r="I46" s="1"/>
  <c r="F45"/>
  <c r="H45" s="1"/>
  <c r="F44"/>
  <c r="H44" s="1"/>
  <c r="F43"/>
  <c r="I43" s="1"/>
  <c r="F42"/>
  <c r="H42" s="1"/>
  <c r="F41"/>
  <c r="I41" s="1"/>
  <c r="F40"/>
  <c r="H40" s="1"/>
  <c r="F39"/>
  <c r="I39" s="1"/>
  <c r="F38"/>
  <c r="H38" s="1"/>
  <c r="F37"/>
  <c r="I37" s="1"/>
  <c r="F36"/>
  <c r="H36" s="1"/>
  <c r="F35"/>
  <c r="I35" s="1"/>
  <c r="F34"/>
  <c r="H34" s="1"/>
  <c r="F33"/>
  <c r="I33" s="1"/>
  <c r="C32"/>
  <c r="F32" s="1"/>
  <c r="H32" s="1"/>
  <c r="F31"/>
  <c r="H31" s="1"/>
  <c r="F29"/>
  <c r="H29" s="1"/>
  <c r="F28"/>
  <c r="H28" s="1"/>
  <c r="C27"/>
  <c r="F27" s="1"/>
  <c r="H27" s="1"/>
  <c r="F26"/>
  <c r="H26" s="1"/>
  <c r="F25"/>
  <c r="H25" s="1"/>
  <c r="F24"/>
  <c r="H24" s="1"/>
  <c r="F23"/>
  <c r="H23" s="1"/>
  <c r="C22"/>
  <c r="F22" s="1"/>
  <c r="L22" s="1"/>
  <c r="L9" s="1"/>
  <c r="F21"/>
  <c r="H21" s="1"/>
  <c r="F20"/>
  <c r="N20" s="1"/>
  <c r="F19"/>
  <c r="H19" s="1"/>
  <c r="F18"/>
  <c r="H18" s="1"/>
  <c r="F17"/>
  <c r="H17" s="1"/>
  <c r="F16"/>
  <c r="H16" s="1"/>
  <c r="F15"/>
  <c r="H15" s="1"/>
  <c r="F14"/>
  <c r="H14" s="1"/>
  <c r="F13"/>
  <c r="H13" s="1"/>
  <c r="F12"/>
  <c r="H12" s="1"/>
  <c r="F11"/>
  <c r="H11" s="1"/>
  <c r="I163" i="1"/>
  <c r="J163"/>
  <c r="I226"/>
  <c r="J226"/>
  <c r="K226"/>
  <c r="N226"/>
  <c r="H226"/>
  <c r="F229"/>
  <c r="L229" s="1"/>
  <c r="H41" i="2" l="1"/>
  <c r="I42"/>
  <c r="H43"/>
  <c r="I57"/>
  <c r="I81"/>
  <c r="I96"/>
  <c r="K170"/>
  <c r="F172"/>
  <c r="L173"/>
  <c r="K181"/>
  <c r="G227"/>
  <c r="K271"/>
  <c r="K275"/>
  <c r="K279"/>
  <c r="H337"/>
  <c r="L337"/>
  <c r="L339"/>
  <c r="L341"/>
  <c r="H339"/>
  <c r="H341"/>
  <c r="H35"/>
  <c r="I83"/>
  <c r="I87"/>
  <c r="I90"/>
  <c r="I94"/>
  <c r="K114"/>
  <c r="I132"/>
  <c r="L151"/>
  <c r="K183"/>
  <c r="F200"/>
  <c r="K201"/>
  <c r="I218"/>
  <c r="I217" s="1"/>
  <c r="K221"/>
  <c r="L224"/>
  <c r="J249" i="1"/>
  <c r="L249"/>
  <c r="M307"/>
  <c r="M306"/>
  <c r="J250"/>
  <c r="L250"/>
  <c r="J251"/>
  <c r="L251"/>
  <c r="J252"/>
  <c r="L252"/>
  <c r="J247"/>
  <c r="L247"/>
  <c r="J248"/>
  <c r="L248"/>
  <c r="J246"/>
  <c r="L246"/>
  <c r="M192"/>
  <c r="K192"/>
  <c r="L192"/>
  <c r="M193"/>
  <c r="L193"/>
  <c r="M194"/>
  <c r="J234"/>
  <c r="L234"/>
  <c r="J238"/>
  <c r="L238"/>
  <c r="J102" i="2"/>
  <c r="F101"/>
  <c r="I317"/>
  <c r="G315"/>
  <c r="M317"/>
  <c r="I321"/>
  <c r="M321"/>
  <c r="I325"/>
  <c r="M325"/>
  <c r="I329"/>
  <c r="M329"/>
  <c r="J105"/>
  <c r="K105"/>
  <c r="M171"/>
  <c r="F169"/>
  <c r="H33"/>
  <c r="H37"/>
  <c r="I38"/>
  <c r="H39"/>
  <c r="H46"/>
  <c r="H48"/>
  <c r="K57"/>
  <c r="J74"/>
  <c r="K81"/>
  <c r="I82"/>
  <c r="K83"/>
  <c r="I84"/>
  <c r="K85"/>
  <c r="I86"/>
  <c r="K87"/>
  <c r="K90"/>
  <c r="I91"/>
  <c r="K92"/>
  <c r="I93"/>
  <c r="K94"/>
  <c r="I95"/>
  <c r="K96"/>
  <c r="K112"/>
  <c r="G128"/>
  <c r="I129"/>
  <c r="K130"/>
  <c r="I131"/>
  <c r="K132"/>
  <c r="I133"/>
  <c r="L134"/>
  <c r="C166"/>
  <c r="M170"/>
  <c r="K180"/>
  <c r="M181"/>
  <c r="K182"/>
  <c r="M183"/>
  <c r="K184"/>
  <c r="K195"/>
  <c r="K199"/>
  <c r="K192" s="1"/>
  <c r="K203"/>
  <c r="M211"/>
  <c r="M207" s="1"/>
  <c r="M215"/>
  <c r="L226"/>
  <c r="F248"/>
  <c r="K269"/>
  <c r="M271"/>
  <c r="K273"/>
  <c r="M275"/>
  <c r="M279"/>
  <c r="K281"/>
  <c r="M283"/>
  <c r="M300"/>
  <c r="L310"/>
  <c r="M311"/>
  <c r="L312"/>
  <c r="M313"/>
  <c r="L314"/>
  <c r="H318"/>
  <c r="I319"/>
  <c r="H322"/>
  <c r="I323"/>
  <c r="H326"/>
  <c r="I327"/>
  <c r="J331"/>
  <c r="I332"/>
  <c r="J333"/>
  <c r="H334"/>
  <c r="L334"/>
  <c r="J337"/>
  <c r="N337"/>
  <c r="H338"/>
  <c r="L338"/>
  <c r="J339"/>
  <c r="N339"/>
  <c r="H340"/>
  <c r="L340"/>
  <c r="J341"/>
  <c r="N341"/>
  <c r="K82"/>
  <c r="K84"/>
  <c r="K86"/>
  <c r="K91"/>
  <c r="K93"/>
  <c r="K95"/>
  <c r="K129"/>
  <c r="K131"/>
  <c r="K133"/>
  <c r="M180"/>
  <c r="M182"/>
  <c r="M184"/>
  <c r="M269"/>
  <c r="M273"/>
  <c r="M281"/>
  <c r="J334"/>
  <c r="N334"/>
  <c r="J338"/>
  <c r="N338"/>
  <c r="J340"/>
  <c r="N340"/>
  <c r="K99"/>
  <c r="J99"/>
  <c r="K118"/>
  <c r="J118"/>
  <c r="K123"/>
  <c r="J123"/>
  <c r="J56"/>
  <c r="K56"/>
  <c r="I56"/>
  <c r="J89"/>
  <c r="I89"/>
  <c r="F80"/>
  <c r="K89"/>
  <c r="K98"/>
  <c r="F97"/>
  <c r="J98"/>
  <c r="K100"/>
  <c r="J100"/>
  <c r="K117"/>
  <c r="J117"/>
  <c r="K119"/>
  <c r="J119"/>
  <c r="K122"/>
  <c r="J122"/>
  <c r="L165"/>
  <c r="K165"/>
  <c r="M165"/>
  <c r="N176"/>
  <c r="M176"/>
  <c r="M190"/>
  <c r="L190"/>
  <c r="J128"/>
  <c r="J62"/>
  <c r="K62"/>
  <c r="I62"/>
  <c r="K120"/>
  <c r="J120"/>
  <c r="L188"/>
  <c r="K188"/>
  <c r="M188"/>
  <c r="L228"/>
  <c r="J228"/>
  <c r="L231"/>
  <c r="J231"/>
  <c r="L234"/>
  <c r="J234"/>
  <c r="L238"/>
  <c r="J238"/>
  <c r="L241"/>
  <c r="J241"/>
  <c r="N288"/>
  <c r="L288"/>
  <c r="N291"/>
  <c r="L291"/>
  <c r="I28"/>
  <c r="I31"/>
  <c r="J59"/>
  <c r="J65"/>
  <c r="J66"/>
  <c r="J67"/>
  <c r="J68"/>
  <c r="J69"/>
  <c r="J70"/>
  <c r="J71"/>
  <c r="J72"/>
  <c r="J77"/>
  <c r="J78"/>
  <c r="J79"/>
  <c r="K102"/>
  <c r="K103"/>
  <c r="L110"/>
  <c r="L113"/>
  <c r="K124"/>
  <c r="K127"/>
  <c r="L168"/>
  <c r="M174"/>
  <c r="L185"/>
  <c r="N209"/>
  <c r="N212"/>
  <c r="L225"/>
  <c r="G223"/>
  <c r="L229"/>
  <c r="J229"/>
  <c r="L230"/>
  <c r="J230"/>
  <c r="L232"/>
  <c r="J232"/>
  <c r="L233"/>
  <c r="J233"/>
  <c r="L235"/>
  <c r="J235"/>
  <c r="L236"/>
  <c r="J236"/>
  <c r="L237"/>
  <c r="J237"/>
  <c r="L239"/>
  <c r="J239"/>
  <c r="L240"/>
  <c r="J240"/>
  <c r="M227"/>
  <c r="I227"/>
  <c r="K243"/>
  <c r="I243"/>
  <c r="K244"/>
  <c r="I244"/>
  <c r="K245"/>
  <c r="I245"/>
  <c r="N277"/>
  <c r="L277"/>
  <c r="M286"/>
  <c r="F285"/>
  <c r="N287"/>
  <c r="L287"/>
  <c r="N289"/>
  <c r="L289"/>
  <c r="N290"/>
  <c r="L290"/>
  <c r="M299"/>
  <c r="M298" s="1"/>
  <c r="G298"/>
  <c r="N304"/>
  <c r="N302" s="1"/>
  <c r="F303"/>
  <c r="K219"/>
  <c r="K217" s="1"/>
  <c r="G217"/>
  <c r="M254"/>
  <c r="K254"/>
  <c r="F253"/>
  <c r="M255"/>
  <c r="K255"/>
  <c r="M256"/>
  <c r="K256"/>
  <c r="M257"/>
  <c r="K257"/>
  <c r="M258"/>
  <c r="K258"/>
  <c r="M259"/>
  <c r="K259"/>
  <c r="M260"/>
  <c r="K260"/>
  <c r="M261"/>
  <c r="K261"/>
  <c r="M262"/>
  <c r="K262"/>
  <c r="M263"/>
  <c r="K263"/>
  <c r="M264"/>
  <c r="K264"/>
  <c r="M265"/>
  <c r="K265"/>
  <c r="M266"/>
  <c r="K266"/>
  <c r="M267"/>
  <c r="K267"/>
  <c r="M270"/>
  <c r="K270"/>
  <c r="M272"/>
  <c r="K272"/>
  <c r="M274"/>
  <c r="K274"/>
  <c r="N276"/>
  <c r="L276"/>
  <c r="M278"/>
  <c r="K278"/>
  <c r="M280"/>
  <c r="K280"/>
  <c r="M282"/>
  <c r="K282"/>
  <c r="M284"/>
  <c r="K284"/>
  <c r="L309"/>
  <c r="L302" s="1"/>
  <c r="F308"/>
  <c r="M316"/>
  <c r="K316"/>
  <c r="I316"/>
  <c r="N317"/>
  <c r="L317"/>
  <c r="J317"/>
  <c r="H317"/>
  <c r="M318"/>
  <c r="K318"/>
  <c r="I318"/>
  <c r="N319"/>
  <c r="L319"/>
  <c r="J319"/>
  <c r="H319"/>
  <c r="M320"/>
  <c r="K320"/>
  <c r="I320"/>
  <c r="N321"/>
  <c r="L321"/>
  <c r="J321"/>
  <c r="H321"/>
  <c r="M322"/>
  <c r="K322"/>
  <c r="I322"/>
  <c r="N323"/>
  <c r="L323"/>
  <c r="J323"/>
  <c r="H323"/>
  <c r="M324"/>
  <c r="K324"/>
  <c r="I324"/>
  <c r="N325"/>
  <c r="L325"/>
  <c r="J325"/>
  <c r="H325"/>
  <c r="M326"/>
  <c r="K326"/>
  <c r="I326"/>
  <c r="N327"/>
  <c r="L327"/>
  <c r="J327"/>
  <c r="H327"/>
  <c r="M328"/>
  <c r="K328"/>
  <c r="I328"/>
  <c r="N329"/>
  <c r="L329"/>
  <c r="J329"/>
  <c r="H329"/>
  <c r="N11"/>
  <c r="N9" s="1"/>
  <c r="I22"/>
  <c r="K22"/>
  <c r="K9" s="1"/>
  <c r="M22"/>
  <c r="M9" s="1"/>
  <c r="I32"/>
  <c r="I34"/>
  <c r="I36"/>
  <c r="I40"/>
  <c r="I44"/>
  <c r="I45"/>
  <c r="I47"/>
  <c r="J55"/>
  <c r="J58"/>
  <c r="J60"/>
  <c r="J61"/>
  <c r="J63"/>
  <c r="J64"/>
  <c r="J73"/>
  <c r="J75"/>
  <c r="J76"/>
  <c r="J88"/>
  <c r="K104"/>
  <c r="K106"/>
  <c r="K107"/>
  <c r="K108"/>
  <c r="L111"/>
  <c r="L115"/>
  <c r="C121"/>
  <c r="F121" s="1"/>
  <c r="K125"/>
  <c r="K126"/>
  <c r="F152"/>
  <c r="C177"/>
  <c r="F177" s="1"/>
  <c r="N178"/>
  <c r="L186"/>
  <c r="L187"/>
  <c r="L189"/>
  <c r="M191"/>
  <c r="L194"/>
  <c r="L196"/>
  <c r="L198"/>
  <c r="L202"/>
  <c r="L204"/>
  <c r="L206"/>
  <c r="N210"/>
  <c r="F10"/>
  <c r="H22"/>
  <c r="H9" s="1"/>
  <c r="J22"/>
  <c r="J9" s="1"/>
  <c r="F30"/>
  <c r="F49"/>
  <c r="F54"/>
  <c r="I55"/>
  <c r="I58"/>
  <c r="I59"/>
  <c r="I60"/>
  <c r="I61"/>
  <c r="I63"/>
  <c r="I64"/>
  <c r="I65"/>
  <c r="I66"/>
  <c r="I67"/>
  <c r="I68"/>
  <c r="I69"/>
  <c r="I70"/>
  <c r="I71"/>
  <c r="I72"/>
  <c r="I73"/>
  <c r="I74"/>
  <c r="I75"/>
  <c r="I76"/>
  <c r="I77"/>
  <c r="I78"/>
  <c r="I79"/>
  <c r="I88"/>
  <c r="F109"/>
  <c r="F135"/>
  <c r="F145"/>
  <c r="F160"/>
  <c r="K168"/>
  <c r="G179"/>
  <c r="K185"/>
  <c r="K186"/>
  <c r="K187"/>
  <c r="K189"/>
  <c r="F193"/>
  <c r="G192" s="1"/>
  <c r="G207"/>
  <c r="N214"/>
  <c r="N216"/>
  <c r="L220"/>
  <c r="L222"/>
  <c r="M225"/>
  <c r="M223" s="1"/>
  <c r="K228"/>
  <c r="K229"/>
  <c r="K230"/>
  <c r="K231"/>
  <c r="K232"/>
  <c r="K233"/>
  <c r="K234"/>
  <c r="K235"/>
  <c r="K236"/>
  <c r="K237"/>
  <c r="K238"/>
  <c r="K239"/>
  <c r="K240"/>
  <c r="K241"/>
  <c r="G242"/>
  <c r="J243"/>
  <c r="J244"/>
  <c r="J245"/>
  <c r="F268"/>
  <c r="N270"/>
  <c r="N272"/>
  <c r="N274"/>
  <c r="M276"/>
  <c r="K277"/>
  <c r="N278"/>
  <c r="N280"/>
  <c r="N282"/>
  <c r="N284"/>
  <c r="L286"/>
  <c r="M287"/>
  <c r="M288"/>
  <c r="M289"/>
  <c r="M290"/>
  <c r="M291"/>
  <c r="L292"/>
  <c r="N299"/>
  <c r="N301"/>
  <c r="J316"/>
  <c r="N316"/>
  <c r="K317"/>
  <c r="J318"/>
  <c r="N318"/>
  <c r="K319"/>
  <c r="J320"/>
  <c r="N320"/>
  <c r="K321"/>
  <c r="J322"/>
  <c r="N322"/>
  <c r="K323"/>
  <c r="J324"/>
  <c r="N324"/>
  <c r="K325"/>
  <c r="J326"/>
  <c r="N326"/>
  <c r="K327"/>
  <c r="J328"/>
  <c r="N328"/>
  <c r="K329"/>
  <c r="N330"/>
  <c r="L269"/>
  <c r="L271"/>
  <c r="L273"/>
  <c r="L275"/>
  <c r="L279"/>
  <c r="L281"/>
  <c r="L283"/>
  <c r="I334"/>
  <c r="K334"/>
  <c r="I337"/>
  <c r="K337"/>
  <c r="I338"/>
  <c r="K338"/>
  <c r="I339"/>
  <c r="K339"/>
  <c r="I340"/>
  <c r="K340"/>
  <c r="I341"/>
  <c r="K341"/>
  <c r="M229" i="1"/>
  <c r="N247" i="2" l="1"/>
  <c r="L217"/>
  <c r="M302"/>
  <c r="G134"/>
  <c r="G9"/>
  <c r="M179"/>
  <c r="L223"/>
  <c r="F166"/>
  <c r="C167"/>
  <c r="F167" s="1"/>
  <c r="L247"/>
  <c r="N207"/>
  <c r="L330"/>
  <c r="J330"/>
  <c r="I128"/>
  <c r="K179"/>
  <c r="H315"/>
  <c r="L315"/>
  <c r="L179"/>
  <c r="K128"/>
  <c r="H330"/>
  <c r="K121"/>
  <c r="K48" s="1"/>
  <c r="J121"/>
  <c r="J48" s="1"/>
  <c r="N315"/>
  <c r="K330"/>
  <c r="J315"/>
  <c r="N298"/>
  <c r="J242"/>
  <c r="K227"/>
  <c r="I9"/>
  <c r="I315"/>
  <c r="M315"/>
  <c r="K247"/>
  <c r="G302"/>
  <c r="I242"/>
  <c r="L48"/>
  <c r="L227"/>
  <c r="F116"/>
  <c r="G48" s="1"/>
  <c r="N177"/>
  <c r="N163" s="1"/>
  <c r="M177"/>
  <c r="I330"/>
  <c r="I48"/>
  <c r="L192"/>
  <c r="G151"/>
  <c r="K315"/>
  <c r="G247"/>
  <c r="M247"/>
  <c r="K242"/>
  <c r="J227"/>
  <c r="F175"/>
  <c r="H344" l="1"/>
  <c r="H345" s="1"/>
  <c r="H346" s="1"/>
  <c r="M167"/>
  <c r="L167"/>
  <c r="K167"/>
  <c r="M166"/>
  <c r="L166"/>
  <c r="F164"/>
  <c r="G163" s="1"/>
  <c r="K166"/>
  <c r="K163" s="1"/>
  <c r="K344" s="1"/>
  <c r="K345" s="1"/>
  <c r="K346" s="1"/>
  <c r="G344"/>
  <c r="G345" s="1"/>
  <c r="G346" s="1"/>
  <c r="N344"/>
  <c r="N345" s="1"/>
  <c r="N346" s="1"/>
  <c r="J344"/>
  <c r="J345" s="1"/>
  <c r="J346" s="1"/>
  <c r="I344"/>
  <c r="I345" s="1"/>
  <c r="I346" s="1"/>
  <c r="L163" l="1"/>
  <c r="L344" s="1"/>
  <c r="L345" s="1"/>
  <c r="L346" s="1"/>
  <c r="M163"/>
  <c r="M344" s="1"/>
  <c r="M345" s="1"/>
  <c r="M346" s="1"/>
  <c r="C288" i="1"/>
  <c r="F289"/>
  <c r="K289" s="1"/>
  <c r="F290"/>
  <c r="K290" s="1"/>
  <c r="L290"/>
  <c r="N290"/>
  <c r="F274"/>
  <c r="L274" s="1"/>
  <c r="N289" l="1"/>
  <c r="L289"/>
  <c r="M290"/>
  <c r="M289"/>
  <c r="M274"/>
  <c r="K274"/>
  <c r="H128" l="1"/>
  <c r="M48"/>
  <c r="N48"/>
  <c r="K210"/>
  <c r="L210"/>
  <c r="I311"/>
  <c r="J311"/>
  <c r="K311"/>
  <c r="L311"/>
  <c r="I315"/>
  <c r="J315"/>
  <c r="K315"/>
  <c r="H315"/>
  <c r="C149"/>
  <c r="F320"/>
  <c r="F319"/>
  <c r="N319" s="1"/>
  <c r="F318"/>
  <c r="N318" s="1"/>
  <c r="F317"/>
  <c r="N317" s="1"/>
  <c r="C176"/>
  <c r="C177" s="1"/>
  <c r="F47"/>
  <c r="F29"/>
  <c r="H29" s="1"/>
  <c r="F28"/>
  <c r="H28" s="1"/>
  <c r="F327"/>
  <c r="M327" s="1"/>
  <c r="F322"/>
  <c r="M322" s="1"/>
  <c r="F326"/>
  <c r="M326" s="1"/>
  <c r="F325"/>
  <c r="M325" s="1"/>
  <c r="F324"/>
  <c r="M324" s="1"/>
  <c r="I303"/>
  <c r="J303"/>
  <c r="K303"/>
  <c r="I258"/>
  <c r="J258"/>
  <c r="L253"/>
  <c r="M253"/>
  <c r="N253"/>
  <c r="H253"/>
  <c r="N230"/>
  <c r="H230"/>
  <c r="M220"/>
  <c r="N220"/>
  <c r="I210"/>
  <c r="J210"/>
  <c r="I195"/>
  <c r="J195"/>
  <c r="M195"/>
  <c r="N195"/>
  <c r="I151"/>
  <c r="J151"/>
  <c r="K151"/>
  <c r="N151"/>
  <c r="H151"/>
  <c r="H134"/>
  <c r="L128"/>
  <c r="M128"/>
  <c r="N128"/>
  <c r="C342"/>
  <c r="C330"/>
  <c r="F342"/>
  <c r="N342" s="1"/>
  <c r="C341"/>
  <c r="F341" s="1"/>
  <c r="M341" s="1"/>
  <c r="L322" l="1"/>
  <c r="L326"/>
  <c r="L324"/>
  <c r="H341"/>
  <c r="J341"/>
  <c r="L341"/>
  <c r="N341"/>
  <c r="I342"/>
  <c r="K342"/>
  <c r="M342"/>
  <c r="L327"/>
  <c r="L325"/>
  <c r="I341"/>
  <c r="K341"/>
  <c r="H342"/>
  <c r="J342"/>
  <c r="L342"/>
  <c r="N320"/>
  <c r="F316"/>
  <c r="I28"/>
  <c r="F314" l="1"/>
  <c r="F313"/>
  <c r="F312"/>
  <c r="H311"/>
  <c r="F310"/>
  <c r="F309"/>
  <c r="F308"/>
  <c r="F305"/>
  <c r="F304"/>
  <c r="H303"/>
  <c r="M305" l="1"/>
  <c r="L305"/>
  <c r="M309"/>
  <c r="L309"/>
  <c r="M304"/>
  <c r="L304"/>
  <c r="M308"/>
  <c r="L308"/>
  <c r="M310"/>
  <c r="L310"/>
  <c r="N312"/>
  <c r="M312"/>
  <c r="N314"/>
  <c r="M314"/>
  <c r="N313"/>
  <c r="M313"/>
  <c r="G311"/>
  <c r="N303"/>
  <c r="G303"/>
  <c r="M311" l="1"/>
  <c r="N311"/>
  <c r="L303"/>
  <c r="M303"/>
  <c r="F349"/>
  <c r="N349" s="1"/>
  <c r="F13"/>
  <c r="H13" s="1"/>
  <c r="F50"/>
  <c r="H50" s="1"/>
  <c r="F355"/>
  <c r="N355" s="1"/>
  <c r="C331"/>
  <c r="F331" s="1"/>
  <c r="F330"/>
  <c r="M331" l="1"/>
  <c r="K331"/>
  <c r="I331"/>
  <c r="N331"/>
  <c r="L331"/>
  <c r="J331"/>
  <c r="H331"/>
  <c r="N330"/>
  <c r="L330"/>
  <c r="J330"/>
  <c r="H330"/>
  <c r="M330"/>
  <c r="K330"/>
  <c r="I330"/>
  <c r="M230" l="1"/>
  <c r="I230"/>
  <c r="F256" l="1"/>
  <c r="J256" s="1"/>
  <c r="F255"/>
  <c r="J255" s="1"/>
  <c r="F254"/>
  <c r="J254" s="1"/>
  <c r="F245"/>
  <c r="J245" s="1"/>
  <c r="F243"/>
  <c r="J243" s="1"/>
  <c r="F244"/>
  <c r="K244" s="1"/>
  <c r="F242"/>
  <c r="K242" s="1"/>
  <c r="F241"/>
  <c r="K241" s="1"/>
  <c r="F240"/>
  <c r="K240" s="1"/>
  <c r="F239"/>
  <c r="K239" s="1"/>
  <c r="F237"/>
  <c r="K237" s="1"/>
  <c r="C298"/>
  <c r="F301"/>
  <c r="F302"/>
  <c r="F300"/>
  <c r="F299"/>
  <c r="C297"/>
  <c r="F297" s="1"/>
  <c r="F295"/>
  <c r="F294"/>
  <c r="F293"/>
  <c r="F292"/>
  <c r="F291"/>
  <c r="C287"/>
  <c r="F184"/>
  <c r="L184" s="1"/>
  <c r="C190"/>
  <c r="C144"/>
  <c r="J253" l="1"/>
  <c r="L245"/>
  <c r="K245"/>
  <c r="K243"/>
  <c r="G253"/>
  <c r="I254"/>
  <c r="K254"/>
  <c r="I255"/>
  <c r="K255"/>
  <c r="I256"/>
  <c r="K256"/>
  <c r="L243"/>
  <c r="J244"/>
  <c r="L244"/>
  <c r="J237"/>
  <c r="L237"/>
  <c r="J239"/>
  <c r="L239"/>
  <c r="J240"/>
  <c r="L240"/>
  <c r="J241"/>
  <c r="L241"/>
  <c r="J242"/>
  <c r="L242"/>
  <c r="I253" l="1"/>
  <c r="K253"/>
  <c r="C111"/>
  <c r="C53" l="1"/>
  <c r="F53" s="1"/>
  <c r="C62"/>
  <c r="C58"/>
  <c r="F20" l="1"/>
  <c r="N20" s="1"/>
  <c r="F19"/>
  <c r="H19" s="1"/>
  <c r="I134" l="1"/>
  <c r="J134"/>
  <c r="K134"/>
  <c r="M134"/>
  <c r="N134"/>
  <c r="H258"/>
  <c r="C27"/>
  <c r="C22"/>
  <c r="C340"/>
  <c r="C338"/>
  <c r="C337"/>
  <c r="C336"/>
  <c r="C335"/>
  <c r="C334"/>
  <c r="C333"/>
  <c r="C332"/>
  <c r="C329"/>
  <c r="F344"/>
  <c r="N295"/>
  <c r="N294"/>
  <c r="N293"/>
  <c r="M292"/>
  <c r="N291"/>
  <c r="F288"/>
  <c r="M288" s="1"/>
  <c r="F287"/>
  <c r="N287" s="1"/>
  <c r="F286"/>
  <c r="M286" s="1"/>
  <c r="F285"/>
  <c r="N285" s="1"/>
  <c r="F284"/>
  <c r="N284" s="1"/>
  <c r="F283"/>
  <c r="N283" s="1"/>
  <c r="F282"/>
  <c r="M282" s="1"/>
  <c r="F281"/>
  <c r="N281" s="1"/>
  <c r="F280"/>
  <c r="F263"/>
  <c r="K263" s="1"/>
  <c r="F262"/>
  <c r="K262" s="1"/>
  <c r="F261"/>
  <c r="K261" s="1"/>
  <c r="F260"/>
  <c r="N302"/>
  <c r="N301"/>
  <c r="N300"/>
  <c r="N299"/>
  <c r="F298"/>
  <c r="N297"/>
  <c r="F278"/>
  <c r="M278" s="1"/>
  <c r="F277"/>
  <c r="M277" s="1"/>
  <c r="F276"/>
  <c r="M276" s="1"/>
  <c r="F275"/>
  <c r="M275" s="1"/>
  <c r="F273"/>
  <c r="M273" s="1"/>
  <c r="F272"/>
  <c r="M272" s="1"/>
  <c r="F271"/>
  <c r="M271" s="1"/>
  <c r="F270"/>
  <c r="M270" s="1"/>
  <c r="F269"/>
  <c r="M269" s="1"/>
  <c r="F268"/>
  <c r="M268" s="1"/>
  <c r="F267"/>
  <c r="M267" s="1"/>
  <c r="F266"/>
  <c r="M266" s="1"/>
  <c r="F265"/>
  <c r="F236"/>
  <c r="K236" s="1"/>
  <c r="F235"/>
  <c r="K235" s="1"/>
  <c r="F233"/>
  <c r="K233" s="1"/>
  <c r="F232"/>
  <c r="K232" s="1"/>
  <c r="F231"/>
  <c r="F228"/>
  <c r="F227"/>
  <c r="F323"/>
  <c r="G226" l="1"/>
  <c r="N280"/>
  <c r="K280"/>
  <c r="J344"/>
  <c r="I344"/>
  <c r="M227"/>
  <c r="L227"/>
  <c r="F321"/>
  <c r="G315" s="1"/>
  <c r="M323"/>
  <c r="L323"/>
  <c r="M228"/>
  <c r="L228"/>
  <c r="M265"/>
  <c r="L265"/>
  <c r="G230"/>
  <c r="K231"/>
  <c r="K230" s="1"/>
  <c r="L294"/>
  <c r="K293"/>
  <c r="L297"/>
  <c r="L293"/>
  <c r="K295"/>
  <c r="M283"/>
  <c r="K294"/>
  <c r="K281"/>
  <c r="L280"/>
  <c r="N298"/>
  <c r="L298"/>
  <c r="K283"/>
  <c r="K284"/>
  <c r="L287"/>
  <c r="M293"/>
  <c r="K285"/>
  <c r="K287"/>
  <c r="K291"/>
  <c r="F259"/>
  <c r="L283"/>
  <c r="L284"/>
  <c r="N288"/>
  <c r="N292"/>
  <c r="F279"/>
  <c r="M280"/>
  <c r="L281"/>
  <c r="K282"/>
  <c r="M284"/>
  <c r="L285"/>
  <c r="K286"/>
  <c r="M287"/>
  <c r="K288"/>
  <c r="L291"/>
  <c r="K292"/>
  <c r="M294"/>
  <c r="L295"/>
  <c r="N282"/>
  <c r="N286"/>
  <c r="M281"/>
  <c r="L282"/>
  <c r="M285"/>
  <c r="L286"/>
  <c r="L288"/>
  <c r="M291"/>
  <c r="L292"/>
  <c r="M295"/>
  <c r="K260"/>
  <c r="L299"/>
  <c r="M297"/>
  <c r="L266"/>
  <c r="L267"/>
  <c r="L268"/>
  <c r="L269"/>
  <c r="L270"/>
  <c r="L271"/>
  <c r="L272"/>
  <c r="L273"/>
  <c r="L275"/>
  <c r="L276"/>
  <c r="L277"/>
  <c r="L278"/>
  <c r="F296"/>
  <c r="M298"/>
  <c r="M299"/>
  <c r="L300"/>
  <c r="L301"/>
  <c r="L302"/>
  <c r="K265"/>
  <c r="K266"/>
  <c r="K267"/>
  <c r="K268"/>
  <c r="K269"/>
  <c r="K270"/>
  <c r="K271"/>
  <c r="K272"/>
  <c r="K273"/>
  <c r="K275"/>
  <c r="K276"/>
  <c r="K277"/>
  <c r="K278"/>
  <c r="M300"/>
  <c r="M301"/>
  <c r="M302"/>
  <c r="F264"/>
  <c r="L231"/>
  <c r="L236"/>
  <c r="M315"/>
  <c r="L232"/>
  <c r="L235"/>
  <c r="L233"/>
  <c r="J231"/>
  <c r="J232"/>
  <c r="J233"/>
  <c r="J235"/>
  <c r="J236"/>
  <c r="N315"/>
  <c r="L226" l="1"/>
  <c r="M226"/>
  <c r="K258"/>
  <c r="M258"/>
  <c r="L258"/>
  <c r="L315"/>
  <c r="J230"/>
  <c r="N258"/>
  <c r="L230"/>
  <c r="G258"/>
  <c r="F345" l="1"/>
  <c r="F329"/>
  <c r="F332"/>
  <c r="F333"/>
  <c r="F334"/>
  <c r="F335"/>
  <c r="F336"/>
  <c r="F337"/>
  <c r="F338"/>
  <c r="C339"/>
  <c r="F339" s="1"/>
  <c r="F340"/>
  <c r="F346"/>
  <c r="F225"/>
  <c r="K225" s="1"/>
  <c r="C171"/>
  <c r="F171" s="1"/>
  <c r="F174"/>
  <c r="L174" s="1"/>
  <c r="F173"/>
  <c r="L173" s="1"/>
  <c r="C162"/>
  <c r="F162" s="1"/>
  <c r="L162" s="1"/>
  <c r="M171" l="1"/>
  <c r="J346"/>
  <c r="I346"/>
  <c r="M173"/>
  <c r="M339"/>
  <c r="K339"/>
  <c r="I339"/>
  <c r="N339"/>
  <c r="L339"/>
  <c r="J339"/>
  <c r="H339"/>
  <c r="M337"/>
  <c r="K337"/>
  <c r="I337"/>
  <c r="N337"/>
  <c r="L337"/>
  <c r="J337"/>
  <c r="H337"/>
  <c r="M335"/>
  <c r="K335"/>
  <c r="I335"/>
  <c r="N335"/>
  <c r="L335"/>
  <c r="J335"/>
  <c r="H335"/>
  <c r="M333"/>
  <c r="K333"/>
  <c r="I333"/>
  <c r="N333"/>
  <c r="L333"/>
  <c r="J333"/>
  <c r="H333"/>
  <c r="M329"/>
  <c r="K329"/>
  <c r="I329"/>
  <c r="N329"/>
  <c r="L329"/>
  <c r="J329"/>
  <c r="H329"/>
  <c r="M174"/>
  <c r="N340"/>
  <c r="L340"/>
  <c r="J340"/>
  <c r="H340"/>
  <c r="M340"/>
  <c r="K340"/>
  <c r="I340"/>
  <c r="N338"/>
  <c r="L338"/>
  <c r="J338"/>
  <c r="H338"/>
  <c r="M338"/>
  <c r="K338"/>
  <c r="I338"/>
  <c r="N336"/>
  <c r="L336"/>
  <c r="J336"/>
  <c r="H336"/>
  <c r="M336"/>
  <c r="K336"/>
  <c r="I336"/>
  <c r="N334"/>
  <c r="L334"/>
  <c r="J334"/>
  <c r="H334"/>
  <c r="M334"/>
  <c r="K334"/>
  <c r="I334"/>
  <c r="N332"/>
  <c r="L332"/>
  <c r="J332"/>
  <c r="H332"/>
  <c r="M332"/>
  <c r="K332"/>
  <c r="I332"/>
  <c r="G328"/>
  <c r="J345"/>
  <c r="I345"/>
  <c r="L225"/>
  <c r="F172"/>
  <c r="J328" l="1"/>
  <c r="K328"/>
  <c r="I328"/>
  <c r="N328"/>
  <c r="M328"/>
  <c r="L328"/>
  <c r="H328"/>
  <c r="F198"/>
  <c r="L198" s="1"/>
  <c r="C150"/>
  <c r="C213"/>
  <c r="F213" s="1"/>
  <c r="N213" s="1"/>
  <c r="H210"/>
  <c r="F219"/>
  <c r="N219" s="1"/>
  <c r="F218"/>
  <c r="N218" s="1"/>
  <c r="F217"/>
  <c r="N217" s="1"/>
  <c r="F216"/>
  <c r="N216" s="1"/>
  <c r="F215"/>
  <c r="N215" s="1"/>
  <c r="F214"/>
  <c r="N214" s="1"/>
  <c r="F212"/>
  <c r="M212" s="1"/>
  <c r="F211"/>
  <c r="N211" s="1"/>
  <c r="M216" l="1"/>
  <c r="M211"/>
  <c r="M217"/>
  <c r="M215"/>
  <c r="M213"/>
  <c r="N212"/>
  <c r="N210" s="1"/>
  <c r="M219"/>
  <c r="M214"/>
  <c r="K198"/>
  <c r="M218"/>
  <c r="G210"/>
  <c r="M210" l="1"/>
  <c r="H195"/>
  <c r="H163"/>
  <c r="F170"/>
  <c r="F146"/>
  <c r="L146" s="1"/>
  <c r="F149"/>
  <c r="L149" s="1"/>
  <c r="C223"/>
  <c r="F223" s="1"/>
  <c r="L223" s="1"/>
  <c r="F222"/>
  <c r="L222" s="1"/>
  <c r="F224"/>
  <c r="L224" s="1"/>
  <c r="F221"/>
  <c r="L220" l="1"/>
  <c r="L170"/>
  <c r="F169"/>
  <c r="G220"/>
  <c r="K223"/>
  <c r="K222"/>
  <c r="J221"/>
  <c r="K224"/>
  <c r="I221"/>
  <c r="H220" s="1"/>
  <c r="K170"/>
  <c r="M170"/>
  <c r="I220" l="1"/>
  <c r="J220"/>
  <c r="K220"/>
  <c r="C157"/>
  <c r="C158"/>
  <c r="C156"/>
  <c r="C154"/>
  <c r="C153"/>
  <c r="F150"/>
  <c r="L150" s="1"/>
  <c r="C159"/>
  <c r="F144"/>
  <c r="L144" s="1"/>
  <c r="C63"/>
  <c r="F63" s="1"/>
  <c r="F138"/>
  <c r="L138" s="1"/>
  <c r="F114"/>
  <c r="F209"/>
  <c r="K209" s="1"/>
  <c r="F208"/>
  <c r="K208" s="1"/>
  <c r="F207"/>
  <c r="K207" s="1"/>
  <c r="F206"/>
  <c r="K206" s="1"/>
  <c r="F205"/>
  <c r="K205" s="1"/>
  <c r="F204"/>
  <c r="L204" s="1"/>
  <c r="F202"/>
  <c r="L202" s="1"/>
  <c r="F201"/>
  <c r="L201" s="1"/>
  <c r="F200"/>
  <c r="L200" s="1"/>
  <c r="F199"/>
  <c r="L199" s="1"/>
  <c r="F197"/>
  <c r="L197" s="1"/>
  <c r="F148"/>
  <c r="L148" s="1"/>
  <c r="F147"/>
  <c r="F143"/>
  <c r="L143" s="1"/>
  <c r="F142"/>
  <c r="L142" s="1"/>
  <c r="F141"/>
  <c r="L141" s="1"/>
  <c r="F139"/>
  <c r="L139" s="1"/>
  <c r="F140"/>
  <c r="L140" s="1"/>
  <c r="F137"/>
  <c r="L137" s="1"/>
  <c r="F136"/>
  <c r="F191"/>
  <c r="L191" s="1"/>
  <c r="L114" l="1"/>
  <c r="K114"/>
  <c r="J63"/>
  <c r="I63"/>
  <c r="K63"/>
  <c r="M191"/>
  <c r="F145"/>
  <c r="L136"/>
  <c r="F135"/>
  <c r="K201"/>
  <c r="K199"/>
  <c r="K202"/>
  <c r="K200"/>
  <c r="K204"/>
  <c r="L209"/>
  <c r="L208"/>
  <c r="L207"/>
  <c r="L206"/>
  <c r="L205"/>
  <c r="K197"/>
  <c r="F196"/>
  <c r="F203"/>
  <c r="C189"/>
  <c r="F190"/>
  <c r="L190" s="1"/>
  <c r="L195" l="1"/>
  <c r="K195"/>
  <c r="G134"/>
  <c r="M190"/>
  <c r="G195"/>
  <c r="C99" l="1"/>
  <c r="C100"/>
  <c r="C98"/>
  <c r="F93"/>
  <c r="F92"/>
  <c r="F91"/>
  <c r="F90"/>
  <c r="F83"/>
  <c r="J91" l="1"/>
  <c r="I91"/>
  <c r="K91"/>
  <c r="I90"/>
  <c r="K90"/>
  <c r="J90"/>
  <c r="I92"/>
  <c r="K92"/>
  <c r="J92"/>
  <c r="J83"/>
  <c r="I83"/>
  <c r="K83"/>
  <c r="J93"/>
  <c r="I93"/>
  <c r="K93"/>
  <c r="F124"/>
  <c r="F356"/>
  <c r="N356" s="1"/>
  <c r="F354"/>
  <c r="F353"/>
  <c r="F352"/>
  <c r="F351"/>
  <c r="F350"/>
  <c r="F348"/>
  <c r="F347"/>
  <c r="F178"/>
  <c r="N178" s="1"/>
  <c r="F176"/>
  <c r="N176" s="1"/>
  <c r="C168"/>
  <c r="C165" s="1"/>
  <c r="M351" l="1"/>
  <c r="K351"/>
  <c r="I351"/>
  <c r="N351"/>
  <c r="L351"/>
  <c r="J351"/>
  <c r="H351"/>
  <c r="M353"/>
  <c r="K353"/>
  <c r="I353"/>
  <c r="N353"/>
  <c r="L353"/>
  <c r="J353"/>
  <c r="H353"/>
  <c r="M347"/>
  <c r="K347"/>
  <c r="I347"/>
  <c r="N347"/>
  <c r="L347"/>
  <c r="J347"/>
  <c r="H347"/>
  <c r="N350"/>
  <c r="L350"/>
  <c r="J350"/>
  <c r="H350"/>
  <c r="M350"/>
  <c r="K350"/>
  <c r="I350"/>
  <c r="N352"/>
  <c r="L352"/>
  <c r="J352"/>
  <c r="H352"/>
  <c r="M352"/>
  <c r="K352"/>
  <c r="I352"/>
  <c r="N354"/>
  <c r="L354"/>
  <c r="J354"/>
  <c r="H354"/>
  <c r="M354"/>
  <c r="K354"/>
  <c r="I354"/>
  <c r="N348"/>
  <c r="G343"/>
  <c r="F168"/>
  <c r="K168" s="1"/>
  <c r="F165"/>
  <c r="K165" s="1"/>
  <c r="M176"/>
  <c r="M178"/>
  <c r="K124"/>
  <c r="J124"/>
  <c r="F177"/>
  <c r="N177" s="1"/>
  <c r="N163" s="1"/>
  <c r="C166"/>
  <c r="C167" s="1"/>
  <c r="C127"/>
  <c r="C104"/>
  <c r="F104" s="1"/>
  <c r="C106"/>
  <c r="F106" s="1"/>
  <c r="C107"/>
  <c r="F107" s="1"/>
  <c r="C108"/>
  <c r="F108" s="1"/>
  <c r="C105"/>
  <c r="F105" s="1"/>
  <c r="C103"/>
  <c r="F103" s="1"/>
  <c r="C102"/>
  <c r="F102" s="1"/>
  <c r="C122"/>
  <c r="F122" s="1"/>
  <c r="C120"/>
  <c r="F120" s="1"/>
  <c r="C126"/>
  <c r="F126" s="1"/>
  <c r="C125"/>
  <c r="C123"/>
  <c r="F123" s="1"/>
  <c r="C118"/>
  <c r="C117"/>
  <c r="F117" s="1"/>
  <c r="C119"/>
  <c r="F119" s="1"/>
  <c r="F127"/>
  <c r="F78"/>
  <c r="F68"/>
  <c r="F77"/>
  <c r="F79"/>
  <c r="F100"/>
  <c r="F99"/>
  <c r="J99" s="1"/>
  <c r="F98"/>
  <c r="J77" l="1"/>
  <c r="I77"/>
  <c r="K77"/>
  <c r="I78"/>
  <c r="K78"/>
  <c r="J78"/>
  <c r="J79"/>
  <c r="I79"/>
  <c r="K79"/>
  <c r="I68"/>
  <c r="K68"/>
  <c r="J68"/>
  <c r="N343"/>
  <c r="M343"/>
  <c r="J343"/>
  <c r="I343"/>
  <c r="K343"/>
  <c r="L343"/>
  <c r="H343"/>
  <c r="L168"/>
  <c r="M168"/>
  <c r="F101"/>
  <c r="L165"/>
  <c r="M165"/>
  <c r="F175"/>
  <c r="M177"/>
  <c r="K120"/>
  <c r="J120"/>
  <c r="K99"/>
  <c r="J102"/>
  <c r="K102"/>
  <c r="K105"/>
  <c r="J105"/>
  <c r="J98"/>
  <c r="K98"/>
  <c r="K100"/>
  <c r="J100"/>
  <c r="K104"/>
  <c r="J104"/>
  <c r="K127"/>
  <c r="J127"/>
  <c r="J117"/>
  <c r="K117"/>
  <c r="K123"/>
  <c r="J123"/>
  <c r="K126"/>
  <c r="J126"/>
  <c r="K122"/>
  <c r="J122"/>
  <c r="K103"/>
  <c r="J103"/>
  <c r="K108"/>
  <c r="J108"/>
  <c r="K106"/>
  <c r="J106"/>
  <c r="K107"/>
  <c r="J107"/>
  <c r="K119"/>
  <c r="J119"/>
  <c r="C121"/>
  <c r="F121" s="1"/>
  <c r="F118"/>
  <c r="F167"/>
  <c r="K167" s="1"/>
  <c r="F166"/>
  <c r="K166" s="1"/>
  <c r="F97"/>
  <c r="K163" l="1"/>
  <c r="F164"/>
  <c r="G163" s="1"/>
  <c r="L166"/>
  <c r="M166"/>
  <c r="L167"/>
  <c r="M167"/>
  <c r="K118"/>
  <c r="J118"/>
  <c r="K121"/>
  <c r="J121"/>
  <c r="H53"/>
  <c r="F125"/>
  <c r="F65"/>
  <c r="F64"/>
  <c r="F81"/>
  <c r="F189"/>
  <c r="L189" s="1"/>
  <c r="F52"/>
  <c r="H52" s="1"/>
  <c r="F27"/>
  <c r="H27" s="1"/>
  <c r="F35"/>
  <c r="F36"/>
  <c r="F46"/>
  <c r="F45"/>
  <c r="F23"/>
  <c r="H23" s="1"/>
  <c r="F16"/>
  <c r="H16" s="1"/>
  <c r="F26"/>
  <c r="H26" s="1"/>
  <c r="C32"/>
  <c r="F31"/>
  <c r="M163" l="1"/>
  <c r="L163"/>
  <c r="I64"/>
  <c r="K64"/>
  <c r="J64"/>
  <c r="J81"/>
  <c r="K81"/>
  <c r="I81"/>
  <c r="J65"/>
  <c r="I65"/>
  <c r="K65"/>
  <c r="I45"/>
  <c r="H45"/>
  <c r="I46"/>
  <c r="H46"/>
  <c r="I35"/>
  <c r="H35"/>
  <c r="I36"/>
  <c r="H36"/>
  <c r="K189"/>
  <c r="M189"/>
  <c r="H31"/>
  <c r="I31"/>
  <c r="K125"/>
  <c r="J125"/>
  <c r="F116"/>
  <c r="C56"/>
  <c r="C89"/>
  <c r="C88"/>
  <c r="F56" l="1"/>
  <c r="I56" l="1"/>
  <c r="K56"/>
  <c r="J56"/>
  <c r="F86"/>
  <c r="I86" l="1"/>
  <c r="K86"/>
  <c r="J86"/>
  <c r="F85"/>
  <c r="F43"/>
  <c r="F44"/>
  <c r="F32"/>
  <c r="F41"/>
  <c r="F40"/>
  <c r="F34"/>
  <c r="F38"/>
  <c r="C188"/>
  <c r="F188" s="1"/>
  <c r="L188" s="1"/>
  <c r="F187"/>
  <c r="L187" s="1"/>
  <c r="F186"/>
  <c r="L186" s="1"/>
  <c r="C185"/>
  <c r="F185" s="1"/>
  <c r="L185" s="1"/>
  <c r="F183"/>
  <c r="L183" s="1"/>
  <c r="F182"/>
  <c r="L182" s="1"/>
  <c r="F181"/>
  <c r="L181" s="1"/>
  <c r="F180"/>
  <c r="F161"/>
  <c r="F159"/>
  <c r="L159" s="1"/>
  <c r="F153"/>
  <c r="L153" s="1"/>
  <c r="F158"/>
  <c r="L158" s="1"/>
  <c r="F155"/>
  <c r="L155" s="1"/>
  <c r="F156"/>
  <c r="L156" s="1"/>
  <c r="F157"/>
  <c r="L157" s="1"/>
  <c r="F154"/>
  <c r="L154" s="1"/>
  <c r="L147"/>
  <c r="L134" s="1"/>
  <c r="F133"/>
  <c r="J133" s="1"/>
  <c r="F132"/>
  <c r="J132" s="1"/>
  <c r="F131"/>
  <c r="J131" s="1"/>
  <c r="F130"/>
  <c r="J130" s="1"/>
  <c r="F129"/>
  <c r="J129" s="1"/>
  <c r="F110"/>
  <c r="F115"/>
  <c r="F113"/>
  <c r="F112"/>
  <c r="F111"/>
  <c r="F96"/>
  <c r="F95"/>
  <c r="F94"/>
  <c r="F89"/>
  <c r="F88"/>
  <c r="F84"/>
  <c r="F87"/>
  <c r="F82"/>
  <c r="F74"/>
  <c r="F73"/>
  <c r="F76"/>
  <c r="F72"/>
  <c r="F71"/>
  <c r="F70"/>
  <c r="F75"/>
  <c r="F67"/>
  <c r="F66"/>
  <c r="F69"/>
  <c r="F62"/>
  <c r="F61"/>
  <c r="F60"/>
  <c r="F59"/>
  <c r="F58"/>
  <c r="F57"/>
  <c r="F55"/>
  <c r="F51"/>
  <c r="H51" s="1"/>
  <c r="F33"/>
  <c r="F42"/>
  <c r="F39"/>
  <c r="F37"/>
  <c r="F25"/>
  <c r="H25" s="1"/>
  <c r="F24"/>
  <c r="H24" s="1"/>
  <c r="F22"/>
  <c r="F21"/>
  <c r="H21" s="1"/>
  <c r="F18"/>
  <c r="H18" s="1"/>
  <c r="F17"/>
  <c r="H17" s="1"/>
  <c r="F15"/>
  <c r="H15" s="1"/>
  <c r="F14"/>
  <c r="H14" s="1"/>
  <c r="F12"/>
  <c r="H12" s="1"/>
  <c r="F11"/>
  <c r="L180" l="1"/>
  <c r="L179" s="1"/>
  <c r="G179"/>
  <c r="J57"/>
  <c r="I57"/>
  <c r="K57"/>
  <c r="J59"/>
  <c r="I59"/>
  <c r="K59"/>
  <c r="J61"/>
  <c r="I61"/>
  <c r="K61"/>
  <c r="J69"/>
  <c r="I69"/>
  <c r="K69"/>
  <c r="J67"/>
  <c r="I67"/>
  <c r="K67"/>
  <c r="I70"/>
  <c r="K70"/>
  <c r="J70"/>
  <c r="I72"/>
  <c r="K72"/>
  <c r="J72"/>
  <c r="J73"/>
  <c r="I73"/>
  <c r="K73"/>
  <c r="I82"/>
  <c r="K82"/>
  <c r="J82"/>
  <c r="I84"/>
  <c r="K84"/>
  <c r="J84"/>
  <c r="J89"/>
  <c r="I89"/>
  <c r="K89"/>
  <c r="J95"/>
  <c r="I95"/>
  <c r="K95"/>
  <c r="K111"/>
  <c r="L111"/>
  <c r="K113"/>
  <c r="L113"/>
  <c r="L110"/>
  <c r="K110"/>
  <c r="J85"/>
  <c r="I85"/>
  <c r="K85"/>
  <c r="L22"/>
  <c r="L9" s="1"/>
  <c r="J22"/>
  <c r="H22"/>
  <c r="M22"/>
  <c r="K22"/>
  <c r="K9" s="1"/>
  <c r="I22"/>
  <c r="K55"/>
  <c r="I55"/>
  <c r="J55"/>
  <c r="I58"/>
  <c r="K58"/>
  <c r="J58"/>
  <c r="I60"/>
  <c r="K60"/>
  <c r="J60"/>
  <c r="I62"/>
  <c r="K62"/>
  <c r="J62"/>
  <c r="I66"/>
  <c r="K66"/>
  <c r="J66"/>
  <c r="J75"/>
  <c r="I75"/>
  <c r="K75"/>
  <c r="J71"/>
  <c r="I71"/>
  <c r="K71"/>
  <c r="I76"/>
  <c r="K76"/>
  <c r="J76"/>
  <c r="I74"/>
  <c r="K74"/>
  <c r="J74"/>
  <c r="J87"/>
  <c r="I87"/>
  <c r="K87"/>
  <c r="I88"/>
  <c r="K88"/>
  <c r="J88"/>
  <c r="I94"/>
  <c r="K94"/>
  <c r="J94"/>
  <c r="I96"/>
  <c r="K96"/>
  <c r="J96"/>
  <c r="L112"/>
  <c r="K112"/>
  <c r="K115"/>
  <c r="L115"/>
  <c r="J128"/>
  <c r="F10"/>
  <c r="F30"/>
  <c r="N11"/>
  <c r="N9" s="1"/>
  <c r="J9"/>
  <c r="M9"/>
  <c r="L161"/>
  <c r="M151" s="1"/>
  <c r="F160"/>
  <c r="I33"/>
  <c r="H33"/>
  <c r="H34"/>
  <c r="I34"/>
  <c r="I41"/>
  <c r="H41"/>
  <c r="I44"/>
  <c r="H44"/>
  <c r="I39"/>
  <c r="H39"/>
  <c r="I37"/>
  <c r="H37"/>
  <c r="I42"/>
  <c r="H42"/>
  <c r="I47"/>
  <c r="H47"/>
  <c r="H38"/>
  <c r="I38"/>
  <c r="I40"/>
  <c r="H40"/>
  <c r="I32"/>
  <c r="H32"/>
  <c r="I43"/>
  <c r="H43"/>
  <c r="F109"/>
  <c r="F152"/>
  <c r="K181"/>
  <c r="M181"/>
  <c r="K183"/>
  <c r="M183"/>
  <c r="K185"/>
  <c r="M185"/>
  <c r="K187"/>
  <c r="M187"/>
  <c r="K180"/>
  <c r="M180"/>
  <c r="K182"/>
  <c r="M182"/>
  <c r="K184"/>
  <c r="M184"/>
  <c r="K186"/>
  <c r="M186"/>
  <c r="K188"/>
  <c r="M188"/>
  <c r="F54"/>
  <c r="F80"/>
  <c r="F49"/>
  <c r="H11"/>
  <c r="K129"/>
  <c r="I129"/>
  <c r="G128"/>
  <c r="K130"/>
  <c r="I130"/>
  <c r="K131"/>
  <c r="I131"/>
  <c r="K132"/>
  <c r="I132"/>
  <c r="K133"/>
  <c r="I133"/>
  <c r="K179" l="1"/>
  <c r="M179"/>
  <c r="K128"/>
  <c r="I128"/>
  <c r="L151"/>
  <c r="I48"/>
  <c r="L48"/>
  <c r="J48"/>
  <c r="K48"/>
  <c r="G9"/>
  <c r="H9"/>
  <c r="H48"/>
  <c r="I9"/>
  <c r="G48"/>
  <c r="G151"/>
  <c r="N357" l="1"/>
  <c r="N358" s="1"/>
  <c r="N359" s="1"/>
  <c r="M357"/>
  <c r="M358" s="1"/>
  <c r="M359" s="1"/>
  <c r="J357"/>
  <c r="J358" s="1"/>
  <c r="K357"/>
  <c r="K358" s="1"/>
  <c r="L357"/>
  <c r="L358" s="1"/>
  <c r="H357"/>
  <c r="H358" s="1"/>
  <c r="I357"/>
  <c r="I358" s="1"/>
  <c r="I359" s="1"/>
  <c r="H359" l="1"/>
  <c r="K359"/>
  <c r="L359"/>
  <c r="J359"/>
  <c r="G357"/>
  <c r="G358" s="1"/>
  <c r="G359" s="1"/>
</calcChain>
</file>

<file path=xl/sharedStrings.xml><?xml version="1.0" encoding="utf-8"?>
<sst xmlns="http://schemas.openxmlformats.org/spreadsheetml/2006/main" count="2001" uniqueCount="684">
  <si>
    <t>IBRAM/MinC</t>
  </si>
  <si>
    <t>Coordenação de Espaços Museais, Arquitetura e Expografia</t>
  </si>
  <si>
    <t>OBRAS :</t>
  </si>
  <si>
    <t>MUSEU CASA DE BENJAMIN CONSTANT</t>
  </si>
  <si>
    <t>Serviço:</t>
  </si>
  <si>
    <t>Projeto Básico:</t>
  </si>
  <si>
    <t>Empresa :</t>
  </si>
  <si>
    <t>DESCRIÇÃO DE SERVIÇOS</t>
  </si>
  <si>
    <t>QUANT.</t>
  </si>
  <si>
    <t>UNID.</t>
  </si>
  <si>
    <t>VALOR UNITÁRIO</t>
  </si>
  <si>
    <t>TOTAL</t>
  </si>
  <si>
    <t>TOTAL GERAL</t>
  </si>
  <si>
    <t>30 DIAS</t>
  </si>
  <si>
    <t>90 DIAS</t>
  </si>
  <si>
    <t>150 DIAS</t>
  </si>
  <si>
    <t>210 DIAS</t>
  </si>
  <si>
    <t>1. INSTALAÇÃO DA OBRA</t>
  </si>
  <si>
    <t>1.1</t>
  </si>
  <si>
    <t>MOBILIZAÇÃO E DESMOBILIZAÇÃO DE CANTEIRO</t>
  </si>
  <si>
    <t>unid</t>
  </si>
  <si>
    <t>1.2</t>
  </si>
  <si>
    <t>m²</t>
  </si>
  <si>
    <t>CAVALETE AÇO ZINCADO PARA BASE BANCADA</t>
  </si>
  <si>
    <t>ROLO DE FITILHO PARA AMARRAÇÃO DAS PROTEÇÕES NOS MÓVEIS</t>
  </si>
  <si>
    <t>ART</t>
  </si>
  <si>
    <t>2. COBERTURA</t>
  </si>
  <si>
    <t>2.1</t>
  </si>
  <si>
    <t>Proteção</t>
  </si>
  <si>
    <t>2.1.1</t>
  </si>
  <si>
    <t>2.1.2</t>
  </si>
  <si>
    <t>3.2</t>
  </si>
  <si>
    <t>Telhamento</t>
  </si>
  <si>
    <t>2.2.1</t>
  </si>
  <si>
    <t>2.2.2</t>
  </si>
  <si>
    <t>m</t>
  </si>
  <si>
    <t>2.2.3</t>
  </si>
  <si>
    <t>2.2.4</t>
  </si>
  <si>
    <t>2.2.5</t>
  </si>
  <si>
    <t>2.2.6</t>
  </si>
  <si>
    <t>2.2.7</t>
  </si>
  <si>
    <t>FIO DE COBRE NU 6MM2 para amarração das telhas</t>
  </si>
  <si>
    <t>2.2.8</t>
  </si>
  <si>
    <t>COMPLEMENTO DA CALHA EM CHAPA DE COBRE - 28 mm (considerando 2m adicionais em cada calha interna).</t>
  </si>
  <si>
    <t>2.2.9</t>
  </si>
  <si>
    <t>2.2.10</t>
  </si>
  <si>
    <t>2.2.11</t>
  </si>
  <si>
    <t>RETIRADA RUFOS METÁLICOS EM COBERTURA</t>
  </si>
  <si>
    <t>2.2.12</t>
  </si>
  <si>
    <t>RETIRADA CALHAS METÁLICAS EM COBERTURA</t>
  </si>
  <si>
    <t>2.2.13</t>
  </si>
  <si>
    <t>2.2.14</t>
  </si>
  <si>
    <t>2.2.15</t>
  </si>
  <si>
    <t>2.2.16</t>
  </si>
  <si>
    <t>CALHA EM CHAPA DE COBRE - 28 mm (Nova calha lateral).</t>
  </si>
  <si>
    <t>2.2.17</t>
  </si>
  <si>
    <t>2.2.18</t>
  </si>
  <si>
    <t>2.2.19</t>
  </si>
  <si>
    <t>TELHADO VARANDA LATERAL EM CHAPAS DE COBRE</t>
  </si>
  <si>
    <t>kg</t>
  </si>
  <si>
    <t>2.2.20</t>
  </si>
  <si>
    <t>2.3</t>
  </si>
  <si>
    <t>Madeiramento</t>
  </si>
  <si>
    <t>2.3.1</t>
  </si>
  <si>
    <t>2.3.2</t>
  </si>
  <si>
    <t>2.3.3</t>
  </si>
  <si>
    <t>2.3.4</t>
  </si>
  <si>
    <t>2.3.5</t>
  </si>
  <si>
    <t>2.3.6</t>
  </si>
  <si>
    <t>2.3.7</t>
  </si>
  <si>
    <t>PREGO 17x21</t>
  </si>
  <si>
    <t>2.3.8</t>
  </si>
  <si>
    <t>PREGO 17x27</t>
  </si>
  <si>
    <t>2.3.9</t>
  </si>
  <si>
    <t>PREGO 18x30</t>
  </si>
  <si>
    <t>2.4</t>
  </si>
  <si>
    <t>2.4.1</t>
  </si>
  <si>
    <t>PEÇA DE MADEIRA (massaranduba) APARELHADA 10x10cm (20% barrotes de forro)</t>
  </si>
  <si>
    <t>2.4.2</t>
  </si>
  <si>
    <t>2.4.3</t>
  </si>
  <si>
    <t>LIMPEZA DO ENTREFORRO</t>
  </si>
  <si>
    <t>3. RODATETOS</t>
  </si>
  <si>
    <t>3.1</t>
  </si>
  <si>
    <t>REMOÇÃO PINTURA A ÓLEO SOBRE MADEIRA</t>
  </si>
  <si>
    <t>FUNDO SINTÉTICO NIVELADOR BRANCO</t>
  </si>
  <si>
    <t>3.3</t>
  </si>
  <si>
    <t>3.4</t>
  </si>
  <si>
    <t>3.5</t>
  </si>
  <si>
    <t>4. PISOS</t>
  </si>
  <si>
    <t>4.1</t>
  </si>
  <si>
    <t>Piso em Madeira</t>
  </si>
  <si>
    <t>4.1.1</t>
  </si>
  <si>
    <t>4.1.2</t>
  </si>
  <si>
    <t>4.1.3</t>
  </si>
  <si>
    <t>4.1.4</t>
  </si>
  <si>
    <t>TÁBUA MADEIRA LEI 1A QUALIDADE MACHO/FEMEA 10 X 2,0CM P/ PISO</t>
  </si>
  <si>
    <t>4.2</t>
  </si>
  <si>
    <t>Piso em Ladrilho Hidráulico</t>
  </si>
  <si>
    <t>4.2.1</t>
  </si>
  <si>
    <t>RETIRADA CUIDADOSA DE AZULEJOS/LADRILHOS E ARGAMASSA DE ASSENTAMENTO</t>
  </si>
  <si>
    <t>4.2.2</t>
  </si>
  <si>
    <t>4.2.3</t>
  </si>
  <si>
    <t>5. RODAPÉS</t>
  </si>
  <si>
    <t>5.1</t>
  </si>
  <si>
    <t>Rodapés</t>
  </si>
  <si>
    <t>5.1.1</t>
  </si>
  <si>
    <t>5.1.2</t>
  </si>
  <si>
    <t>5.1.3</t>
  </si>
  <si>
    <t>5.1.4</t>
  </si>
  <si>
    <t>5.1.5</t>
  </si>
  <si>
    <t>5.1.6</t>
  </si>
  <si>
    <t>RETIRADA DE RODAPÉS DE MADEIRA, INCLUSIVE RETIRADA DE CORDÃO</t>
  </si>
  <si>
    <t>5.1.7</t>
  </si>
  <si>
    <t>RECOLOCAÇÃO DE RODAPÉ DE MADEIRA E CORDÃO, CONSIDERANDO REAPROVEITAMENTO DO MATERIAL</t>
  </si>
  <si>
    <t>5.2</t>
  </si>
  <si>
    <t>Rodapés cerâmicos</t>
  </si>
  <si>
    <t>5.2.1</t>
  </si>
  <si>
    <t>REMOÇÃO DE CERA E ENCERAMENTO</t>
  </si>
  <si>
    <t>6.1</t>
  </si>
  <si>
    <t>Revestimento interno - Argamassas</t>
  </si>
  <si>
    <t>6.1.1</t>
  </si>
  <si>
    <t>6.1.2</t>
  </si>
  <si>
    <t>6.1.3</t>
  </si>
  <si>
    <t>m³</t>
  </si>
  <si>
    <t>6.1.4</t>
  </si>
  <si>
    <t>6.2</t>
  </si>
  <si>
    <t>6.2.1</t>
  </si>
  <si>
    <t>6.3</t>
  </si>
  <si>
    <t>6.3.1</t>
  </si>
  <si>
    <t>DEMOLIÇÃO DE REVESTIMENTO DE ARGAMASSA DE CAL E AREIA (50% das paredes externas)</t>
  </si>
  <si>
    <t>6.3.2</t>
  </si>
  <si>
    <t>7.1</t>
  </si>
  <si>
    <t>REMOÇÃO DE ENTULHO</t>
  </si>
  <si>
    <t>7.2</t>
  </si>
  <si>
    <t>PINTURA COM CAL, EM PAREDES INTERNAS, TRÊS DEMÃOS</t>
  </si>
  <si>
    <t>7.3</t>
  </si>
  <si>
    <t>DEMOLICAO DE REVESTIMENTO DE ARGAMASSA DE CAL E AREIA (50% das paredes internas da copa, cozinha, corredor, banheiro. acervo e despensa)</t>
  </si>
  <si>
    <t>7.4</t>
  </si>
  <si>
    <t>7.5</t>
  </si>
  <si>
    <t>7.6</t>
  </si>
  <si>
    <t>7.7</t>
  </si>
  <si>
    <t>7.8</t>
  </si>
  <si>
    <t>7.9</t>
  </si>
  <si>
    <t>8.1</t>
  </si>
  <si>
    <t>ESCOVA DE AÇO</t>
  </si>
  <si>
    <t>8.2</t>
  </si>
  <si>
    <t>DOBRADICA GONZO FERRO GALV.18x25cm COM PARAFUSOS</t>
  </si>
  <si>
    <t>CONFECÇÃO DE ELEMENTOS METÁLICOS (CARRANCA)</t>
  </si>
  <si>
    <t>PORTAO FERRO PARA PORÃO, INCLUSIVE QUADRO COM TELA DE ARAME</t>
  </si>
  <si>
    <t>CONFECÇÃO DE ELEMENTOS METÁLICOS (FECHADURA TIPO GANCHO)</t>
  </si>
  <si>
    <t>MADEIRA PARA EXECUÇÃO DE CORRIMÃO DA VARANDA PRINCIPAL - maçaranduba torneada</t>
  </si>
  <si>
    <t>9.1</t>
  </si>
  <si>
    <t>9.2</t>
  </si>
  <si>
    <t>9.3</t>
  </si>
  <si>
    <t>9.4</t>
  </si>
  <si>
    <t>9.5</t>
  </si>
  <si>
    <t>9.6</t>
  </si>
  <si>
    <t>VIDRO LISO COMUM TRANSPARENTE, ESPESSURA 3MM</t>
  </si>
  <si>
    <t>9.7</t>
  </si>
  <si>
    <t>9.8</t>
  </si>
  <si>
    <t>MASSA PARA VIDRO</t>
  </si>
  <si>
    <t>Kg</t>
  </si>
  <si>
    <t>9.9</t>
  </si>
  <si>
    <t>MADEIRA DE LEI 1ª QUALIDADE PARA COMPLEMENTAÇÃO DE PERDAS</t>
  </si>
  <si>
    <t>10.1</t>
  </si>
  <si>
    <t>h</t>
  </si>
  <si>
    <t>SONDAGEM DE ACORDO COM AS ESPECIFICAÇÕES TÉCNICAS</t>
  </si>
  <si>
    <t>Projeto As Built</t>
  </si>
  <si>
    <t>m³/km</t>
  </si>
  <si>
    <t>TRANSPORTE LOCAL COM CAMINHÃO BASCULANTE 6 M3, RODOVIA EM LEITO NATURAL</t>
  </si>
  <si>
    <t>LIMPEZA FINAL DA OBRA</t>
  </si>
  <si>
    <t>TOTAL PARCIAL</t>
  </si>
  <si>
    <t>VALOR TOTAL (R$)</t>
  </si>
  <si>
    <t>FOLHA DE ISOPOR - esp. 10mm</t>
  </si>
  <si>
    <t>FITA CREPE LARG.2,5cm</t>
  </si>
  <si>
    <t>FITA CREPE LARG.5cm</t>
  </si>
  <si>
    <t>MADEIRA DE LEI 15x15cm (0,0225m3)(20% Peças de Tesouras, Pernas, Pendurais)</t>
  </si>
  <si>
    <t>MADEIRA DE LEI-7,5x12cm (3"x4,5") (40% Frechais)</t>
  </si>
  <si>
    <t>RETIRADA TELHA MARSELHA COM REAPROVEITAMENTO</t>
  </si>
  <si>
    <t>PROGRAMACAO VISUAL PARA PLACAS</t>
  </si>
  <si>
    <t>LIMPEZA DE TELHAS CERÂMICAS C/ SELEÇÃO</t>
  </si>
  <si>
    <t>COMPENSADO RESINADO FENOLICO 12mm 2,20x1.10m(2,42m2) PARA PROTEÇÕES INCLUSIVE DAS JANELAS/PORTAS</t>
  </si>
  <si>
    <t>TAPUME EM CHAPA COMPENSADO-REAPROVEITAMENTO 20 VEZES</t>
  </si>
  <si>
    <t>SARRAFO CEDRO 1" x 2" (5cm)</t>
  </si>
  <si>
    <t>TELA DE PROTECAO PARA SERVICOS DE FACHADAS EM OBRAS</t>
  </si>
  <si>
    <t>FOLHA DE PAPELÃO ONDULADO - PARDA - (40x1,20m) PARA PROTEÇÕES</t>
  </si>
  <si>
    <t>BOBINA DE PLASTICO TRANSPARENTE (4X100m) PARA PROTEÇÕES DOS MÓVEIS</t>
  </si>
  <si>
    <t>PACOTE DE PAPEL DE SEDA BRANCO</t>
  </si>
  <si>
    <t>BOBINA DE TNT (100m x 1,40 m) PARA PROTEÇÕES DOS MÓVEIS E ACERVO</t>
  </si>
  <si>
    <t>BOBINA DE PLÁSTICO BOLHA (1,30x100m) PARA PROTEÇÕES</t>
  </si>
  <si>
    <t>SACO DE FLOCOS DE ISOPOR</t>
  </si>
  <si>
    <t>TAPETE/CARPETE/ALCATIFA 4mm FLORTEX GRAFITE PARA ISOLAMENTO DAS PROTEÇÕES E ANDAIMES DO PISO</t>
  </si>
  <si>
    <t>TELA DE NYLON PARA PROTEÇÃO E AMARRAÇÃO DA COBERTURA</t>
  </si>
  <si>
    <r>
      <t>TELHA CERÂMICA</t>
    </r>
    <r>
      <rPr>
        <sz val="11"/>
        <rFont val="Arial"/>
        <family val="2"/>
      </rPr>
      <t>, TIPO CAPA-E-CANAL - 12 un/m² (50</t>
    </r>
    <r>
      <rPr>
        <sz val="11"/>
        <color rgb="FF000000"/>
        <rFont val="Arial"/>
        <family val="2"/>
      </rPr>
      <t>% do telhado)</t>
    </r>
  </si>
  <si>
    <r>
      <t xml:space="preserve">TELHA CERÂMICA FRANCESA/PLAN UNIVERSAL 33un/m2 </t>
    </r>
    <r>
      <rPr>
        <sz val="11"/>
        <rFont val="Arial"/>
        <family val="2"/>
      </rPr>
      <t>(100% área das varandas)</t>
    </r>
  </si>
  <si>
    <t>RETIRADA TELHAS DE BARRO COM REAPROVEITAMENTO</t>
  </si>
  <si>
    <t>RETIRADA DE CUMEEIRA CERAMICA</t>
  </si>
  <si>
    <t>LIMPEZA DE FERRAGENS EM GERAL</t>
  </si>
  <si>
    <t>RETIRADA TELHADO ESTRUTURA DE MADEIRA SEM REMOCAO</t>
  </si>
  <si>
    <t>RETIRADA MADEIRAMENTO DE TELHADOS</t>
  </si>
  <si>
    <t>Forros da Casa Histórica</t>
  </si>
  <si>
    <t>Forros das Varandas</t>
  </si>
  <si>
    <t>COLOCACAO DE TELHAS DE BARRO, CONSIDERANDO REAPROVEITAMENTO DE MATERIAL (Recolocação de telhas com amarração)</t>
  </si>
  <si>
    <t>CUMEEIRA CERAMICA PARA TELHA MARSELHA</t>
  </si>
  <si>
    <t>CUMEEIRA CERAMICA PARA COBERTURA EM TELHAS TIPO COLONIAL</t>
  </si>
  <si>
    <t>TRATAMENTO DE MADEIRAMENTO DE TELHADO ANTI-CUMPIM</t>
  </si>
  <si>
    <t>PECA DE MADEIRA LEI APARELHADA 3 X 3" (7,5 X 7,5CM)  - 60% Caibros, incluso Varandas</t>
  </si>
  <si>
    <t>PECA DE MADEIRA LEI APARELHADA 1 1/2 X 3" (4 X 7,5CM) - 100% Ripas, incluso Varandas</t>
  </si>
  <si>
    <t>2.1.3</t>
  </si>
  <si>
    <t>2.2</t>
  </si>
  <si>
    <t>PLACA DE RESPONSABILIDADE TECNICA CHAPA GALVANIZADA</t>
  </si>
  <si>
    <t>Beiral em Argamassa</t>
  </si>
  <si>
    <t>Beiral em madeira</t>
  </si>
  <si>
    <t>ESCORAMENTO MADEIRA PARA SUPORTE ESTRUTURA E FORROS C/ REAPROVEITAMENTO</t>
  </si>
  <si>
    <t>BARRA FERRO RETANGULAR CHATA 1 1/2 X 1/4" - (1,89 KG/M) PARA TRAVAMENTO ESTRUTURA</t>
  </si>
  <si>
    <t>HASTE ROSCADA ACO ENRIGECIDO 3/8" C/2 PORCAS PARA TRAVAMENTO ESTRUTURA</t>
  </si>
  <si>
    <t>ROLO DE FITA DUPLA FACE ALTA RESISTÊNCIA</t>
  </si>
  <si>
    <t>REMOCAO E RASPAGEM DE PINTURA A CAL</t>
  </si>
  <si>
    <t>RETIRADA REVESTIMENTO DE ARGAMASSAS EMBOCO/REBOCO</t>
  </si>
  <si>
    <t>REVESTMENTO-ARGAMASSA CAL/AREIA</t>
  </si>
  <si>
    <t>RETIRADA DE DUTOS CONDUTORES PARA DRENAGEM DE CALHAS</t>
  </si>
  <si>
    <t>ABERTURA E FECHAMENTO DE RASGOS EM ALVENARIA PARA RETIRADA DE DUTOS CONDUTORES PARA DRENAGEM DE CALHAS</t>
  </si>
  <si>
    <t xml:space="preserve">TUBO DE QUEDA PARA AGUAS PLUVIAIS </t>
  </si>
  <si>
    <t>PECA DE MADEIRA NATIVA/REGIONAL 2,5 X 10CM (1X4") NAO APARELHADA (SARRAFO)</t>
  </si>
  <si>
    <t>EXTINTOR AGUA PRESSURIZADA - 10 L</t>
  </si>
  <si>
    <t>EXTINTOR GAS CARBONICO 6kg</t>
  </si>
  <si>
    <t>PROTECAO DE PISO COM COBERTURA DE LONA/VINIL</t>
  </si>
  <si>
    <t>RETIRADA FORRO MADEIRA</t>
  </si>
  <si>
    <t>PECA DE MADEIRA DE LEI *7,5 X 10* CM, NÃO APARELHADA, PARA VIGA DAS VARANDAS</t>
  </si>
  <si>
    <t>RETIRADA BEIRAL EM  MADEIRA</t>
  </si>
  <si>
    <t>RETIRADA MADEIRAMENTO DE FIXAÇÃO DO BEIRAL</t>
  </si>
  <si>
    <t>PECA DE MADEIRA DE LEI *5,0 X 7,5* CM ( 2" X 3" ) NÃO APARELHADA, PARA MADEIRAMENTO DE FIXAÇÃO DO BEIRAL</t>
  </si>
  <si>
    <t>TÁBUA DE MADEIRA DE LEI *2,5 X 25* CM ( 1" X 9" ) NÃO APARELHADA,</t>
  </si>
  <si>
    <t>TABUA CORRIDA EM MADEIRA DE LEI COM REGUAS DE 10x2cm</t>
  </si>
  <si>
    <t>PINTURA OLEO SOBRE MADEIRA-INCLUSIVE PREPARO (FUNDO NIVELADOR E EMASSAMENTO)</t>
  </si>
  <si>
    <t xml:space="preserve">RETIRADA BARROTEAMENTO DO FORRO </t>
  </si>
  <si>
    <t xml:space="preserve">LIXAMENTO </t>
  </si>
  <si>
    <t>PECA DE MADEIRA DE LEI *5,0 X 7,5* CM ( 2" X 3" ) NÃO APARELHADA PARA BARROTE</t>
  </si>
  <si>
    <t>DEMOLIÇÃO DE REVESTIMENTO DE ARGAMASSA DE CAL E AREIA (50% das paredes internas)</t>
  </si>
  <si>
    <t>ARGAMASSA TRACO 1:2 (CAL HIDRATADA DE PRIMEIRA QUALIDADE E AREIA FINA PENEIRADA), PREPARO MANUAL (espessura de 5cm)</t>
  </si>
  <si>
    <t xml:space="preserve">PINTURA A BASE DE CAL VIRGEM E FIXADOR A BASE DE OLEO DE LINHACA, TRES DEMAOS </t>
  </si>
  <si>
    <t>SERRALHEIRO (3 meses)</t>
  </si>
  <si>
    <t>CALHA DE MADEIRA PARA DESCIDA DE ENTULHO</t>
  </si>
  <si>
    <t>ALUGUEL DE CACAMBA 48 HORAS COM RETIRADA</t>
  </si>
  <si>
    <t>TRANSPORTE VERTICAL DE MATERIAIS-ESTIVA CARGA E DESCARGA</t>
  </si>
  <si>
    <t>TRANSPORTE HORIZONTAL MATERIAIS CARRINHO RODA PNEUS</t>
  </si>
  <si>
    <t>PECA DE MADEIRA DE LEI *6,0 X 6,0* CM ( 2 1/2" X 2 1/2" ) NÃO APARELHADA PARA FRESAGEM DE SANCAS</t>
  </si>
  <si>
    <t>PECA DE MADEIRA DE LEI *5,0 X 7,5* CM ( 2" X 3" ) NÃO APARELHADA PARA FRESAGEM DE SANCAS</t>
  </si>
  <si>
    <t>CONFECÇÃO DE MOLDE METÁLICO PARA FRESAGEM DAS SANCAS (TORNEIRO MECÂNICO)</t>
  </si>
  <si>
    <t>ABERTURA E FECHAMENTO DE RASGOS EM ALVENARIA PARA COLOCAÇÃO DE RUFOS (incluindo novos rufos metálicos das varandas)</t>
  </si>
  <si>
    <t>RUFO CHAPA ZINCADA COM ARREMATES ARGAMASSA (novos rufos das varandas)</t>
  </si>
  <si>
    <t>RECOLOCAÇÃO RUFOS METALICOS EM COBERTURA (exceto novos rufos das varandas)</t>
  </si>
  <si>
    <t>RINCÃO EM CHAPA COBRE #28 (Novo rincão)</t>
  </si>
  <si>
    <t>ESTRUTURA MADEIRA DE LEI P/TELHADO 1 AGUA - TELHADO VARANDA LATERAL</t>
  </si>
  <si>
    <t>TIRANTE EM CABO ACO 3/16" (suporte barrotes de forro)</t>
  </si>
  <si>
    <t>ESTICADOR GALVANIZADO PARA CABO DE ACO  (suporte barrotes de forro)</t>
  </si>
  <si>
    <t>ANILHA PARA CABO DE ACO 3/16" A 1"  (suporte barrotes de forro)</t>
  </si>
  <si>
    <t>GANCHO DE SUSPENSAO GALVANIZADO  (suporte barrotes de forro)</t>
  </si>
  <si>
    <t>2.3.10</t>
  </si>
  <si>
    <t>2.3.11</t>
  </si>
  <si>
    <t>2.3.12</t>
  </si>
  <si>
    <t>2.3.13</t>
  </si>
  <si>
    <t>2.3.14</t>
  </si>
  <si>
    <t>2.3.15</t>
  </si>
  <si>
    <t>2.3.16</t>
  </si>
  <si>
    <t>2.1.4</t>
  </si>
  <si>
    <t>2.2.21</t>
  </si>
  <si>
    <t>2.2.22</t>
  </si>
  <si>
    <t>2.2.23</t>
  </si>
  <si>
    <t>2.2.24</t>
  </si>
  <si>
    <t>2.2.25</t>
  </si>
  <si>
    <t>2.5</t>
  </si>
  <si>
    <t>2.5.1</t>
  </si>
  <si>
    <t>2.5.2</t>
  </si>
  <si>
    <t>2.5.3</t>
  </si>
  <si>
    <t>2.5.4</t>
  </si>
  <si>
    <t>2.5.5</t>
  </si>
  <si>
    <t>2.5.6</t>
  </si>
  <si>
    <t>2.5.7</t>
  </si>
  <si>
    <t>2.6</t>
  </si>
  <si>
    <t>2.6.1</t>
  </si>
  <si>
    <t>2.6.2</t>
  </si>
  <si>
    <t>2.6.3</t>
  </si>
  <si>
    <t>2.6.4</t>
  </si>
  <si>
    <t>2.6.5</t>
  </si>
  <si>
    <t>2.7</t>
  </si>
  <si>
    <t>2.7.1</t>
  </si>
  <si>
    <t>2.7.2</t>
  </si>
  <si>
    <t>2.7.3</t>
  </si>
  <si>
    <t>2.7.4</t>
  </si>
  <si>
    <t>2.7.5</t>
  </si>
  <si>
    <t>2.7.6</t>
  </si>
  <si>
    <t>2.7.7</t>
  </si>
  <si>
    <t>2.7.8</t>
  </si>
  <si>
    <t>2.7.9</t>
  </si>
  <si>
    <t>2.7.10</t>
  </si>
  <si>
    <t>2.7.11</t>
  </si>
  <si>
    <t>7. ESQUADRIAS</t>
  </si>
  <si>
    <t>7.10</t>
  </si>
  <si>
    <t>7.11</t>
  </si>
  <si>
    <t>BARRA FERRO QUADRADA 1/2"x 1/2" (0,63kg/m)</t>
  </si>
  <si>
    <t>TORNEIRO MECÃNICO PARA CONFECÇÃO DE FERRAGENS PARA ESQUADRIAS</t>
  </si>
  <si>
    <t>SELADOR SINTÉTICO - GALÃO 3,6L</t>
  </si>
  <si>
    <t>CONTRATAÇÃO DE SERVIÇOS TÉCNICOS ESPECIALIZADOS PARA A PRIMEIRA FASE DA RESTAURAÇÃO DO MUSEU CASA DE BENJAMIN CONSTANT.</t>
  </si>
  <si>
    <t>ESMALTE SINTÉTICO ANTI OXIDANTE, ANTI-FERRUGEM - REF. HAMMERITE - galão 2,4L</t>
  </si>
  <si>
    <t>DESCUPINIZAÇÃO POR SISTEMA DE ISCAS - manutençao para 2 anos.</t>
  </si>
  <si>
    <t>7.12</t>
  </si>
  <si>
    <t>FUNDO SINTETICO NIVELADOR BRANCO</t>
  </si>
  <si>
    <t>RETIRADA DE PISO DE MADEIRA INCLUINDO BARROTEAMENTO</t>
  </si>
  <si>
    <t>RECOLOCAÇÃO DE PISO DE TÁBUAS DE MADEIRA, CONSIDERANDO REAPROVEITAMENTO DO MATERIAL - IDEM</t>
  </si>
  <si>
    <t>4.1.5</t>
  </si>
  <si>
    <t>BARROTE MADEIRA DE LEI 15X15CM</t>
  </si>
  <si>
    <t>4.1.6</t>
  </si>
  <si>
    <t>CINTA  MADEIRA DE LEI 15X15X50CM</t>
  </si>
  <si>
    <t>4.1.7</t>
  </si>
  <si>
    <t>EXECUÇÃO DA LIMPEZA E IMPERMEABILIZAÇÃO DE PISOS EM LADRILHO HIDRÁULICO VARANDAS</t>
  </si>
  <si>
    <t>EXECUÇÃO DA LIMPEZA E IMPERMEABILIZAÇÃO DE PISOS EM LADRILHO HIDRÁULICO INTERNOS</t>
  </si>
  <si>
    <t>LIXAMENTO DE MADEIRAMENTO DOS RODATETOS</t>
  </si>
  <si>
    <t>ASSENTAMENTO DE TELHAS COM ARGAMASSA CAL/AREIA</t>
  </si>
  <si>
    <t>8. CANTARIA</t>
  </si>
  <si>
    <t>8.1.1</t>
  </si>
  <si>
    <t>BLOCOS DE PEDRA PARA COMPLEMENTAÇÃO DA VARANDA - GRANITO APICOADO COMUM COLOCADO</t>
  </si>
  <si>
    <t>8.1.2</t>
  </si>
  <si>
    <t>PINO FIXACAO WALSYWA ACO CARBONO 20 x 30cm ROSCA 1/4"</t>
  </si>
  <si>
    <t>8.1.3</t>
  </si>
  <si>
    <t>ADESIVO ESTRUTURAL EPOXI SIKADUR 31</t>
  </si>
  <si>
    <t>8.1.4</t>
  </si>
  <si>
    <t>LIMPEZA DO PISO</t>
  </si>
  <si>
    <t>8.1.5</t>
  </si>
  <si>
    <t>MASSA PARA CALAFETAR JUNTAS</t>
  </si>
  <si>
    <t>8.2.1</t>
  </si>
  <si>
    <t>VERGA DE PEITORIL</t>
  </si>
  <si>
    <t>8.2.2</t>
  </si>
  <si>
    <t>VERGA DE TOPO</t>
  </si>
  <si>
    <t xml:space="preserve">DEMOLICAO ALVENARIAS </t>
  </si>
  <si>
    <t xml:space="preserve">RECOMPOSIÇÃO ALVENARIAS </t>
  </si>
  <si>
    <t>8.2.3</t>
  </si>
  <si>
    <t>LIMPEZA SUPERFICIE DE GRANITO/MARMORE EM EMPENA EXTERNA</t>
  </si>
  <si>
    <t>8.2.4</t>
  </si>
  <si>
    <t>LIXAMENTO DE MADEIRAMENTO DOS RODAPÉS</t>
  </si>
  <si>
    <t>RECOLOCACAO DE BARROTEAMENTO, CONSIDERANDO REAPROVEITAMENTO DE MATERIAL</t>
  </si>
  <si>
    <t>4.1.8</t>
  </si>
  <si>
    <t>LIXAMENTO DE MADEIRAMENTO DO PISO DE MADEIRA</t>
  </si>
  <si>
    <t>LIXAMENTO DO MADEIRAMENTO DO BEIRAL</t>
  </si>
  <si>
    <t>LIXAMENTO DO MADEIRAMENTO DO FORRO</t>
  </si>
  <si>
    <t>4.1.9</t>
  </si>
  <si>
    <t>TRATAMENTO DE MADEIRAMENTO ANTI-CUMPIM</t>
  </si>
  <si>
    <t>2.6.6</t>
  </si>
  <si>
    <t>Varandas</t>
  </si>
  <si>
    <t>Fachada</t>
  </si>
  <si>
    <t>RECOMPOSIÇÃO E CONSOLIDAÇÃO DO REVESTMENTO-ARGAMASSA CAL/AREIA</t>
  </si>
  <si>
    <t>REJUNTAMENTO DE LADRILHOS HIDRAULICOS</t>
  </si>
  <si>
    <t>RETIRADA PAPEL PAREDE</t>
  </si>
  <si>
    <t>Revestimento interno - Azulejos</t>
  </si>
  <si>
    <t>REASSENTAMENTO DE AZULEJOS EM PAREDE</t>
  </si>
  <si>
    <t>8.2.5</t>
  </si>
  <si>
    <t>8.2.6</t>
  </si>
  <si>
    <t xml:space="preserve">VIDRO COLORIDO (MEDIDAS E QUANTIDADES VARIADAS - VER CADERNO DE ESPECIFICAÇÕES) </t>
  </si>
  <si>
    <t>BARRA FERRO CHATA 1/2"x 1/2" (0,63kg/m)</t>
  </si>
  <si>
    <t>9. GRADIS, CORRIMÃOS E PORTÕES</t>
  </si>
  <si>
    <t xml:space="preserve">TORNEIRO MECÃNICO PARA CONFECÇÃO DE FERRAGENS </t>
  </si>
  <si>
    <t>ASSENTAMENTO DE LADRILHO HIDRAULICO 20x20cm , INCLUINDO CONFECÇÃO DE PEÇAS (75% pisos)</t>
  </si>
  <si>
    <t>BENEFICAMENTO DE PEDRA (MARMORISTA)</t>
  </si>
  <si>
    <t>5.2.2</t>
  </si>
  <si>
    <t>ASSENTAMENTO DE RODAPÉ CERÂMICOS , INCLUINDO CONFECÇÃO DE PEÇAS (25%)</t>
  </si>
  <si>
    <t>Revestimento interno - Papel de parede</t>
  </si>
  <si>
    <t>6.4</t>
  </si>
  <si>
    <t>PAPEL DE PAREDE  DE PRIMEIRA LINHA, IMPORTADO,  ROLO COM LARGURA DE 52 cm.</t>
  </si>
  <si>
    <t>rolo</t>
  </si>
  <si>
    <t>6.2.2</t>
  </si>
  <si>
    <t>COLOCAÇÃO DE PAPEL DE PAREDE POR PESSOAL ESPECIALIZADO</t>
  </si>
  <si>
    <t>ASSENTAMENTO DE AZULEJO , INCLUINDO CONFECÇÃO DE PEÇAS (50%)</t>
  </si>
  <si>
    <t>COMPACTAÇÃO DO PISO</t>
  </si>
  <si>
    <t>RETIRADA, LIMPEZA E REASSENTAMENTO DE PISO EM PEDRA IRREGULAR SOBRE COLCHÃO DE PO DE PEDRA ESPESSURA 10CM, REJUNTADO COM ARGAMASSA TRAÇO 1:3 (CIMENTO E AREIA), CONSIDERANDO APROVEITAMENTO DE PEDRAS</t>
  </si>
  <si>
    <t>10.2</t>
  </si>
  <si>
    <t>CASA DE BERNARDINA</t>
  </si>
  <si>
    <t>13.1</t>
  </si>
  <si>
    <t>13.2</t>
  </si>
  <si>
    <t>13.3</t>
  </si>
  <si>
    <t>TELHA CERÂMICA FRANCESA/PLAN UNIVERSAL 33un/m2</t>
  </si>
  <si>
    <t>ud</t>
  </si>
  <si>
    <t>RECOLOCAÇÃO DE TELHAS CERÂMICAS, CONSIDERANDO REAPROVEITAMENTO DE MATERIAL (Recolocação de telhas)</t>
  </si>
  <si>
    <t>CHAPIM EM ARGAMASSA PARA ARREMATE EM TELHADO</t>
  </si>
  <si>
    <t>RECUPERAÇÂO ARGAMASSA DFA PLATIBANDA</t>
  </si>
  <si>
    <t>Forro</t>
  </si>
  <si>
    <t>COMPLEMENTAÇÃO DE PERDAS (20% tabuado)</t>
  </si>
  <si>
    <t>LIXAMENTO</t>
  </si>
  <si>
    <t xml:space="preserve">SERVENTE (6 Pessoas / 12 meses) </t>
  </si>
  <si>
    <t>FEITOR OU ENCARREGADO GERAL (12 meses)</t>
  </si>
  <si>
    <t>ENGENHEIRO OU ARQUITETO PLENO - DE OBRA (100 horas mensais / 12 meses)</t>
  </si>
  <si>
    <t>MARCENEIRO (2 Pessoas / 6 meses )</t>
  </si>
  <si>
    <t>CARPINTEIRO (12 meses)</t>
  </si>
  <si>
    <t>AJUDANTE DE CARPINTEIRO (12 meses)</t>
  </si>
  <si>
    <t>PEDREIRO (2 Pessoas / 10 meses)</t>
  </si>
  <si>
    <t>VIDRACEIRO (1 pessoa / 3 meses)</t>
  </si>
  <si>
    <t>AUXILIAR DE SERRALHEIRO (6meses)</t>
  </si>
  <si>
    <t>PINTOR (6meses)</t>
  </si>
  <si>
    <t>BDI (24,5% do total)</t>
  </si>
  <si>
    <t>270 DIAS</t>
  </si>
  <si>
    <t>330 DIAS</t>
  </si>
  <si>
    <t>360 DIAS</t>
  </si>
  <si>
    <t>RELATÓRIO DE OBRAS COM COMPANHAMENTOCOM REGISTRO FOTOGRAFICO (MÊS)</t>
  </si>
  <si>
    <t>ALUGUEL MENSAL CONTAINER ESCRITORIO DE OBRAS 4,0x2,4m C/WC (2 unidades)</t>
  </si>
  <si>
    <t>DESMONTAGEM E REMOCAO DE CONTAINERS</t>
  </si>
  <si>
    <t>BARRACAO PARA VESTIARIO DE OPERARIOS EM TABUAS</t>
  </si>
  <si>
    <t>BARRACAO PARA DEPOSITO EM CHAPA DE MADEIRA COMPENSADA</t>
  </si>
  <si>
    <t>BARRACAO PARA OFICINAS EM CHAPAS DE COMPENSADO</t>
  </si>
  <si>
    <t>LOCACAO DE ANDAIME TUBULAR TIPO FACHADEIRO (300m² x 12 meses)</t>
  </si>
  <si>
    <t>COMPENSADO RESINADO FENOLICO 10 mm 2,20x1.10m(2,42m2)  PARA CONFECÇÃO DE PROTEÇÕES PARA ACERVOS.</t>
  </si>
  <si>
    <t>COMPENSADO VIROLA 4mm 1,60x2,20m (3,52m2) PARA CONFECÇÃO DE PROTEÇÕES PARA ACERVOS.</t>
  </si>
  <si>
    <t>PLACAS PVC ADESIVADO 1,00x1,20m COM ESTRUTURA DE FIXAÇÃO EM METALON  - IMPRESSÃO, FORNECIMENTO E INSTALAÇÃO</t>
  </si>
  <si>
    <t>COBERTURA LONA/ENCERADO CROMO IGNIFUGO EM ESTRUTURA PRONTA - FORNECIMENTO E COLOCAÇÃO.</t>
  </si>
  <si>
    <t>PEDRA DE MÃO</t>
  </si>
  <si>
    <t>ROLO DE CORDA DE POLIAMIDA NYLON 10mm, 3/8", 16 PERNAS TRANÇADAS, PARA AMARRAÇÃO DA LONA (rolo 100m)</t>
  </si>
  <si>
    <t>MASSA OLEO PARA CALAFETAR (LATA 1 KG)</t>
  </si>
  <si>
    <t>RASPAGEM / CALAFETAÇÃO DOS PISOS DE MADEIRA 1 DEMÃO CERA</t>
  </si>
  <si>
    <t>ROLO DE ACRILON 30m</t>
  </si>
  <si>
    <t>MASSA PARA MADEIRA GL</t>
  </si>
  <si>
    <t xml:space="preserve"> </t>
  </si>
  <si>
    <t>MASSA A ÓLEO GALÃO 3,6L</t>
  </si>
  <si>
    <t>ESMALTE SINTÉTICO - L</t>
  </si>
  <si>
    <t>PROSPECÇÃO ARQUEOLÓGICA</t>
  </si>
  <si>
    <t>RINCÃO EM CHAPA COBRE  (Novo rincão)</t>
  </si>
  <si>
    <t>QUADRO DE DISTRIBUICAO DE ENERGIA DE EMBUTIR, EM CHAPA METALICA, PARA 50 DISJUNTORES TERMOMAGNETICOS MONOPOLARES, COM BARRAMENTO TRIFASICO E NEUTRO, FORNECIMENTO E INSTALACAO</t>
  </si>
  <si>
    <t>DISJUNTOR TERMOMAGNETICO TRIPOLAR PADRAO NEMA (AMERICANO) 60 A 100A 240V, FORNECIMENTO E INSTALACAO</t>
  </si>
  <si>
    <t>DISJUNTOR TERMOMAGNETICO BIPOLAR PADRAO NEMA (AMERICANO) 10 A 50A 240V , FORNECIMENTO E INSTALACAO</t>
  </si>
  <si>
    <t>DISJUNTOR RESIDUAL DE 30 A</t>
  </si>
  <si>
    <t>SUPRESSOR DE SURTO 175V 30 KVA</t>
  </si>
  <si>
    <t>HASTE DE ATERRAMENTO TIPO CANTONEIRA 2,5 X 2,5 X 0,5 COM CONECTOR</t>
  </si>
  <si>
    <t>CAIXA DE PASSAGEM PVC 4X2" - FORNECIMENTO E INSTALACAO</t>
  </si>
  <si>
    <t xml:space="preserve">CAIXA DE PASSAGEM DE SOBREPOR </t>
  </si>
  <si>
    <t xml:space="preserve">TOMADA DE EMBUTIR 2P+T 20A/250V C/ PLACA - FORNECIMENTO E INSTALACAO </t>
  </si>
  <si>
    <t>ELETRODUTO DE PVC RIGIDO ROSCAVEL DN 75MM (3"), INCL CONEXOES, FORNECIMENTO E INSTALAÇÃO</t>
  </si>
  <si>
    <t>ELETRODUTO DE PVC RIGIDO ROSCAVEL DN 20MM (3/4"), INCL CONEXOES, FORNECIMENTO E INSTALAÇÃO</t>
  </si>
  <si>
    <t>CABO DE COBRE ISOLADO PVC 450/750V 2,5MM2 RESISTENTE A CHAMA - FORNECIMENTO E INSTALAÇÃO</t>
  </si>
  <si>
    <t>CABO DECOBRE NÚ 10MM²</t>
  </si>
  <si>
    <t>EXTINTOR INCENDIO TP PO QUIMICO 4KG FORNECIMENTO E COLOCACAO</t>
  </si>
  <si>
    <t>PLACA DE ACRILICO DESENHADA, INDICANDO PROIBIÇÃO DE FUMAR, LOCALIZAÇÃO DE EXTINTOR DE INCÊNDIO E SAÍDA</t>
  </si>
  <si>
    <t xml:space="preserve">MARCAÇÃO DE PISO PARA INCÊNDIO </t>
  </si>
  <si>
    <t>10. PORÃO</t>
  </si>
  <si>
    <t>10.3</t>
  </si>
  <si>
    <t>10.4</t>
  </si>
  <si>
    <t>10.5</t>
  </si>
  <si>
    <t>11. ELEMENTOS INTEGRADOS</t>
  </si>
  <si>
    <t>12. INSTALAÇÕES ELÉTRICAS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</si>
  <si>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</si>
  <si>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</si>
  <si>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</si>
  <si>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</si>
  <si>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</si>
  <si>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</si>
  <si>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</si>
  <si>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</si>
  <si>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</si>
  <si>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12.10</t>
  </si>
  <si>
    <t>12.11</t>
  </si>
  <si>
    <t>12.12</t>
  </si>
  <si>
    <t>12.13</t>
  </si>
  <si>
    <t>13. INSTALAÇÕES DE INCÊNDIO</t>
  </si>
  <si>
    <t>12.14</t>
  </si>
  <si>
    <t xml:space="preserve">RUFO CHAPA ZINCADA COM ARREMATES ARGAMASSA </t>
  </si>
  <si>
    <t>RESTAURADOR (100 horas mensais / 12 meses)</t>
  </si>
  <si>
    <t>MANUAL DE CONSERVAÇÃO</t>
  </si>
  <si>
    <t>REMOCAO E RETIRADA DE ENTULHO-CAMINHAO DE CARRETEIRO</t>
  </si>
  <si>
    <t xml:space="preserve">  </t>
  </si>
  <si>
    <t>Plano e Metodologia de Trabalho com diagnosticos da area. PROJETO DE CANTEIRO</t>
  </si>
  <si>
    <t>há</t>
  </si>
  <si>
    <t>14.1</t>
  </si>
  <si>
    <t>14.1.1</t>
  </si>
  <si>
    <t>14.1.2</t>
  </si>
  <si>
    <t>14.1.3</t>
  </si>
  <si>
    <t>14.1.4</t>
  </si>
  <si>
    <t>14.2</t>
  </si>
  <si>
    <t>14.2.1</t>
  </si>
  <si>
    <t>14.2.2</t>
  </si>
  <si>
    <t>14.2.3</t>
  </si>
  <si>
    <t>14.2.4</t>
  </si>
  <si>
    <t>14.2.5</t>
  </si>
  <si>
    <t>14.2.6</t>
  </si>
  <si>
    <t>14.2.7</t>
  </si>
  <si>
    <t>14.2.8</t>
  </si>
  <si>
    <t>14.2.9</t>
  </si>
  <si>
    <t>14.2.10</t>
  </si>
  <si>
    <t>14.2.11</t>
  </si>
  <si>
    <t>14.2.12</t>
  </si>
  <si>
    <t>14.2.13</t>
  </si>
  <si>
    <t>14.3</t>
  </si>
  <si>
    <t>14.3.1</t>
  </si>
  <si>
    <t>14.3.2</t>
  </si>
  <si>
    <t>14.3.3</t>
  </si>
  <si>
    <t>14.3.4</t>
  </si>
  <si>
    <t>14.3.5</t>
  </si>
  <si>
    <t>14.3.6</t>
  </si>
  <si>
    <t>14.3.7</t>
  </si>
  <si>
    <t>14.3.8</t>
  </si>
  <si>
    <t>14.3.9</t>
  </si>
  <si>
    <t>14.3.10</t>
  </si>
  <si>
    <t>14.3.11</t>
  </si>
  <si>
    <t>14.3.12</t>
  </si>
  <si>
    <t>14.3.13</t>
  </si>
  <si>
    <t>14.3.14</t>
  </si>
  <si>
    <t>14.3.15</t>
  </si>
  <si>
    <t>14.3.16</t>
  </si>
  <si>
    <t>14.4</t>
  </si>
  <si>
    <t>14.4.1</t>
  </si>
  <si>
    <t>14.4.2</t>
  </si>
  <si>
    <t>14.4.3</t>
  </si>
  <si>
    <t>14.4.4</t>
  </si>
  <si>
    <t>14.4.5</t>
  </si>
  <si>
    <t>14.4.6</t>
  </si>
  <si>
    <t>17.1</t>
  </si>
  <si>
    <t>17.2</t>
  </si>
  <si>
    <t>14. COBERTURA</t>
  </si>
  <si>
    <t>DEMOLICAO DE ALVENARIA DE TIJOLOS FURADOS S/REAPROVEITAMENTO</t>
  </si>
  <si>
    <t>RETIRADA DE FORROS DE COMPENSADO MODULAR</t>
  </si>
  <si>
    <t>RETIRADA DE DUTOS DE REFRIGERAÇÃO</t>
  </si>
  <si>
    <t>RETIRADA DE BANCADAS</t>
  </si>
  <si>
    <t xml:space="preserve">RECOMPOSIÇÃO ALVENARIAS  </t>
  </si>
  <si>
    <t>EMASSAMENTO COM MASSA ACRILICA, UMA DEMAO</t>
  </si>
  <si>
    <t>FUNDO SELADOR ACRILICO, UMA DEMAO</t>
  </si>
  <si>
    <t>PINTURA EXTERNA LATEX ACRILICA, DUAS DEMAOS</t>
  </si>
  <si>
    <t xml:space="preserve">RESTAURAÇÃO DO LAVATÓRIO TIPO ORATÓRIO EM PORCELANA </t>
  </si>
  <si>
    <t>ENGENHEIRO ELETRICISTA PLENO - DE OBRA (100 horas mensais / 6 meses)</t>
  </si>
  <si>
    <t>16.1</t>
  </si>
  <si>
    <t>16.2</t>
  </si>
  <si>
    <t>16.3</t>
  </si>
  <si>
    <t>REFORMA DE CALHAS E CAIXAS PLUVIAIS DE CONCRETO</t>
  </si>
  <si>
    <t>Unid</t>
  </si>
  <si>
    <t>ADEQUAÇÃO DE TAMPAS E GRELHAS DE CIMENTO ÁGUAS PLUVIAIS</t>
  </si>
  <si>
    <t>RESTAURAÇÃO TENTO DOS CANTEIROS AO LADO DA CASA DE BERNARDINA</t>
  </si>
  <si>
    <t>GALERIA SUBTERRANEA TUBO PARA ÁGUAS PLUVIAIS 300MM</t>
  </si>
  <si>
    <t>AJUDANTE DE PINTOR ( 6 meses)</t>
  </si>
  <si>
    <t>Acondicionamento de acervo</t>
  </si>
  <si>
    <t>Canteiro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</si>
  <si>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</si>
  <si>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</si>
  <si>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</si>
  <si>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</si>
  <si>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</si>
  <si>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</si>
  <si>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</si>
  <si>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</si>
  <si>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</si>
  <si>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</si>
  <si>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</si>
  <si>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</si>
  <si>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</si>
  <si>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</si>
  <si>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1.1.15</t>
  </si>
  <si>
    <t>1.1.16</t>
  </si>
  <si>
    <t>1.1.17</t>
  </si>
  <si>
    <t>1.1.18</t>
  </si>
  <si>
    <t>1.1.19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</si>
  <si>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</si>
  <si>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</si>
  <si>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</si>
  <si>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</si>
  <si>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</si>
  <si>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</si>
  <si>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</si>
  <si>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</si>
  <si>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</si>
  <si>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</si>
  <si>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</si>
  <si>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</si>
  <si>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</si>
  <si>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1.2.14</t>
  </si>
  <si>
    <t>1.2.15</t>
  </si>
  <si>
    <t>1.2.16</t>
  </si>
  <si>
    <t>1.2.17</t>
  </si>
  <si>
    <t xml:space="preserve">TRANSPORTE DO ACERVO DA CASA HISTÓRIA À CASA DE BERNARDINA </t>
  </si>
  <si>
    <t xml:space="preserve">Revestimento externo </t>
  </si>
  <si>
    <t>6. REVESTIMENTOS  - casa histórica, pilar de entrada e guarita</t>
  </si>
  <si>
    <t>Piso em Ladrilho Hidráulico Varanda Casa de Bernardina</t>
  </si>
  <si>
    <t>15.1</t>
  </si>
  <si>
    <t>Piso Externo</t>
  </si>
  <si>
    <t>15.2</t>
  </si>
  <si>
    <t>ASSENTAMENTO DE LADRILHO HIDRAULICO 20x20cm , INCLUINDO CONFECÇÃO DE PEÇAS (50% pisos)</t>
  </si>
  <si>
    <t>Nº 03/ 2016 CEMAE/DEPMUS/IBRAM-RJ</t>
  </si>
  <si>
    <t>FONTES:</t>
  </si>
  <si>
    <t>* Catálogo Sistema de Custos de Obra - RJ (SCO-RJ) Agosto de 2015</t>
  </si>
  <si>
    <t>* BDI: 24,5% (de R$1.500.000,01 até 75.000.000,00), retirado do Acórdão 2369-36/11 do Tribunal de Contas da União – tabela 17</t>
  </si>
  <si>
    <t>* Tabela de Serviços do CREA/2016</t>
  </si>
  <si>
    <t>* Sinapi RJ dezembro de 2015</t>
  </si>
  <si>
    <t>* Boletim de Custos - Informativo - SBC -RJ - janeiro de 2016</t>
  </si>
  <si>
    <t>* ORSE dezembro de 2015</t>
  </si>
  <si>
    <t>4.2.4</t>
  </si>
  <si>
    <t>4.2.5</t>
  </si>
  <si>
    <t>11.1</t>
  </si>
  <si>
    <t>15. DEMOLIÇÕES, RETIRADAS E ALVENARIAS - CASA DE BERNARDINA</t>
  </si>
  <si>
    <t>15.3</t>
  </si>
  <si>
    <t>15.4</t>
  </si>
  <si>
    <t>15.5</t>
  </si>
  <si>
    <t>16. PINTURA CASA DE BERNARDINA</t>
  </si>
  <si>
    <t xml:space="preserve">17. PISOS </t>
  </si>
  <si>
    <t>17.1.1</t>
  </si>
  <si>
    <t>17.1.2</t>
  </si>
  <si>
    <t>17.1.3</t>
  </si>
  <si>
    <t>17.1.4</t>
  </si>
  <si>
    <t>17.2.1</t>
  </si>
  <si>
    <t>17.2.2</t>
  </si>
  <si>
    <t>17.2.3</t>
  </si>
  <si>
    <t>17.2.4</t>
  </si>
  <si>
    <t>17.2.5</t>
  </si>
  <si>
    <t>17.2.6</t>
  </si>
  <si>
    <t>18. CUSTOS ADMINISTRATIVOS</t>
  </si>
  <si>
    <t>18.1</t>
  </si>
  <si>
    <t>18.2</t>
  </si>
  <si>
    <t>18.3</t>
  </si>
  <si>
    <t>18.4</t>
  </si>
  <si>
    <t>18.5</t>
  </si>
  <si>
    <t>18.6</t>
  </si>
  <si>
    <t>18.7</t>
  </si>
  <si>
    <t>18.8</t>
  </si>
  <si>
    <t>18.9</t>
  </si>
  <si>
    <t>18.10</t>
  </si>
  <si>
    <t>18.11</t>
  </si>
  <si>
    <t>18.12</t>
  </si>
  <si>
    <t>18.13</t>
  </si>
  <si>
    <t>18.14</t>
  </si>
  <si>
    <t>19 COMPLEMENTARES</t>
  </si>
  <si>
    <t>19.1</t>
  </si>
  <si>
    <t>19.2</t>
  </si>
  <si>
    <t>19.3</t>
  </si>
  <si>
    <t>19.4</t>
  </si>
  <si>
    <t>19.5</t>
  </si>
  <si>
    <t>19.6</t>
  </si>
  <si>
    <t>19.7</t>
  </si>
  <si>
    <t>19.8</t>
  </si>
  <si>
    <t>19.9</t>
  </si>
  <si>
    <t>19.10</t>
  </si>
  <si>
    <t>19.11</t>
  </si>
  <si>
    <t>19.12</t>
  </si>
  <si>
    <t>19.13</t>
  </si>
  <si>
    <t>REPARO DE CONDUTOR AGUA PLUVIAL PVC 100mm x3,0m</t>
  </si>
  <si>
    <t>11.2</t>
  </si>
  <si>
    <t>11.3</t>
  </si>
  <si>
    <t>LIMPEZA DAS LUMINÀRIAS</t>
  </si>
  <si>
    <t>LIMPEZA E RESTAURAÇÃO DOS ELEMENTOS INTEGRADOS EM MÁRMORE DE ACORDO COM O CADERNO DE ESPECIFICAÇÕES, INLUINDO DESLOCAMENTO DA BANHEIRA</t>
  </si>
  <si>
    <t>Ana Cecilia Lima Sant'Ana</t>
  </si>
  <si>
    <t>Responsável pela Planilha</t>
  </si>
  <si>
    <t>Arquiteta e Urbanista</t>
  </si>
  <si>
    <t>CEMAE-RJ/DPMUS/IBRAM</t>
  </si>
  <si>
    <t>Mat. 2060228</t>
  </si>
  <si>
    <t>LUMINÁRIAS EXISTENTES  - Lâmpada LED E27 3000K - 13W G45</t>
  </si>
  <si>
    <t>AJUDANTE DE PINTOR (2 pessoas /  6 meses)</t>
  </si>
  <si>
    <t xml:space="preserve">MARCAÇÃO DE ÁREA LIVRE NO PISO PARA INCÊNDIO </t>
  </si>
  <si>
    <t>EXTINTOR INCENDIO TP PO QUIMICO 6KG FORNECIMENTO E COLOCACAO</t>
  </si>
  <si>
    <t>ELETRODUTO DE AÇO GALVANIZADO ELETROLITICO DN 20MM (3/4"), TIPO LEVE, INCLUINDO CONEXÕES FORNECIMENTO E INSTALAÇÕES</t>
  </si>
  <si>
    <t>CONDULETE 3/4" EM LIGA DE ALUMÍNIO FUNDIDO TIPO "B" FORNECIMENTO E INSTALAÇÃO</t>
  </si>
  <si>
    <t>INTERRUPITOR BIPOLAR DE EMBUTIR 20A/250V, TECLA DUPLA C/ PLACA - FORNECIMENTO E INSTALAÇÃO</t>
  </si>
  <si>
    <t>12.15</t>
  </si>
  <si>
    <t>DISJUNTOR TERMOMAGNETICO MONOPOLAR PADRAO NEMA (AMERICANO) 10 A 30A 240V , FORNECIMENTO E INSTALACAO</t>
  </si>
  <si>
    <t>7.13</t>
  </si>
  <si>
    <t>7.14</t>
  </si>
  <si>
    <t>7.15</t>
  </si>
  <si>
    <t>PORTA DE VIDRO TEMPERADO0,9X2,10M, ESPESSURA 10MM, INCLUSIVE ACESSÓRIOS</t>
  </si>
  <si>
    <t>JOGO DE FERRAGENS CROMADAS PARA PORTA DE VIDRO TEMPERADO, UMA FOLHA, COMPOSTO DE DOBRADIÇAS SUPERIOR E INFERIOR, TRINCO, FCHADURA, CONTRA FECHADURA COM CAPUCHINHO SEM MOLA E PUXADOR</t>
  </si>
  <si>
    <t>MOLA HIDRÁULICA DE PISO PARA PORTA DE VIDRO TEMPERADO</t>
  </si>
  <si>
    <t>12. INSTALAÇÕES ELÉTRICAS E LUMINOTÉCNICA</t>
  </si>
  <si>
    <t>MINI SOURCE FOUR LED ETC - 12w</t>
  </si>
  <si>
    <t>PAINEL DE LED 10W</t>
  </si>
  <si>
    <t>TRILHO ELETRIFICADO</t>
  </si>
  <si>
    <t>ADAPTADORES</t>
  </si>
  <si>
    <t>MATERIAL DE MONTAGEM E INSTALAÇÃO</t>
  </si>
  <si>
    <t>MÃO DE OBRA LUMINOTÉCNICA</t>
  </si>
  <si>
    <t>12.16</t>
  </si>
  <si>
    <t>12.17</t>
  </si>
  <si>
    <t>12.18</t>
  </si>
  <si>
    <t>12.19</t>
  </si>
  <si>
    <t>12.20</t>
  </si>
  <si>
    <t>12.21</t>
  </si>
  <si>
    <t>PLACA DE ACRILICO DESENHADA, INDICANDO PROIBIÇÃO DE FUMAR, LOCALIZAÇÃO DE EXTINTOR DE INCÊNDIO E SAÍDA - PROJETO</t>
  </si>
  <si>
    <t>DEMOLIÇÃO DE DIVISÓRIAS EM CHAPAS OU TÁBUAS, INCLUSIVE DEMOLIÇÃO DO ENTARUGAMENTO</t>
  </si>
  <si>
    <t>CJ</t>
  </si>
  <si>
    <t>REMOÇÃO DE CAMARA FRIGORÍFICA</t>
  </si>
  <si>
    <t>15.6</t>
  </si>
  <si>
    <t>15.7</t>
  </si>
  <si>
    <t xml:space="preserve">Forro </t>
  </si>
  <si>
    <t>12.22</t>
  </si>
  <si>
    <r>
      <t xml:space="preserve">Planilha Orçamentária                                                     </t>
    </r>
    <r>
      <rPr>
        <b/>
        <sz val="10"/>
        <color rgb="FF000000"/>
        <rFont val="Arial"/>
        <family val="2"/>
      </rPr>
      <t>Processo nº 01444.000087/2016-34 - IBRAM - UASG 423002</t>
    </r>
  </si>
  <si>
    <r>
      <t xml:space="preserve">Boletim de Medição             </t>
    </r>
    <r>
      <rPr>
        <b/>
        <sz val="10"/>
        <color rgb="FF000000"/>
        <rFont val="Arial"/>
        <family val="2"/>
      </rPr>
      <t>ANEXO 2 - 2.1 do Projeto Básico (Anexo I do Edital) da CONCORRÊNCIA Nº 01/2016 – IBRAM</t>
    </r>
  </si>
  <si>
    <r>
      <t xml:space="preserve">Boletim de Medição                           </t>
    </r>
    <r>
      <rPr>
        <b/>
        <sz val="10"/>
        <color rgb="FF000000"/>
        <rFont val="Arial"/>
        <family val="2"/>
      </rPr>
      <t>ANEXO 2 - 2.2 do Projeto Básico (Anexo I do Edital) da CONCORRÊNCIA Nº 01/2016 – IBRAM</t>
    </r>
  </si>
  <si>
    <r>
      <t xml:space="preserve">Cronograma Físico-Financeiro                                             </t>
    </r>
    <r>
      <rPr>
        <b/>
        <sz val="10"/>
        <color rgb="FF000000"/>
        <rFont val="Arial"/>
        <family val="2"/>
      </rPr>
      <t>Processo nº 01444.000087/2016-34 - IBRAM - UASG 423002</t>
    </r>
  </si>
</sst>
</file>

<file path=xl/styles.xml><?xml version="1.0" encoding="utf-8"?>
<styleSheet xmlns="http://schemas.openxmlformats.org/spreadsheetml/2006/main">
  <numFmts count="5">
    <numFmt numFmtId="164" formatCode="_(* #,##0.00_);_(* \(#,##0.00\);_(* &quot;-&quot;??_);_(@_)"/>
    <numFmt numFmtId="165" formatCode="[$R$ -416]#,##0.00;[$R$ -416]\-#,##0.00"/>
    <numFmt numFmtId="166" formatCode="0.0"/>
    <numFmt numFmtId="167" formatCode="[$R$ -416]#,##0.00;[$R$ -416]\(#,##0.00\)"/>
    <numFmt numFmtId="168" formatCode="[$R$ -416]#,##0.00"/>
  </numFmts>
  <fonts count="145">
    <font>
      <sz val="10"/>
      <color rgb="FF000000"/>
      <name val="Arial"/>
    </font>
    <font>
      <sz val="14"/>
      <color rgb="FF000000"/>
      <name val="Arial"/>
      <family val="2"/>
    </font>
    <font>
      <b/>
      <sz val="11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Calibri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Arial"/>
      <family val="2"/>
    </font>
    <font>
      <b/>
      <sz val="14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6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4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4"/>
      <color rgb="FF000000"/>
      <name val="Arial"/>
      <family val="2"/>
    </font>
    <font>
      <b/>
      <sz val="14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4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color rgb="FF000000"/>
      <name val="Arial"/>
      <family val="2"/>
    </font>
    <font>
      <sz val="14"/>
      <color rgb="FF000000"/>
      <name val="Arial"/>
      <family val="2"/>
    </font>
    <font>
      <b/>
      <sz val="12"/>
      <color rgb="FF000000"/>
      <name val="Arial"/>
      <family val="2"/>
    </font>
    <font>
      <b/>
      <sz val="14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</font>
    <font>
      <sz val="11"/>
      <color rgb="FF000000"/>
      <name val="Arial"/>
      <family val="2"/>
    </font>
    <font>
      <sz val="11"/>
      <color rgb="FF000000"/>
      <name val="Arial"/>
      <family val="2"/>
    </font>
    <font>
      <sz val="14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Arial"/>
      <family val="2"/>
    </font>
    <font>
      <b/>
      <sz val="12"/>
      <color rgb="FF000000"/>
      <name val="Arial"/>
      <family val="2"/>
    </font>
    <font>
      <sz val="11"/>
      <color rgb="FF000000"/>
      <name val="Arial"/>
      <family val="2"/>
    </font>
    <font>
      <b/>
      <sz val="14"/>
      <color rgb="FF000000"/>
      <name val="Arial"/>
      <family val="2"/>
    </font>
    <font>
      <sz val="11"/>
      <color rgb="FF000000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rgb="FF000000"/>
      <name val="Arial"/>
      <family val="2"/>
    </font>
    <font>
      <b/>
      <sz val="14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4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4"/>
      <color rgb="FF000000"/>
      <name val="Arial"/>
      <family val="2"/>
    </font>
    <font>
      <b/>
      <sz val="16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4"/>
      <color rgb="FF000000"/>
      <name val="Arial"/>
      <family val="2"/>
    </font>
    <font>
      <sz val="11"/>
      <color rgb="FF000000"/>
      <name val="Calibri"/>
      <family val="2"/>
    </font>
    <font>
      <sz val="14"/>
      <color rgb="FF000000"/>
      <name val="Arial"/>
      <family val="2"/>
    </font>
    <font>
      <sz val="11"/>
      <color rgb="FF000000"/>
      <name val="Arial"/>
      <family val="2"/>
    </font>
    <font>
      <b/>
      <sz val="16"/>
      <color rgb="FF000000"/>
      <name val="Arial"/>
      <family val="2"/>
    </font>
    <font>
      <b/>
      <sz val="14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color rgb="FF000000"/>
      <name val="Arial"/>
      <family val="2"/>
    </font>
    <font>
      <b/>
      <sz val="14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6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4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Arial"/>
      <family val="2"/>
    </font>
    <font>
      <b/>
      <sz val="14"/>
      <color rgb="FF000000"/>
      <name val="Arial"/>
      <family val="2"/>
    </font>
    <font>
      <sz val="10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Calibri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sz val="11"/>
      <color rgb="FFFFFF00"/>
      <name val="Arial"/>
      <family val="2"/>
    </font>
    <font>
      <b/>
      <sz val="11"/>
      <name val="Arial"/>
      <family val="2"/>
    </font>
    <font>
      <b/>
      <sz val="14"/>
      <color theme="0"/>
      <name val="Arial"/>
      <family val="2"/>
    </font>
    <font>
      <sz val="11"/>
      <color theme="1"/>
      <name val="Arial"/>
      <family val="2"/>
    </font>
    <font>
      <sz val="9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0"/>
      <color rgb="FF000000"/>
      <name val="Arial"/>
      <family val="2"/>
    </font>
  </fonts>
  <fills count="6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2DBDB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2DBDB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2DBDB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2DBDB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3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9" fillId="0" borderId="0"/>
    <xf numFmtId="0" fontId="136" fillId="0" borderId="0"/>
  </cellStyleXfs>
  <cellXfs count="492">
    <xf numFmtId="0" fontId="0" fillId="0" borderId="0" xfId="0" applyAlignment="1">
      <alignment wrapText="1"/>
    </xf>
    <xf numFmtId="164" fontId="1" fillId="0" borderId="0" xfId="0" applyNumberFormat="1" applyFont="1" applyAlignment="1">
      <alignment vertical="center"/>
    </xf>
    <xf numFmtId="0" fontId="9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4" fillId="0" borderId="0" xfId="0" applyFont="1" applyAlignment="1">
      <alignment horizontal="center"/>
    </xf>
    <xf numFmtId="164" fontId="54" fillId="0" borderId="0" xfId="0" applyNumberFormat="1" applyFont="1" applyAlignment="1">
      <alignment horizontal="center" vertical="center"/>
    </xf>
    <xf numFmtId="0" fontId="56" fillId="0" borderId="0" xfId="0" applyFont="1"/>
    <xf numFmtId="0" fontId="62" fillId="0" borderId="0" xfId="0" applyFont="1" applyAlignment="1">
      <alignment vertical="center"/>
    </xf>
    <xf numFmtId="4" fontId="69" fillId="31" borderId="5" xfId="0" applyNumberFormat="1" applyFont="1" applyFill="1" applyBorder="1" applyAlignment="1">
      <alignment horizontal="center" vertical="center"/>
    </xf>
    <xf numFmtId="0" fontId="75" fillId="0" borderId="0" xfId="0" applyFont="1" applyAlignment="1">
      <alignment vertical="center"/>
    </xf>
    <xf numFmtId="0" fontId="89" fillId="0" borderId="0" xfId="0" applyFont="1"/>
    <xf numFmtId="0" fontId="90" fillId="42" borderId="8" xfId="0" applyFont="1" applyFill="1" applyBorder="1" applyAlignment="1">
      <alignment horizontal="left" vertical="center"/>
    </xf>
    <xf numFmtId="0" fontId="96" fillId="0" borderId="0" xfId="0" applyFont="1" applyAlignment="1">
      <alignment horizontal="center" vertical="center"/>
    </xf>
    <xf numFmtId="0" fontId="98" fillId="0" borderId="0" xfId="0" applyFont="1" applyAlignment="1">
      <alignment vertical="center" wrapText="1"/>
    </xf>
    <xf numFmtId="0" fontId="101" fillId="0" borderId="0" xfId="0" applyFont="1" applyAlignment="1">
      <alignment horizontal="right" vertical="center"/>
    </xf>
    <xf numFmtId="0" fontId="122" fillId="58" borderId="16" xfId="0" applyFont="1" applyFill="1" applyBorder="1" applyAlignment="1">
      <alignment horizontal="center" vertical="center" wrapText="1"/>
    </xf>
    <xf numFmtId="0" fontId="125" fillId="0" borderId="0" xfId="0" applyFont="1"/>
    <xf numFmtId="166" fontId="126" fillId="60" borderId="20" xfId="0" applyNumberFormat="1" applyFont="1" applyFill="1" applyBorder="1" applyAlignment="1">
      <alignment horizontal="center" vertical="center"/>
    </xf>
    <xf numFmtId="0" fontId="128" fillId="0" borderId="0" xfId="0" applyFont="1" applyAlignment="1">
      <alignment vertical="center" wrapText="1"/>
    </xf>
    <xf numFmtId="0" fontId="74" fillId="0" borderId="0" xfId="0" applyFont="1" applyAlignment="1">
      <alignment vertical="center" wrapText="1"/>
    </xf>
    <xf numFmtId="0" fontId="45" fillId="0" borderId="0" xfId="0" applyFont="1" applyAlignment="1">
      <alignment vertical="center" wrapText="1"/>
    </xf>
    <xf numFmtId="0" fontId="125" fillId="0" borderId="0" xfId="0" applyFont="1" applyAlignment="1">
      <alignment horizontal="center"/>
    </xf>
    <xf numFmtId="0" fontId="62" fillId="0" borderId="0" xfId="0" applyFont="1" applyAlignment="1">
      <alignment horizontal="center" vertical="center"/>
    </xf>
    <xf numFmtId="0" fontId="6" fillId="0" borderId="17" xfId="0" applyFont="1" applyBorder="1"/>
    <xf numFmtId="0" fontId="9" fillId="0" borderId="0" xfId="0" applyFont="1"/>
    <xf numFmtId="0" fontId="6" fillId="0" borderId="0" xfId="0" applyFont="1"/>
    <xf numFmtId="165" fontId="6" fillId="0" borderId="17" xfId="0" applyNumberFormat="1" applyFont="1" applyFill="1" applyBorder="1" applyAlignment="1">
      <alignment horizontal="center" vertical="center"/>
    </xf>
    <xf numFmtId="0" fontId="127" fillId="0" borderId="21" xfId="0" applyFont="1" applyFill="1" applyBorder="1" applyAlignment="1">
      <alignment horizontal="center" vertical="center"/>
    </xf>
    <xf numFmtId="165" fontId="58" fillId="0" borderId="17" xfId="0" applyNumberFormat="1" applyFont="1" applyFill="1" applyBorder="1" applyAlignment="1">
      <alignment horizontal="center" vertical="center"/>
    </xf>
    <xf numFmtId="167" fontId="11" fillId="0" borderId="17" xfId="0" applyNumberFormat="1" applyFont="1" applyBorder="1" applyAlignment="1">
      <alignment horizontal="center" vertical="center"/>
    </xf>
    <xf numFmtId="165" fontId="58" fillId="0" borderId="17" xfId="0" applyNumberFormat="1" applyFont="1" applyBorder="1" applyAlignment="1">
      <alignment horizontal="center" vertical="center"/>
    </xf>
    <xf numFmtId="167" fontId="99" fillId="45" borderId="17" xfId="0" applyNumberFormat="1" applyFont="1" applyFill="1" applyBorder="1" applyAlignment="1">
      <alignment horizontal="center" vertical="center"/>
    </xf>
    <xf numFmtId="165" fontId="6" fillId="0" borderId="17" xfId="0" applyNumberFormat="1" applyFont="1" applyBorder="1" applyAlignment="1">
      <alignment horizontal="center" vertical="center"/>
    </xf>
    <xf numFmtId="167" fontId="6" fillId="0" borderId="17" xfId="0" applyNumberFormat="1" applyFont="1" applyBorder="1" applyAlignment="1">
      <alignment horizontal="center" vertical="center"/>
    </xf>
    <xf numFmtId="167" fontId="6" fillId="48" borderId="17" xfId="0" applyNumberFormat="1" applyFont="1" applyFill="1" applyBorder="1" applyAlignment="1">
      <alignment horizontal="center" vertical="center"/>
    </xf>
    <xf numFmtId="0" fontId="131" fillId="0" borderId="21" xfId="0" applyFont="1" applyFill="1" applyBorder="1" applyAlignment="1">
      <alignment horizontal="center" vertical="center"/>
    </xf>
    <xf numFmtId="165" fontId="131" fillId="0" borderId="17" xfId="0" applyNumberFormat="1" applyFont="1" applyFill="1" applyBorder="1" applyAlignment="1">
      <alignment horizontal="center" vertical="center"/>
    </xf>
    <xf numFmtId="167" fontId="6" fillId="0" borderId="17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6" fillId="0" borderId="21" xfId="0" applyFont="1" applyFill="1" applyBorder="1" applyAlignment="1">
      <alignment horizontal="center" vertical="center"/>
    </xf>
    <xf numFmtId="167" fontId="99" fillId="0" borderId="17" xfId="0" applyNumberFormat="1" applyFont="1" applyFill="1" applyBorder="1" applyAlignment="1">
      <alignment horizontal="center" vertical="center"/>
    </xf>
    <xf numFmtId="0" fontId="130" fillId="0" borderId="21" xfId="0" applyFont="1" applyFill="1" applyBorder="1" applyAlignment="1">
      <alignment horizontal="center" vertical="center"/>
    </xf>
    <xf numFmtId="0" fontId="130" fillId="62" borderId="21" xfId="0" applyFont="1" applyFill="1" applyBorder="1" applyAlignment="1">
      <alignment horizontal="center" vertical="center"/>
    </xf>
    <xf numFmtId="165" fontId="130" fillId="62" borderId="17" xfId="0" applyNumberFormat="1" applyFont="1" applyFill="1" applyBorder="1" applyAlignment="1">
      <alignment horizontal="center" vertical="center"/>
    </xf>
    <xf numFmtId="0" fontId="89" fillId="0" borderId="0" xfId="0" applyFont="1" applyAlignment="1">
      <alignment vertical="center"/>
    </xf>
    <xf numFmtId="167" fontId="29" fillId="62" borderId="17" xfId="0" applyNumberFormat="1" applyFont="1" applyFill="1" applyBorder="1" applyAlignment="1">
      <alignment horizontal="center" vertical="center"/>
    </xf>
    <xf numFmtId="167" fontId="65" fillId="62" borderId="17" xfId="0" applyNumberFormat="1" applyFont="1" applyFill="1" applyBorder="1" applyAlignment="1">
      <alignment horizontal="center" vertical="center"/>
    </xf>
    <xf numFmtId="0" fontId="89" fillId="62" borderId="0" xfId="0" applyFont="1" applyFill="1" applyAlignment="1">
      <alignment vertical="center"/>
    </xf>
    <xf numFmtId="167" fontId="6" fillId="61" borderId="15" xfId="0" applyNumberFormat="1" applyFont="1" applyFill="1" applyBorder="1" applyAlignment="1">
      <alignment horizontal="center" vertical="center"/>
    </xf>
    <xf numFmtId="165" fontId="6" fillId="4" borderId="17" xfId="0" applyNumberFormat="1" applyFont="1" applyFill="1" applyBorder="1" applyAlignment="1">
      <alignment horizontal="center" vertical="center"/>
    </xf>
    <xf numFmtId="167" fontId="93" fillId="61" borderId="17" xfId="0" applyNumberFormat="1" applyFont="1" applyFill="1" applyBorder="1" applyAlignment="1">
      <alignment horizontal="center" vertical="center"/>
    </xf>
    <xf numFmtId="0" fontId="130" fillId="0" borderId="0" xfId="0" applyFont="1"/>
    <xf numFmtId="0" fontId="133" fillId="56" borderId="21" xfId="0" applyFont="1" applyFill="1" applyBorder="1" applyAlignment="1">
      <alignment horizontal="center" vertical="center"/>
    </xf>
    <xf numFmtId="0" fontId="130" fillId="56" borderId="17" xfId="0" applyFont="1" applyFill="1" applyBorder="1" applyAlignment="1">
      <alignment horizontal="center" vertical="center"/>
    </xf>
    <xf numFmtId="164" fontId="130" fillId="56" borderId="17" xfId="0" applyNumberFormat="1" applyFont="1" applyFill="1" applyBorder="1" applyAlignment="1">
      <alignment horizontal="center" vertical="center"/>
    </xf>
    <xf numFmtId="165" fontId="130" fillId="56" borderId="17" xfId="0" applyNumberFormat="1" applyFont="1" applyFill="1" applyBorder="1" applyAlignment="1">
      <alignment horizontal="center" vertical="center"/>
    </xf>
    <xf numFmtId="165" fontId="133" fillId="56" borderId="17" xfId="0" applyNumberFormat="1" applyFont="1" applyFill="1" applyBorder="1" applyAlignment="1">
      <alignment horizontal="center" vertical="center"/>
    </xf>
    <xf numFmtId="167" fontId="130" fillId="56" borderId="17" xfId="0" applyNumberFormat="1" applyFont="1" applyFill="1" applyBorder="1" applyAlignment="1">
      <alignment horizontal="center" vertical="center"/>
    </xf>
    <xf numFmtId="0" fontId="133" fillId="56" borderId="17" xfId="0" applyFont="1" applyFill="1" applyBorder="1" applyAlignment="1">
      <alignment vertical="center"/>
    </xf>
    <xf numFmtId="167" fontId="93" fillId="0" borderId="17" xfId="0" applyNumberFormat="1" applyFont="1" applyBorder="1" applyAlignment="1">
      <alignment horizontal="center" vertical="center"/>
    </xf>
    <xf numFmtId="167" fontId="130" fillId="0" borderId="17" xfId="0" applyNumberFormat="1" applyFont="1" applyFill="1" applyBorder="1" applyAlignment="1">
      <alignment horizontal="center" vertical="center"/>
    </xf>
    <xf numFmtId="0" fontId="130" fillId="0" borderId="0" xfId="0" applyFont="1" applyFill="1"/>
    <xf numFmtId="0" fontId="107" fillId="0" borderId="17" xfId="0" applyFont="1" applyBorder="1" applyAlignment="1">
      <alignment horizontal="center" vertical="center"/>
    </xf>
    <xf numFmtId="0" fontId="63" fillId="0" borderId="17" xfId="0" applyFont="1" applyBorder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59" fillId="0" borderId="0" xfId="0" applyFont="1" applyAlignment="1">
      <alignment horizontal="center" vertical="center"/>
    </xf>
    <xf numFmtId="0" fontId="125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167" fontId="130" fillId="61" borderId="17" xfId="0" applyNumberFormat="1" applyFont="1" applyFill="1" applyBorder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18" fillId="0" borderId="0" xfId="0" applyFont="1" applyBorder="1" applyAlignment="1">
      <alignment horizontal="center" vertical="center"/>
    </xf>
    <xf numFmtId="0" fontId="97" fillId="0" borderId="0" xfId="0" applyFont="1" applyBorder="1" applyAlignment="1">
      <alignment vertical="center"/>
    </xf>
    <xf numFmtId="0" fontId="97" fillId="0" borderId="0" xfId="0" applyFont="1" applyBorder="1"/>
    <xf numFmtId="0" fontId="97" fillId="0" borderId="0" xfId="0" applyFont="1" applyBorder="1" applyAlignment="1">
      <alignment horizontal="center"/>
    </xf>
    <xf numFmtId="0" fontId="97" fillId="0" borderId="0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 vertical="center"/>
    </xf>
    <xf numFmtId="0" fontId="118" fillId="63" borderId="16" xfId="0" applyFont="1" applyFill="1" applyBorder="1" applyAlignment="1">
      <alignment vertical="center"/>
    </xf>
    <xf numFmtId="166" fontId="77" fillId="35" borderId="16" xfId="0" applyNumberFormat="1" applyFont="1" applyFill="1" applyBorder="1" applyAlignment="1">
      <alignment horizontal="center" vertical="center"/>
    </xf>
    <xf numFmtId="164" fontId="104" fillId="46" borderId="16" xfId="0" applyNumberFormat="1" applyFont="1" applyFill="1" applyBorder="1" applyAlignment="1">
      <alignment horizontal="center" vertical="center"/>
    </xf>
    <xf numFmtId="4" fontId="115" fillId="55" borderId="16" xfId="0" applyNumberFormat="1" applyFont="1" applyFill="1" applyBorder="1" applyAlignment="1">
      <alignment horizontal="center" vertical="center"/>
    </xf>
    <xf numFmtId="4" fontId="7" fillId="5" borderId="2" xfId="0" applyNumberFormat="1" applyFont="1" applyFill="1" applyBorder="1" applyAlignment="1">
      <alignment horizontal="center" vertical="center"/>
    </xf>
    <xf numFmtId="165" fontId="19" fillId="11" borderId="17" xfId="0" applyNumberFormat="1" applyFont="1" applyFill="1" applyBorder="1" applyAlignment="1">
      <alignment vertical="center"/>
    </xf>
    <xf numFmtId="0" fontId="109" fillId="49" borderId="10" xfId="0" applyFont="1" applyFill="1" applyBorder="1" applyAlignment="1">
      <alignment vertical="center"/>
    </xf>
    <xf numFmtId="0" fontId="124" fillId="59" borderId="20" xfId="0" applyFont="1" applyFill="1" applyBorder="1" applyAlignment="1">
      <alignment vertical="center"/>
    </xf>
    <xf numFmtId="164" fontId="94" fillId="44" borderId="20" xfId="0" applyNumberFormat="1" applyFont="1" applyFill="1" applyBorder="1" applyAlignment="1">
      <alignment horizontal="center" vertical="center"/>
    </xf>
    <xf numFmtId="4" fontId="114" fillId="54" borderId="20" xfId="0" applyNumberFormat="1" applyFont="1" applyFill="1" applyBorder="1" applyAlignment="1">
      <alignment horizontal="center" vertical="center"/>
    </xf>
    <xf numFmtId="165" fontId="87" fillId="41" borderId="19" xfId="0" applyNumberFormat="1" applyFont="1" applyFill="1" applyBorder="1" applyAlignment="1">
      <alignment horizontal="right" vertical="center"/>
    </xf>
    <xf numFmtId="167" fontId="117" fillId="0" borderId="17" xfId="0" applyNumberFormat="1" applyFont="1" applyBorder="1" applyAlignment="1">
      <alignment horizontal="center" vertical="center"/>
    </xf>
    <xf numFmtId="167" fontId="11" fillId="61" borderId="15" xfId="0" applyNumberFormat="1" applyFont="1" applyFill="1" applyBorder="1" applyAlignment="1">
      <alignment horizontal="center" vertical="center"/>
    </xf>
    <xf numFmtId="167" fontId="11" fillId="0" borderId="15" xfId="0" applyNumberFormat="1" applyFont="1" applyBorder="1" applyAlignment="1">
      <alignment horizontal="center" vertical="center"/>
    </xf>
    <xf numFmtId="167" fontId="27" fillId="0" borderId="17" xfId="0" applyNumberFormat="1" applyFont="1" applyFill="1" applyBorder="1" applyAlignment="1">
      <alignment horizontal="center" vertical="center"/>
    </xf>
    <xf numFmtId="167" fontId="99" fillId="0" borderId="15" xfId="0" applyNumberFormat="1" applyFont="1" applyFill="1" applyBorder="1" applyAlignment="1">
      <alignment horizontal="center" vertical="center"/>
    </xf>
    <xf numFmtId="167" fontId="27" fillId="13" borderId="17" xfId="0" applyNumberFormat="1" applyFont="1" applyFill="1" applyBorder="1" applyAlignment="1">
      <alignment horizontal="center" vertical="center"/>
    </xf>
    <xf numFmtId="0" fontId="52" fillId="24" borderId="21" xfId="0" applyFont="1" applyFill="1" applyBorder="1" applyAlignment="1">
      <alignment horizontal="center" vertical="center"/>
    </xf>
    <xf numFmtId="0" fontId="106" fillId="47" borderId="17" xfId="0" applyFont="1" applyFill="1" applyBorder="1" applyAlignment="1">
      <alignment vertical="center"/>
    </xf>
    <xf numFmtId="166" fontId="110" fillId="50" borderId="17" xfId="0" applyNumberFormat="1" applyFont="1" applyFill="1" applyBorder="1" applyAlignment="1">
      <alignment horizontal="center" vertical="center"/>
    </xf>
    <xf numFmtId="2" fontId="40" fillId="20" borderId="17" xfId="0" applyNumberFormat="1" applyFont="1" applyFill="1" applyBorder="1" applyAlignment="1">
      <alignment horizontal="center" vertical="center"/>
    </xf>
    <xf numFmtId="0" fontId="71" fillId="33" borderId="17" xfId="0" applyFont="1" applyFill="1" applyBorder="1" applyAlignment="1">
      <alignment horizontal="center" vertical="center"/>
    </xf>
    <xf numFmtId="165" fontId="15" fillId="8" borderId="17" xfId="0" applyNumberFormat="1" applyFont="1" applyFill="1" applyBorder="1" applyAlignment="1">
      <alignment horizontal="center" vertical="center"/>
    </xf>
    <xf numFmtId="165" fontId="81" fillId="39" borderId="17" xfId="0" applyNumberFormat="1" applyFont="1" applyFill="1" applyBorder="1" applyAlignment="1">
      <alignment horizontal="center" vertical="center"/>
    </xf>
    <xf numFmtId="165" fontId="15" fillId="8" borderId="15" xfId="0" applyNumberFormat="1" applyFont="1" applyFill="1" applyBorder="1" applyAlignment="1">
      <alignment horizontal="center" vertical="center"/>
    </xf>
    <xf numFmtId="0" fontId="133" fillId="24" borderId="21" xfId="0" applyFont="1" applyFill="1" applyBorder="1" applyAlignment="1">
      <alignment horizontal="center" vertical="center"/>
    </xf>
    <xf numFmtId="167" fontId="6" fillId="0" borderId="15" xfId="0" applyNumberFormat="1" applyFont="1" applyBorder="1" applyAlignment="1">
      <alignment horizontal="center" vertical="center"/>
    </xf>
    <xf numFmtId="0" fontId="133" fillId="47" borderId="17" xfId="0" applyFont="1" applyFill="1" applyBorder="1" applyAlignment="1">
      <alignment vertical="center"/>
    </xf>
    <xf numFmtId="0" fontId="2" fillId="24" borderId="21" xfId="0" applyFont="1" applyFill="1" applyBorder="1" applyAlignment="1">
      <alignment horizontal="center" vertical="center"/>
    </xf>
    <xf numFmtId="167" fontId="99" fillId="61" borderId="17" xfId="0" applyNumberFormat="1" applyFont="1" applyFill="1" applyBorder="1" applyAlignment="1">
      <alignment horizontal="center" vertical="center"/>
    </xf>
    <xf numFmtId="167" fontId="93" fillId="0" borderId="17" xfId="0" applyNumberFormat="1" applyFont="1" applyFill="1" applyBorder="1" applyAlignment="1">
      <alignment horizontal="center" vertical="center"/>
    </xf>
    <xf numFmtId="0" fontId="78" fillId="36" borderId="17" xfId="0" applyFont="1" applyFill="1" applyBorder="1" applyAlignment="1">
      <alignment vertical="center"/>
    </xf>
    <xf numFmtId="164" fontId="80" fillId="38" borderId="17" xfId="0" applyNumberFormat="1" applyFont="1" applyFill="1" applyBorder="1" applyAlignment="1">
      <alignment horizontal="center" vertical="center"/>
    </xf>
    <xf numFmtId="165" fontId="36" fillId="18" borderId="17" xfId="0" applyNumberFormat="1" applyFont="1" applyFill="1" applyBorder="1" applyAlignment="1">
      <alignment horizontal="center" vertical="center"/>
    </xf>
    <xf numFmtId="167" fontId="29" fillId="14" borderId="17" xfId="0" applyNumberFormat="1" applyFont="1" applyFill="1" applyBorder="1" applyAlignment="1">
      <alignment horizontal="center" vertical="center"/>
    </xf>
    <xf numFmtId="167" fontId="65" fillId="28" borderId="17" xfId="0" applyNumberFormat="1" applyFont="1" applyFill="1" applyBorder="1" applyAlignment="1">
      <alignment horizontal="center" vertical="center"/>
    </xf>
    <xf numFmtId="167" fontId="11" fillId="61" borderId="17" xfId="0" applyNumberFormat="1" applyFont="1" applyFill="1" applyBorder="1" applyAlignment="1">
      <alignment horizontal="center" vertical="center"/>
    </xf>
    <xf numFmtId="167" fontId="93" fillId="0" borderId="15" xfId="0" applyNumberFormat="1" applyFont="1" applyFill="1" applyBorder="1" applyAlignment="1">
      <alignment horizontal="center" vertical="center"/>
    </xf>
    <xf numFmtId="0" fontId="64" fillId="27" borderId="17" xfId="0" applyFont="1" applyFill="1" applyBorder="1" applyAlignment="1">
      <alignment vertical="center"/>
    </xf>
    <xf numFmtId="0" fontId="106" fillId="47" borderId="17" xfId="0" applyFont="1" applyFill="1" applyBorder="1" applyAlignment="1">
      <alignment horizontal="center" vertical="center"/>
    </xf>
    <xf numFmtId="164" fontId="30" fillId="15" borderId="17" xfId="0" applyNumberFormat="1" applyFont="1" applyFill="1" applyBorder="1" applyAlignment="1">
      <alignment horizontal="center" vertical="center"/>
    </xf>
    <xf numFmtId="167" fontId="79" fillId="37" borderId="17" xfId="0" applyNumberFormat="1" applyFont="1" applyFill="1" applyBorder="1" applyAlignment="1">
      <alignment horizontal="center" vertical="center"/>
    </xf>
    <xf numFmtId="167" fontId="120" fillId="56" borderId="17" xfId="0" applyNumberFormat="1" applyFont="1" applyFill="1" applyBorder="1" applyAlignment="1">
      <alignment horizontal="center" vertical="center"/>
    </xf>
    <xf numFmtId="165" fontId="66" fillId="29" borderId="17" xfId="0" applyNumberFormat="1" applyFont="1" applyFill="1" applyBorder="1" applyAlignment="1">
      <alignment horizontal="center" vertical="center"/>
    </xf>
    <xf numFmtId="165" fontId="66" fillId="29" borderId="15" xfId="0" applyNumberFormat="1" applyFont="1" applyFill="1" applyBorder="1" applyAlignment="1">
      <alignment horizontal="center" vertical="center"/>
    </xf>
    <xf numFmtId="167" fontId="130" fillId="56" borderId="15" xfId="0" applyNumberFormat="1" applyFont="1" applyFill="1" applyBorder="1" applyAlignment="1">
      <alignment horizontal="center" vertical="center"/>
    </xf>
    <xf numFmtId="167" fontId="130" fillId="0" borderId="15" xfId="0" applyNumberFormat="1" applyFont="1" applyFill="1" applyBorder="1" applyAlignment="1">
      <alignment horizontal="center" vertical="center"/>
    </xf>
    <xf numFmtId="0" fontId="22" fillId="12" borderId="12" xfId="0" applyFont="1" applyFill="1" applyBorder="1" applyAlignment="1">
      <alignment vertical="center"/>
    </xf>
    <xf numFmtId="0" fontId="22" fillId="12" borderId="12" xfId="0" applyFont="1" applyFill="1" applyBorder="1" applyAlignment="1">
      <alignment horizontal="left" vertical="center"/>
    </xf>
    <xf numFmtId="0" fontId="22" fillId="12" borderId="12" xfId="0" applyFont="1" applyFill="1" applyBorder="1" applyAlignment="1">
      <alignment horizontal="center" vertical="center"/>
    </xf>
    <xf numFmtId="0" fontId="39" fillId="19" borderId="12" xfId="0" applyFont="1" applyFill="1" applyBorder="1" applyAlignment="1">
      <alignment horizontal="center" vertical="center"/>
    </xf>
    <xf numFmtId="0" fontId="14" fillId="7" borderId="11" xfId="0" applyFont="1" applyFill="1" applyBorder="1" applyAlignment="1">
      <alignment horizontal="left" vertical="center"/>
    </xf>
    <xf numFmtId="0" fontId="16" fillId="9" borderId="16" xfId="0" applyFont="1" applyFill="1" applyBorder="1" applyAlignment="1">
      <alignment vertical="center"/>
    </xf>
    <xf numFmtId="0" fontId="70" fillId="63" borderId="16" xfId="0" applyFont="1" applyFill="1" applyBorder="1" applyAlignment="1">
      <alignment horizontal="center" vertical="center" wrapText="1"/>
    </xf>
    <xf numFmtId="0" fontId="70" fillId="32" borderId="16" xfId="0" applyFont="1" applyFill="1" applyBorder="1" applyAlignment="1">
      <alignment horizontal="center" vertical="center" wrapText="1"/>
    </xf>
    <xf numFmtId="167" fontId="89" fillId="0" borderId="0" xfId="0" applyNumberFormat="1" applyFont="1"/>
    <xf numFmtId="167" fontId="6" fillId="61" borderId="17" xfId="0" applyNumberFormat="1" applyFont="1" applyFill="1" applyBorder="1" applyAlignment="1">
      <alignment horizontal="center" vertical="center"/>
    </xf>
    <xf numFmtId="167" fontId="27" fillId="61" borderId="17" xfId="0" applyNumberFormat="1" applyFont="1" applyFill="1" applyBorder="1" applyAlignment="1">
      <alignment horizontal="center" vertical="center"/>
    </xf>
    <xf numFmtId="165" fontId="89" fillId="0" borderId="0" xfId="0" applyNumberFormat="1" applyFont="1"/>
    <xf numFmtId="0" fontId="1" fillId="0" borderId="0" xfId="0" applyFont="1" applyAlignment="1">
      <alignment vertical="center" wrapText="1"/>
    </xf>
    <xf numFmtId="0" fontId="2" fillId="47" borderId="17" xfId="0" applyFont="1" applyFill="1" applyBorder="1" applyAlignment="1">
      <alignment vertical="center"/>
    </xf>
    <xf numFmtId="0" fontId="2" fillId="56" borderId="21" xfId="0" applyFont="1" applyFill="1" applyBorder="1" applyAlignment="1">
      <alignment horizontal="center" vertical="center"/>
    </xf>
    <xf numFmtId="0" fontId="2" fillId="56" borderId="17" xfId="0" applyFont="1" applyFill="1" applyBorder="1" applyAlignment="1">
      <alignment vertical="center"/>
    </xf>
    <xf numFmtId="0" fontId="6" fillId="56" borderId="17" xfId="0" applyFont="1" applyFill="1" applyBorder="1" applyAlignment="1">
      <alignment horizontal="center" vertical="center"/>
    </xf>
    <xf numFmtId="165" fontId="2" fillId="56" borderId="17" xfId="0" applyNumberFormat="1" applyFont="1" applyFill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167" fontId="6" fillId="0" borderId="17" xfId="0" applyNumberFormat="1" applyFont="1" applyBorder="1" applyAlignment="1">
      <alignment vertical="center"/>
    </xf>
    <xf numFmtId="166" fontId="6" fillId="56" borderId="17" xfId="0" applyNumberFormat="1" applyFont="1" applyFill="1" applyBorder="1" applyAlignment="1">
      <alignment horizontal="center" vertical="center"/>
    </xf>
    <xf numFmtId="2" fontId="6" fillId="56" borderId="17" xfId="0" applyNumberFormat="1" applyFont="1" applyFill="1" applyBorder="1" applyAlignment="1">
      <alignment horizontal="center" vertical="center"/>
    </xf>
    <xf numFmtId="165" fontId="2" fillId="56" borderId="17" xfId="0" applyNumberFormat="1" applyFont="1" applyFill="1" applyBorder="1" applyAlignment="1">
      <alignment vertical="center"/>
    </xf>
    <xf numFmtId="165" fontId="2" fillId="56" borderId="15" xfId="0" applyNumberFormat="1" applyFont="1" applyFill="1" applyBorder="1" applyAlignment="1">
      <alignment horizontal="center" vertical="center"/>
    </xf>
    <xf numFmtId="167" fontId="6" fillId="48" borderId="17" xfId="0" applyNumberFormat="1" applyFont="1" applyFill="1" applyBorder="1" applyAlignment="1">
      <alignment vertical="center"/>
    </xf>
    <xf numFmtId="167" fontId="6" fillId="0" borderId="17" xfId="0" applyNumberFormat="1" applyFont="1" applyBorder="1" applyAlignment="1">
      <alignment horizontal="center"/>
    </xf>
    <xf numFmtId="0" fontId="137" fillId="57" borderId="17" xfId="0" applyFont="1" applyFill="1" applyBorder="1" applyAlignment="1">
      <alignment horizontal="center" vertical="center"/>
    </xf>
    <xf numFmtId="164" fontId="137" fillId="57" borderId="17" xfId="0" applyNumberFormat="1" applyFont="1" applyFill="1" applyBorder="1" applyAlignment="1">
      <alignment horizontal="center" vertical="center"/>
    </xf>
    <xf numFmtId="165" fontId="137" fillId="57" borderId="17" xfId="0" applyNumberFormat="1" applyFont="1" applyFill="1" applyBorder="1" applyAlignment="1">
      <alignment horizontal="center" vertical="center"/>
    </xf>
    <xf numFmtId="167" fontId="137" fillId="57" borderId="17" xfId="0" applyNumberFormat="1" applyFont="1" applyFill="1" applyBorder="1" applyAlignment="1">
      <alignment horizontal="center" vertical="center"/>
    </xf>
    <xf numFmtId="167" fontId="137" fillId="57" borderId="15" xfId="0" applyNumberFormat="1" applyFont="1" applyFill="1" applyBorder="1" applyAlignment="1">
      <alignment horizontal="center" vertical="center"/>
    </xf>
    <xf numFmtId="0" fontId="137" fillId="0" borderId="0" xfId="0" applyFont="1"/>
    <xf numFmtId="165" fontId="135" fillId="0" borderId="17" xfId="0" applyNumberFormat="1" applyFont="1" applyFill="1" applyBorder="1" applyAlignment="1">
      <alignment horizontal="center" vertical="center"/>
    </xf>
    <xf numFmtId="167" fontId="6" fillId="0" borderId="0" xfId="0" applyNumberFormat="1" applyFont="1" applyBorder="1" applyAlignment="1">
      <alignment horizontal="center" vertical="center"/>
    </xf>
    <xf numFmtId="0" fontId="2" fillId="63" borderId="11" xfId="0" applyFont="1" applyFill="1" applyBorder="1" applyAlignment="1">
      <alignment vertical="center"/>
    </xf>
    <xf numFmtId="165" fontId="131" fillId="0" borderId="17" xfId="0" applyNumberFormat="1" applyFont="1" applyBorder="1" applyAlignment="1">
      <alignment horizontal="center" vertical="center"/>
    </xf>
    <xf numFmtId="167" fontId="11" fillId="0" borderId="15" xfId="0" applyNumberFormat="1" applyFont="1" applyFill="1" applyBorder="1" applyAlignment="1">
      <alignment horizontal="center" vertical="center"/>
    </xf>
    <xf numFmtId="0" fontId="6" fillId="0" borderId="17" xfId="0" applyFont="1" applyFill="1" applyBorder="1"/>
    <xf numFmtId="0" fontId="89" fillId="0" borderId="0" xfId="0" applyFont="1" applyBorder="1"/>
    <xf numFmtId="0" fontId="6" fillId="0" borderId="0" xfId="0" applyFont="1" applyBorder="1"/>
    <xf numFmtId="0" fontId="134" fillId="0" borderId="0" xfId="0" applyFont="1" applyBorder="1"/>
    <xf numFmtId="0" fontId="130" fillId="0" borderId="0" xfId="0" applyFont="1" applyBorder="1"/>
    <xf numFmtId="0" fontId="134" fillId="0" borderId="0" xfId="0" applyFont="1" applyFill="1" applyBorder="1"/>
    <xf numFmtId="0" fontId="130" fillId="0" borderId="0" xfId="0" applyFont="1" applyFill="1" applyBorder="1"/>
    <xf numFmtId="0" fontId="9" fillId="0" borderId="0" xfId="0" applyFont="1" applyBorder="1"/>
    <xf numFmtId="165" fontId="2" fillId="56" borderId="0" xfId="0" applyNumberFormat="1" applyFont="1" applyFill="1" applyBorder="1" applyAlignment="1">
      <alignment horizontal="center" vertical="center"/>
    </xf>
    <xf numFmtId="167" fontId="6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4" fillId="2" borderId="6" xfId="0" applyFont="1" applyFill="1" applyBorder="1" applyAlignment="1">
      <alignment horizontal="left" vertical="center"/>
    </xf>
    <xf numFmtId="0" fontId="111" fillId="51" borderId="23" xfId="0" applyFont="1" applyFill="1" applyBorder="1" applyAlignment="1">
      <alignment vertical="center"/>
    </xf>
    <xf numFmtId="166" fontId="68" fillId="30" borderId="24" xfId="0" applyNumberFormat="1" applyFont="1" applyFill="1" applyBorder="1" applyAlignment="1">
      <alignment horizontal="center" vertical="center"/>
    </xf>
    <xf numFmtId="0" fontId="55" fillId="26" borderId="24" xfId="0" applyFont="1" applyFill="1" applyBorder="1" applyAlignment="1">
      <alignment horizontal="center" vertical="center"/>
    </xf>
    <xf numFmtId="4" fontId="5" fillId="3" borderId="24" xfId="0" applyNumberFormat="1" applyFont="1" applyFill="1" applyBorder="1" applyAlignment="1">
      <alignment horizontal="center" vertical="center" wrapText="1"/>
    </xf>
    <xf numFmtId="166" fontId="48" fillId="22" borderId="26" xfId="0" applyNumberFormat="1" applyFont="1" applyFill="1" applyBorder="1" applyAlignment="1">
      <alignment horizontal="center" vertical="center"/>
    </xf>
    <xf numFmtId="164" fontId="17" fillId="10" borderId="26" xfId="0" applyNumberFormat="1" applyFont="1" applyFill="1" applyBorder="1" applyAlignment="1">
      <alignment horizontal="center" vertical="center"/>
    </xf>
    <xf numFmtId="4" fontId="35" fillId="17" borderId="26" xfId="0" applyNumberFormat="1" applyFont="1" applyFill="1" applyBorder="1" applyAlignment="1">
      <alignment horizontal="center" vertical="center"/>
    </xf>
    <xf numFmtId="4" fontId="42" fillId="21" borderId="27" xfId="0" applyNumberFormat="1" applyFont="1" applyFill="1" applyBorder="1" applyAlignment="1">
      <alignment horizontal="center" vertical="center"/>
    </xf>
    <xf numFmtId="0" fontId="89" fillId="0" borderId="17" xfId="0" applyFont="1" applyBorder="1"/>
    <xf numFmtId="167" fontId="131" fillId="0" borderId="17" xfId="0" applyNumberFormat="1" applyFont="1" applyBorder="1" applyAlignment="1">
      <alignment horizontal="center" vertical="center"/>
    </xf>
    <xf numFmtId="167" fontId="131" fillId="48" borderId="17" xfId="0" applyNumberFormat="1" applyFont="1" applyFill="1" applyBorder="1" applyAlignment="1">
      <alignment horizontal="center" vertical="center"/>
    </xf>
    <xf numFmtId="0" fontId="131" fillId="0" borderId="21" xfId="0" applyFont="1" applyBorder="1" applyAlignment="1">
      <alignment horizontal="center" vertical="center"/>
    </xf>
    <xf numFmtId="0" fontId="6" fillId="0" borderId="15" xfId="0" applyFont="1" applyBorder="1"/>
    <xf numFmtId="0" fontId="6" fillId="0" borderId="15" xfId="0" applyFont="1" applyFill="1" applyBorder="1"/>
    <xf numFmtId="165" fontId="6" fillId="4" borderId="15" xfId="0" applyNumberFormat="1" applyFont="1" applyFill="1" applyBorder="1" applyAlignment="1">
      <alignment horizontal="center" vertical="center"/>
    </xf>
    <xf numFmtId="165" fontId="19" fillId="11" borderId="15" xfId="0" applyNumberFormat="1" applyFont="1" applyFill="1" applyBorder="1" applyAlignment="1">
      <alignment vertical="center"/>
    </xf>
    <xf numFmtId="165" fontId="87" fillId="41" borderId="13" xfId="0" applyNumberFormat="1" applyFont="1" applyFill="1" applyBorder="1" applyAlignment="1">
      <alignment horizontal="right" vertical="center"/>
    </xf>
    <xf numFmtId="0" fontId="14" fillId="63" borderId="16" xfId="0" applyFont="1" applyFill="1" applyBorder="1" applyAlignment="1">
      <alignment vertical="center" wrapText="1"/>
    </xf>
    <xf numFmtId="0" fontId="2" fillId="64" borderId="21" xfId="0" applyFont="1" applyFill="1" applyBorder="1" applyAlignment="1">
      <alignment horizontal="center" vertical="center"/>
    </xf>
    <xf numFmtId="0" fontId="71" fillId="64" borderId="17" xfId="0" applyFont="1" applyFill="1" applyBorder="1" applyAlignment="1">
      <alignment horizontal="center" vertical="center"/>
    </xf>
    <xf numFmtId="165" fontId="36" fillId="64" borderId="17" xfId="0" applyNumberFormat="1" applyFont="1" applyFill="1" applyBorder="1" applyAlignment="1">
      <alignment horizontal="center" vertical="center"/>
    </xf>
    <xf numFmtId="0" fontId="6" fillId="62" borderId="21" xfId="0" applyFont="1" applyFill="1" applyBorder="1" applyAlignment="1">
      <alignment horizontal="center" vertical="center"/>
    </xf>
    <xf numFmtId="0" fontId="6" fillId="62" borderId="17" xfId="0" applyFont="1" applyFill="1" applyBorder="1" applyAlignment="1">
      <alignment vertical="center" wrapText="1"/>
    </xf>
    <xf numFmtId="0" fontId="6" fillId="62" borderId="17" xfId="0" applyFont="1" applyFill="1" applyBorder="1" applyAlignment="1">
      <alignment horizontal="center" vertical="center"/>
    </xf>
    <xf numFmtId="165" fontId="6" fillId="62" borderId="17" xfId="0" applyNumberFormat="1" applyFont="1" applyFill="1" applyBorder="1" applyAlignment="1">
      <alignment horizontal="center" vertical="center"/>
    </xf>
    <xf numFmtId="165" fontId="58" fillId="62" borderId="17" xfId="0" applyNumberFormat="1" applyFont="1" applyFill="1" applyBorder="1" applyAlignment="1">
      <alignment horizontal="center" vertical="center"/>
    </xf>
    <xf numFmtId="0" fontId="140" fillId="62" borderId="17" xfId="0" applyFont="1" applyFill="1" applyBorder="1" applyAlignment="1">
      <alignment vertical="center" wrapText="1"/>
    </xf>
    <xf numFmtId="0" fontId="140" fillId="62" borderId="17" xfId="0" applyFont="1" applyFill="1" applyBorder="1" applyAlignment="1">
      <alignment horizontal="center" vertical="center"/>
    </xf>
    <xf numFmtId="165" fontId="140" fillId="62" borderId="17" xfId="0" applyNumberFormat="1" applyFont="1" applyFill="1" applyBorder="1" applyAlignment="1">
      <alignment horizontal="center" vertical="center"/>
    </xf>
    <xf numFmtId="164" fontId="140" fillId="62" borderId="17" xfId="0" applyNumberFormat="1" applyFont="1" applyFill="1" applyBorder="1" applyAlignment="1">
      <alignment horizontal="center" vertical="center"/>
    </xf>
    <xf numFmtId="0" fontId="131" fillId="62" borderId="17" xfId="0" applyFont="1" applyFill="1" applyBorder="1" applyAlignment="1">
      <alignment horizontal="center" vertical="center"/>
    </xf>
    <xf numFmtId="164" fontId="6" fillId="62" borderId="17" xfId="0" applyNumberFormat="1" applyFont="1" applyFill="1" applyBorder="1" applyAlignment="1">
      <alignment horizontal="center" vertical="center"/>
    </xf>
    <xf numFmtId="0" fontId="83" fillId="62" borderId="17" xfId="0" applyFont="1" applyFill="1" applyBorder="1" applyAlignment="1">
      <alignment vertical="center" wrapText="1"/>
    </xf>
    <xf numFmtId="2" fontId="85" fillId="62" borderId="17" xfId="0" applyNumberFormat="1" applyFont="1" applyFill="1" applyBorder="1" applyAlignment="1">
      <alignment horizontal="center" vertical="center"/>
    </xf>
    <xf numFmtId="0" fontId="131" fillId="62" borderId="17" xfId="0" applyFont="1" applyFill="1" applyBorder="1" applyAlignment="1">
      <alignment vertical="center" wrapText="1"/>
    </xf>
    <xf numFmtId="165" fontId="131" fillId="62" borderId="17" xfId="0" applyNumberFormat="1" applyFont="1" applyFill="1" applyBorder="1" applyAlignment="1">
      <alignment horizontal="center" vertical="center"/>
    </xf>
    <xf numFmtId="0" fontId="131" fillId="62" borderId="21" xfId="0" applyFont="1" applyFill="1" applyBorder="1" applyAlignment="1">
      <alignment horizontal="center" vertical="center"/>
    </xf>
    <xf numFmtId="0" fontId="21" fillId="62" borderId="17" xfId="0" applyFont="1" applyFill="1" applyBorder="1" applyAlignment="1">
      <alignment vertical="center" wrapText="1"/>
    </xf>
    <xf numFmtId="0" fontId="123" fillId="62" borderId="17" xfId="0" applyFont="1" applyFill="1" applyBorder="1" applyAlignment="1">
      <alignment horizontal="center" vertical="center"/>
    </xf>
    <xf numFmtId="0" fontId="116" fillId="62" borderId="17" xfId="0" applyFont="1" applyFill="1" applyBorder="1" applyAlignment="1">
      <alignment vertical="center" wrapText="1"/>
    </xf>
    <xf numFmtId="164" fontId="60" fillId="62" borderId="17" xfId="0" applyNumberFormat="1" applyFont="1" applyFill="1" applyBorder="1" applyAlignment="1">
      <alignment horizontal="center" vertical="center"/>
    </xf>
    <xf numFmtId="164" fontId="131" fillId="62" borderId="17" xfId="0" applyNumberFormat="1" applyFont="1" applyFill="1" applyBorder="1" applyAlignment="1">
      <alignment horizontal="center" vertical="center"/>
    </xf>
    <xf numFmtId="2" fontId="131" fillId="62" borderId="17" xfId="0" applyNumberFormat="1" applyFont="1" applyFill="1" applyBorder="1" applyAlignment="1">
      <alignment horizontal="center" vertical="center"/>
    </xf>
    <xf numFmtId="0" fontId="127" fillId="62" borderId="21" xfId="0" applyFont="1" applyFill="1" applyBorder="1" applyAlignment="1">
      <alignment horizontal="center" vertical="center"/>
    </xf>
    <xf numFmtId="164" fontId="130" fillId="62" borderId="17" xfId="0" applyNumberFormat="1" applyFont="1" applyFill="1" applyBorder="1" applyAlignment="1">
      <alignment horizontal="center" vertical="center"/>
    </xf>
    <xf numFmtId="0" fontId="130" fillId="62" borderId="17" xfId="0" applyFont="1" applyFill="1" applyBorder="1" applyAlignment="1">
      <alignment vertical="center" wrapText="1"/>
    </xf>
    <xf numFmtId="0" fontId="132" fillId="62" borderId="17" xfId="0" applyFont="1" applyFill="1" applyBorder="1" applyAlignment="1">
      <alignment vertical="center"/>
    </xf>
    <xf numFmtId="2" fontId="123" fillId="62" borderId="17" xfId="0" applyNumberFormat="1" applyFont="1" applyFill="1" applyBorder="1" applyAlignment="1">
      <alignment horizontal="center" vertical="center"/>
    </xf>
    <xf numFmtId="0" fontId="140" fillId="62" borderId="21" xfId="0" applyFont="1" applyFill="1" applyBorder="1" applyAlignment="1">
      <alignment horizontal="center" vertical="center"/>
    </xf>
    <xf numFmtId="0" fontId="130" fillId="62" borderId="17" xfId="0" applyFont="1" applyFill="1" applyBorder="1" applyAlignment="1">
      <alignment vertical="center"/>
    </xf>
    <xf numFmtId="0" fontId="130" fillId="62" borderId="17" xfId="0" applyFont="1" applyFill="1" applyBorder="1" applyAlignment="1">
      <alignment horizontal="center" vertical="center"/>
    </xf>
    <xf numFmtId="0" fontId="57" fillId="62" borderId="17" xfId="0" applyFont="1" applyFill="1" applyBorder="1" applyAlignment="1">
      <alignment vertical="center"/>
    </xf>
    <xf numFmtId="0" fontId="131" fillId="62" borderId="17" xfId="0" applyFont="1" applyFill="1" applyBorder="1" applyAlignment="1">
      <alignment vertical="center"/>
    </xf>
    <xf numFmtId="0" fontId="24" fillId="62" borderId="17" xfId="0" applyFont="1" applyFill="1" applyBorder="1" applyAlignment="1">
      <alignment vertical="center" wrapText="1"/>
    </xf>
    <xf numFmtId="0" fontId="103" fillId="62" borderId="17" xfId="0" applyFont="1" applyFill="1" applyBorder="1" applyAlignment="1">
      <alignment vertical="center" wrapText="1"/>
    </xf>
    <xf numFmtId="0" fontId="20" fillId="62" borderId="17" xfId="0" applyFont="1" applyFill="1" applyBorder="1" applyAlignment="1">
      <alignment vertical="center"/>
    </xf>
    <xf numFmtId="0" fontId="6" fillId="62" borderId="17" xfId="0" applyFont="1" applyFill="1" applyBorder="1" applyAlignment="1">
      <alignment vertical="center"/>
    </xf>
    <xf numFmtId="0" fontId="135" fillId="62" borderId="17" xfId="0" applyFont="1" applyFill="1" applyBorder="1" applyAlignment="1">
      <alignment horizontal="center" vertical="center"/>
    </xf>
    <xf numFmtId="0" fontId="135" fillId="62" borderId="17" xfId="0" applyFont="1" applyFill="1" applyBorder="1" applyAlignment="1">
      <alignment vertical="center"/>
    </xf>
    <xf numFmtId="165" fontId="135" fillId="62" borderId="17" xfId="0" applyNumberFormat="1" applyFont="1" applyFill="1" applyBorder="1" applyAlignment="1">
      <alignment horizontal="center" vertical="center"/>
    </xf>
    <xf numFmtId="0" fontId="135" fillId="62" borderId="17" xfId="0" applyFont="1" applyFill="1" applyBorder="1" applyAlignment="1">
      <alignment vertical="center" wrapText="1"/>
    </xf>
    <xf numFmtId="2" fontId="6" fillId="62" borderId="17" xfId="0" applyNumberFormat="1" applyFont="1" applyFill="1" applyBorder="1" applyAlignment="1">
      <alignment horizontal="center" vertical="center"/>
    </xf>
    <xf numFmtId="0" fontId="0" fillId="62" borderId="17" xfId="0" applyFill="1" applyBorder="1" applyAlignment="1">
      <alignment horizontal="left" vertical="center" wrapText="1"/>
    </xf>
    <xf numFmtId="0" fontId="0" fillId="62" borderId="2" xfId="0" applyFont="1" applyFill="1" applyBorder="1" applyAlignment="1">
      <alignment horizontal="center" vertical="center"/>
    </xf>
    <xf numFmtId="0" fontId="0" fillId="62" borderId="2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0" fillId="0" borderId="17" xfId="0" applyBorder="1" applyAlignment="1">
      <alignment horizontal="left" vertical="center"/>
    </xf>
    <xf numFmtId="0" fontId="141" fillId="0" borderId="0" xfId="0" applyFont="1" applyFill="1" applyBorder="1" applyAlignment="1">
      <alignment horizontal="left" vertical="center"/>
    </xf>
    <xf numFmtId="0" fontId="141" fillId="0" borderId="0" xfId="0" applyFont="1" applyBorder="1" applyAlignment="1">
      <alignment horizontal="left" vertical="center"/>
    </xf>
    <xf numFmtId="0" fontId="141" fillId="0" borderId="0" xfId="0" applyFont="1" applyAlignment="1">
      <alignment horizontal="left" vertical="center"/>
    </xf>
    <xf numFmtId="0" fontId="131" fillId="0" borderId="17" xfId="0" applyFont="1" applyBorder="1" applyAlignment="1">
      <alignment vertical="center" wrapText="1"/>
    </xf>
    <xf numFmtId="0" fontId="131" fillId="0" borderId="17" xfId="0" applyFont="1" applyBorder="1" applyAlignment="1">
      <alignment horizontal="center" vertical="center"/>
    </xf>
    <xf numFmtId="164" fontId="131" fillId="0" borderId="17" xfId="0" applyNumberFormat="1" applyFont="1" applyBorder="1" applyAlignment="1">
      <alignment horizontal="center" vertical="center"/>
    </xf>
    <xf numFmtId="167" fontId="131" fillId="48" borderId="17" xfId="0" applyNumberFormat="1" applyFont="1" applyFill="1" applyBorder="1" applyAlignment="1">
      <alignment vertical="center"/>
    </xf>
    <xf numFmtId="0" fontId="131" fillId="0" borderId="17" xfId="0" applyFont="1" applyFill="1" applyBorder="1" applyAlignment="1">
      <alignment horizontal="center" vertical="center"/>
    </xf>
    <xf numFmtId="0" fontId="131" fillId="0" borderId="17" xfId="0" applyFont="1" applyFill="1" applyBorder="1" applyAlignment="1">
      <alignment vertical="center" wrapText="1"/>
    </xf>
    <xf numFmtId="164" fontId="131" fillId="0" borderId="17" xfId="0" applyNumberFormat="1" applyFont="1" applyFill="1" applyBorder="1" applyAlignment="1">
      <alignment horizontal="center" vertical="center"/>
    </xf>
    <xf numFmtId="0" fontId="129" fillId="0" borderId="0" xfId="0" applyFont="1" applyFill="1" applyBorder="1" applyAlignment="1">
      <alignment wrapText="1"/>
    </xf>
    <xf numFmtId="0" fontId="129" fillId="0" borderId="0" xfId="0" applyFont="1" applyBorder="1" applyAlignment="1">
      <alignment wrapText="1"/>
    </xf>
    <xf numFmtId="0" fontId="129" fillId="0" borderId="0" xfId="0" applyFont="1" applyAlignment="1">
      <alignment wrapText="1"/>
    </xf>
    <xf numFmtId="167" fontId="131" fillId="0" borderId="17" xfId="0" applyNumberFormat="1" applyFont="1" applyBorder="1" applyAlignment="1">
      <alignment vertical="center"/>
    </xf>
    <xf numFmtId="0" fontId="131" fillId="0" borderId="0" xfId="0" applyFont="1" applyFill="1" applyBorder="1"/>
    <xf numFmtId="0" fontId="129" fillId="0" borderId="17" xfId="0" applyFont="1" applyBorder="1" applyAlignment="1">
      <alignment wrapText="1"/>
    </xf>
    <xf numFmtId="0" fontId="141" fillId="0" borderId="17" xfId="0" applyFont="1" applyBorder="1" applyAlignment="1">
      <alignment horizontal="left" vertical="center"/>
    </xf>
    <xf numFmtId="0" fontId="89" fillId="64" borderId="17" xfId="0" applyFont="1" applyFill="1" applyBorder="1"/>
    <xf numFmtId="0" fontId="6" fillId="64" borderId="17" xfId="0" applyFont="1" applyFill="1" applyBorder="1"/>
    <xf numFmtId="165" fontId="2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/>
    <xf numFmtId="0" fontId="9" fillId="0" borderId="0" xfId="0" applyFont="1" applyFill="1"/>
    <xf numFmtId="167" fontId="137" fillId="0" borderId="0" xfId="0" applyNumberFormat="1" applyFont="1" applyFill="1" applyBorder="1" applyAlignment="1">
      <alignment horizontal="center" vertical="center"/>
    </xf>
    <xf numFmtId="0" fontId="89" fillId="0" borderId="0" xfId="0" applyFont="1" applyFill="1" applyBorder="1"/>
    <xf numFmtId="167" fontId="131" fillId="61" borderId="17" xfId="0" applyNumberFormat="1" applyFont="1" applyFill="1" applyBorder="1" applyAlignment="1">
      <alignment horizontal="center" vertical="center"/>
    </xf>
    <xf numFmtId="167" fontId="99" fillId="62" borderId="17" xfId="0" applyNumberFormat="1" applyFont="1" applyFill="1" applyBorder="1" applyAlignment="1">
      <alignment horizontal="center" vertical="center"/>
    </xf>
    <xf numFmtId="0" fontId="2" fillId="64" borderId="17" xfId="0" applyFont="1" applyFill="1" applyBorder="1" applyAlignment="1">
      <alignment vertical="center"/>
    </xf>
    <xf numFmtId="0" fontId="2" fillId="27" borderId="17" xfId="0" applyFont="1" applyFill="1" applyBorder="1" applyAlignment="1">
      <alignment vertical="center"/>
    </xf>
    <xf numFmtId="4" fontId="5" fillId="3" borderId="30" xfId="0" applyNumberFormat="1" applyFont="1" applyFill="1" applyBorder="1" applyAlignment="1">
      <alignment horizontal="center" vertical="center" wrapText="1"/>
    </xf>
    <xf numFmtId="165" fontId="15" fillId="8" borderId="31" xfId="0" applyNumberFormat="1" applyFont="1" applyFill="1" applyBorder="1" applyAlignment="1">
      <alignment horizontal="center" vertical="center"/>
    </xf>
    <xf numFmtId="0" fontId="63" fillId="0" borderId="31" xfId="0" applyFont="1" applyBorder="1"/>
    <xf numFmtId="165" fontId="6" fillId="0" borderId="31" xfId="0" applyNumberFormat="1" applyFont="1" applyBorder="1" applyAlignment="1">
      <alignment horizontal="center" vertical="center"/>
    </xf>
    <xf numFmtId="0" fontId="63" fillId="62" borderId="31" xfId="0" applyFont="1" applyFill="1" applyBorder="1"/>
    <xf numFmtId="165" fontId="58" fillId="0" borderId="31" xfId="0" applyNumberFormat="1" applyFont="1" applyBorder="1" applyAlignment="1">
      <alignment horizontal="center" vertical="center"/>
    </xf>
    <xf numFmtId="165" fontId="58" fillId="62" borderId="31" xfId="0" applyNumberFormat="1" applyFont="1" applyFill="1" applyBorder="1" applyAlignment="1">
      <alignment horizontal="center" vertical="center"/>
    </xf>
    <xf numFmtId="165" fontId="36" fillId="18" borderId="31" xfId="0" applyNumberFormat="1" applyFont="1" applyFill="1" applyBorder="1" applyAlignment="1">
      <alignment horizontal="center" vertical="center"/>
    </xf>
    <xf numFmtId="165" fontId="36" fillId="62" borderId="31" xfId="0" applyNumberFormat="1" applyFont="1" applyFill="1" applyBorder="1" applyAlignment="1">
      <alignment horizontal="center" vertical="center"/>
    </xf>
    <xf numFmtId="165" fontId="6" fillId="0" borderId="31" xfId="0" applyNumberFormat="1" applyFont="1" applyFill="1" applyBorder="1" applyAlignment="1">
      <alignment horizontal="center" vertical="center"/>
    </xf>
    <xf numFmtId="165" fontId="130" fillId="56" borderId="31" xfId="0" applyNumberFormat="1" applyFont="1" applyFill="1" applyBorder="1" applyAlignment="1">
      <alignment horizontal="center" vertical="center"/>
    </xf>
    <xf numFmtId="165" fontId="130" fillId="0" borderId="31" xfId="0" applyNumberFormat="1" applyFont="1" applyFill="1" applyBorder="1" applyAlignment="1">
      <alignment horizontal="center" vertical="center"/>
    </xf>
    <xf numFmtId="165" fontId="130" fillId="62" borderId="31" xfId="0" applyNumberFormat="1" applyFont="1" applyFill="1" applyBorder="1" applyAlignment="1">
      <alignment horizontal="center" vertical="center"/>
    </xf>
    <xf numFmtId="165" fontId="131" fillId="62" borderId="31" xfId="0" applyNumberFormat="1" applyFont="1" applyFill="1" applyBorder="1" applyAlignment="1">
      <alignment horizontal="center" vertical="center"/>
    </xf>
    <xf numFmtId="165" fontId="131" fillId="0" borderId="31" xfId="0" applyNumberFormat="1" applyFont="1" applyBorder="1" applyAlignment="1">
      <alignment horizontal="center" vertical="center"/>
    </xf>
    <xf numFmtId="165" fontId="137" fillId="57" borderId="31" xfId="0" applyNumberFormat="1" applyFont="1" applyFill="1" applyBorder="1" applyAlignment="1">
      <alignment horizontal="center" vertical="center"/>
    </xf>
    <xf numFmtId="165" fontId="2" fillId="56" borderId="31" xfId="0" applyNumberFormat="1" applyFont="1" applyFill="1" applyBorder="1" applyAlignment="1">
      <alignment horizontal="center" vertical="center"/>
    </xf>
    <xf numFmtId="165" fontId="6" fillId="62" borderId="31" xfId="0" applyNumberFormat="1" applyFont="1" applyFill="1" applyBorder="1" applyAlignment="1">
      <alignment horizontal="center" vertical="center"/>
    </xf>
    <xf numFmtId="0" fontId="6" fillId="0" borderId="31" xfId="0" applyFont="1" applyBorder="1"/>
    <xf numFmtId="165" fontId="8" fillId="6" borderId="32" xfId="0" applyNumberFormat="1" applyFont="1" applyFill="1" applyBorder="1" applyAlignment="1">
      <alignment vertical="center"/>
    </xf>
    <xf numFmtId="165" fontId="19" fillId="11" borderId="31" xfId="0" applyNumberFormat="1" applyFont="1" applyFill="1" applyBorder="1" applyAlignment="1">
      <alignment vertical="center"/>
    </xf>
    <xf numFmtId="165" fontId="87" fillId="41" borderId="33" xfId="0" applyNumberFormat="1" applyFont="1" applyFill="1" applyBorder="1" applyAlignment="1">
      <alignment horizontal="right" vertical="center"/>
    </xf>
    <xf numFmtId="165" fontId="15" fillId="8" borderId="21" xfId="0" applyNumberFormat="1" applyFont="1" applyFill="1" applyBorder="1" applyAlignment="1">
      <alignment horizontal="center" vertical="center"/>
    </xf>
    <xf numFmtId="167" fontId="108" fillId="48" borderId="21" xfId="0" applyNumberFormat="1" applyFont="1" applyFill="1" applyBorder="1" applyAlignment="1">
      <alignment horizontal="center" vertical="center"/>
    </xf>
    <xf numFmtId="165" fontId="6" fillId="4" borderId="21" xfId="0" applyNumberFormat="1" applyFont="1" applyFill="1" applyBorder="1" applyAlignment="1">
      <alignment horizontal="center" vertical="center"/>
    </xf>
    <xf numFmtId="167" fontId="99" fillId="0" borderId="21" xfId="0" applyNumberFormat="1" applyFont="1" applyFill="1" applyBorder="1" applyAlignment="1">
      <alignment horizontal="center" vertical="center"/>
    </xf>
    <xf numFmtId="0" fontId="89" fillId="0" borderId="21" xfId="0" applyFont="1" applyBorder="1"/>
    <xf numFmtId="167" fontId="6" fillId="0" borderId="21" xfId="0" applyNumberFormat="1" applyFont="1" applyFill="1" applyBorder="1" applyAlignment="1">
      <alignment horizontal="center" vertical="center"/>
    </xf>
    <xf numFmtId="167" fontId="29" fillId="14" borderId="21" xfId="0" applyNumberFormat="1" applyFont="1" applyFill="1" applyBorder="1" applyAlignment="1">
      <alignment horizontal="center" vertical="center"/>
    </xf>
    <xf numFmtId="167" fontId="29" fillId="62" borderId="21" xfId="0" applyNumberFormat="1" applyFont="1" applyFill="1" applyBorder="1" applyAlignment="1">
      <alignment horizontal="center" vertical="center"/>
    </xf>
    <xf numFmtId="167" fontId="11" fillId="0" borderId="21" xfId="0" applyNumberFormat="1" applyFont="1" applyBorder="1" applyAlignment="1">
      <alignment horizontal="center" vertical="center"/>
    </xf>
    <xf numFmtId="167" fontId="79" fillId="37" borderId="21" xfId="0" applyNumberFormat="1" applyFont="1" applyFill="1" applyBorder="1" applyAlignment="1">
      <alignment horizontal="center" vertical="center"/>
    </xf>
    <xf numFmtId="0" fontId="71" fillId="33" borderId="21" xfId="0" applyFont="1" applyFill="1" applyBorder="1" applyAlignment="1">
      <alignment horizontal="center" vertical="center"/>
    </xf>
    <xf numFmtId="167" fontId="6" fillId="0" borderId="21" xfId="0" applyNumberFormat="1" applyFont="1" applyBorder="1" applyAlignment="1">
      <alignment horizontal="center" vertical="center"/>
    </xf>
    <xf numFmtId="167" fontId="130" fillId="56" borderId="21" xfId="0" applyNumberFormat="1" applyFont="1" applyFill="1" applyBorder="1" applyAlignment="1">
      <alignment horizontal="center" vertical="center"/>
    </xf>
    <xf numFmtId="167" fontId="130" fillId="0" borderId="21" xfId="0" applyNumberFormat="1" applyFont="1" applyFill="1" applyBorder="1" applyAlignment="1">
      <alignment horizontal="center" vertical="center"/>
    </xf>
    <xf numFmtId="167" fontId="131" fillId="0" borderId="21" xfId="0" applyNumberFormat="1" applyFont="1" applyBorder="1" applyAlignment="1">
      <alignment horizontal="center" vertical="center"/>
    </xf>
    <xf numFmtId="165" fontId="6" fillId="0" borderId="21" xfId="0" applyNumberFormat="1" applyFont="1" applyBorder="1" applyAlignment="1">
      <alignment horizontal="center" vertical="center"/>
    </xf>
    <xf numFmtId="167" fontId="137" fillId="57" borderId="21" xfId="0" applyNumberFormat="1" applyFont="1" applyFill="1" applyBorder="1" applyAlignment="1">
      <alignment horizontal="center" vertical="center"/>
    </xf>
    <xf numFmtId="165" fontId="2" fillId="56" borderId="21" xfId="0" applyNumberFormat="1" applyFont="1" applyFill="1" applyBorder="1" applyAlignment="1">
      <alignment horizontal="center" vertical="center"/>
    </xf>
    <xf numFmtId="0" fontId="6" fillId="0" borderId="21" xfId="0" applyFont="1" applyBorder="1"/>
    <xf numFmtId="165" fontId="19" fillId="11" borderId="21" xfId="0" applyNumberFormat="1" applyFont="1" applyFill="1" applyBorder="1" applyAlignment="1">
      <alignment vertical="center"/>
    </xf>
    <xf numFmtId="165" fontId="87" fillId="41" borderId="34" xfId="0" applyNumberFormat="1" applyFont="1" applyFill="1" applyBorder="1" applyAlignment="1">
      <alignment horizontal="right" vertical="center"/>
    </xf>
    <xf numFmtId="165" fontId="6" fillId="62" borderId="21" xfId="0" applyNumberFormat="1" applyFont="1" applyFill="1" applyBorder="1" applyAlignment="1">
      <alignment horizontal="center" vertical="center"/>
    </xf>
    <xf numFmtId="165" fontId="6" fillId="62" borderId="15" xfId="0" applyNumberFormat="1" applyFont="1" applyFill="1" applyBorder="1" applyAlignment="1">
      <alignment horizontal="center" vertical="center"/>
    </xf>
    <xf numFmtId="168" fontId="92" fillId="43" borderId="17" xfId="0" applyNumberFormat="1" applyFont="1" applyFill="1" applyBorder="1" applyAlignment="1">
      <alignment horizontal="right" vertical="center"/>
    </xf>
    <xf numFmtId="0" fontId="112" fillId="52" borderId="35" xfId="0" applyFont="1" applyFill="1" applyBorder="1" applyAlignment="1">
      <alignment horizontal="center" vertical="center"/>
    </xf>
    <xf numFmtId="0" fontId="3" fillId="52" borderId="36" xfId="0" applyFont="1" applyFill="1" applyBorder="1" applyAlignment="1">
      <alignment horizontal="center" vertical="center"/>
    </xf>
    <xf numFmtId="0" fontId="3" fillId="52" borderId="37" xfId="0" applyFont="1" applyFill="1" applyBorder="1" applyAlignment="1">
      <alignment horizontal="center" vertical="center"/>
    </xf>
    <xf numFmtId="168" fontId="92" fillId="43" borderId="21" xfId="0" applyNumberFormat="1" applyFont="1" applyFill="1" applyBorder="1" applyAlignment="1">
      <alignment horizontal="right" vertical="center"/>
    </xf>
    <xf numFmtId="168" fontId="92" fillId="43" borderId="15" xfId="0" applyNumberFormat="1" applyFont="1" applyFill="1" applyBorder="1" applyAlignment="1">
      <alignment horizontal="right" vertical="center"/>
    </xf>
    <xf numFmtId="165" fontId="81" fillId="39" borderId="15" xfId="0" applyNumberFormat="1" applyFont="1" applyFill="1" applyBorder="1" applyAlignment="1">
      <alignment horizontal="center" vertical="center"/>
    </xf>
    <xf numFmtId="0" fontId="63" fillId="0" borderId="15" xfId="0" applyFont="1" applyBorder="1" applyAlignment="1">
      <alignment horizontal="center" vertical="center"/>
    </xf>
    <xf numFmtId="167" fontId="93" fillId="0" borderId="15" xfId="0" applyNumberFormat="1" applyFont="1" applyBorder="1" applyAlignment="1">
      <alignment horizontal="center" vertical="center"/>
    </xf>
    <xf numFmtId="167" fontId="99" fillId="62" borderId="15" xfId="0" applyNumberFormat="1" applyFont="1" applyFill="1" applyBorder="1" applyAlignment="1">
      <alignment horizontal="center" vertical="center"/>
    </xf>
    <xf numFmtId="167" fontId="65" fillId="28" borderId="15" xfId="0" applyNumberFormat="1" applyFont="1" applyFill="1" applyBorder="1" applyAlignment="1">
      <alignment horizontal="center" vertical="center"/>
    </xf>
    <xf numFmtId="167" fontId="120" fillId="56" borderId="15" xfId="0" applyNumberFormat="1" applyFont="1" applyFill="1" applyBorder="1" applyAlignment="1">
      <alignment horizontal="center" vertical="center"/>
    </xf>
    <xf numFmtId="167" fontId="93" fillId="61" borderId="15" xfId="0" applyNumberFormat="1" applyFont="1" applyFill="1" applyBorder="1" applyAlignment="1">
      <alignment horizontal="center" vertical="center"/>
    </xf>
    <xf numFmtId="167" fontId="27" fillId="62" borderId="15" xfId="0" applyNumberFormat="1" applyFont="1" applyFill="1" applyBorder="1" applyAlignment="1">
      <alignment horizontal="center" vertical="center"/>
    </xf>
    <xf numFmtId="167" fontId="27" fillId="0" borderId="15" xfId="0" applyNumberFormat="1" applyFont="1" applyFill="1" applyBorder="1" applyAlignment="1">
      <alignment horizontal="center" vertical="center"/>
    </xf>
    <xf numFmtId="167" fontId="6" fillId="62" borderId="15" xfId="0" applyNumberFormat="1" applyFont="1" applyFill="1" applyBorder="1" applyAlignment="1">
      <alignment vertical="center"/>
    </xf>
    <xf numFmtId="167" fontId="6" fillId="0" borderId="15" xfId="0" applyNumberFormat="1" applyFont="1" applyBorder="1" applyAlignment="1">
      <alignment vertical="center"/>
    </xf>
    <xf numFmtId="165" fontId="6" fillId="0" borderId="15" xfId="0" applyNumberFormat="1" applyFont="1" applyBorder="1" applyAlignment="1">
      <alignment horizontal="center" vertical="center"/>
    </xf>
    <xf numFmtId="165" fontId="2" fillId="56" borderId="15" xfId="0" applyNumberFormat="1" applyFont="1" applyFill="1" applyBorder="1" applyAlignment="1">
      <alignment vertical="center"/>
    </xf>
    <xf numFmtId="167" fontId="6" fillId="48" borderId="15" xfId="0" applyNumberFormat="1" applyFont="1" applyFill="1" applyBorder="1" applyAlignment="1">
      <alignment horizontal="center" vertical="center"/>
    </xf>
    <xf numFmtId="167" fontId="131" fillId="62" borderId="15" xfId="0" applyNumberFormat="1" applyFont="1" applyFill="1" applyBorder="1" applyAlignment="1">
      <alignment vertical="center"/>
    </xf>
    <xf numFmtId="167" fontId="131" fillId="61" borderId="15" xfId="0" applyNumberFormat="1" applyFont="1" applyFill="1" applyBorder="1" applyAlignment="1">
      <alignment horizontal="center" vertical="center"/>
    </xf>
    <xf numFmtId="167" fontId="6" fillId="62" borderId="15" xfId="0" applyNumberFormat="1" applyFont="1" applyFill="1" applyBorder="1" applyAlignment="1">
      <alignment horizontal="center" vertical="center"/>
    </xf>
    <xf numFmtId="0" fontId="6" fillId="62" borderId="21" xfId="0" applyFont="1" applyFill="1" applyBorder="1"/>
    <xf numFmtId="168" fontId="6" fillId="61" borderId="17" xfId="0" applyNumberFormat="1" applyFont="1" applyFill="1" applyBorder="1" applyAlignment="1">
      <alignment horizontal="center"/>
    </xf>
    <xf numFmtId="0" fontId="135" fillId="0" borderId="21" xfId="0" applyFont="1" applyFill="1" applyBorder="1" applyAlignment="1">
      <alignment horizontal="center" vertical="center"/>
    </xf>
    <xf numFmtId="0" fontId="135" fillId="0" borderId="17" xfId="0" applyFont="1" applyFill="1" applyBorder="1" applyAlignment="1">
      <alignment vertical="center" wrapText="1"/>
    </xf>
    <xf numFmtId="0" fontId="135" fillId="0" borderId="17" xfId="0" applyFont="1" applyFill="1" applyBorder="1" applyAlignment="1">
      <alignment horizontal="center" vertical="center"/>
    </xf>
    <xf numFmtId="0" fontId="113" fillId="53" borderId="18" xfId="0" applyFont="1" applyFill="1" applyBorder="1" applyAlignment="1">
      <alignment horizontal="left" vertical="center"/>
    </xf>
    <xf numFmtId="0" fontId="72" fillId="34" borderId="14" xfId="0" applyFont="1" applyFill="1" applyBorder="1" applyAlignment="1">
      <alignment vertical="center"/>
    </xf>
    <xf numFmtId="0" fontId="72" fillId="34" borderId="14" xfId="0" applyFont="1" applyFill="1" applyBorder="1" applyAlignment="1">
      <alignment horizontal="left" vertical="center"/>
    </xf>
    <xf numFmtId="0" fontId="72" fillId="34" borderId="14" xfId="0" applyFont="1" applyFill="1" applyBorder="1" applyAlignment="1">
      <alignment horizontal="center" vertical="center"/>
    </xf>
    <xf numFmtId="0" fontId="72" fillId="34" borderId="0" xfId="0" applyFont="1" applyFill="1" applyBorder="1" applyAlignment="1">
      <alignment horizontal="center" vertical="center"/>
    </xf>
    <xf numFmtId="0" fontId="84" fillId="40" borderId="0" xfId="0" applyFont="1" applyFill="1" applyBorder="1" applyAlignment="1">
      <alignment horizontal="center" vertical="center"/>
    </xf>
    <xf numFmtId="0" fontId="22" fillId="12" borderId="1" xfId="0" applyFont="1" applyFill="1" applyBorder="1" applyAlignment="1">
      <alignment horizontal="center" vertical="center"/>
    </xf>
    <xf numFmtId="0" fontId="70" fillId="32" borderId="7" xfId="0" applyFont="1" applyFill="1" applyBorder="1" applyAlignment="1">
      <alignment horizontal="center" vertical="center" wrapText="1"/>
    </xf>
    <xf numFmtId="0" fontId="14" fillId="7" borderId="10" xfId="0" applyFont="1" applyFill="1" applyBorder="1" applyAlignment="1">
      <alignment horizontal="left" vertical="center"/>
    </xf>
    <xf numFmtId="0" fontId="16" fillId="9" borderId="20" xfId="0" applyFont="1" applyFill="1" applyBorder="1" applyAlignment="1">
      <alignment vertical="center"/>
    </xf>
    <xf numFmtId="0" fontId="14" fillId="63" borderId="20" xfId="0" applyFont="1" applyFill="1" applyBorder="1" applyAlignment="1">
      <alignment horizontal="left" vertical="center"/>
    </xf>
    <xf numFmtId="0" fontId="16" fillId="9" borderId="20" xfId="0" applyFont="1" applyFill="1" applyBorder="1" applyAlignment="1">
      <alignment horizontal="left" vertical="center"/>
    </xf>
    <xf numFmtId="0" fontId="16" fillId="9" borderId="20" xfId="0" applyFont="1" applyFill="1" applyBorder="1" applyAlignment="1">
      <alignment horizontal="center" vertical="center"/>
    </xf>
    <xf numFmtId="0" fontId="31" fillId="16" borderId="20" xfId="0" applyFont="1" applyFill="1" applyBorder="1" applyAlignment="1">
      <alignment horizontal="center" vertical="center"/>
    </xf>
    <xf numFmtId="0" fontId="16" fillId="9" borderId="22" xfId="0" applyFont="1" applyFill="1" applyBorder="1" applyAlignment="1">
      <alignment horizontal="center" vertical="center"/>
    </xf>
    <xf numFmtId="0" fontId="50" fillId="65" borderId="21" xfId="0" applyFont="1" applyFill="1" applyBorder="1" applyAlignment="1">
      <alignment horizontal="left" vertical="center"/>
    </xf>
    <xf numFmtId="0" fontId="26" fillId="65" borderId="17" xfId="0" applyFont="1" applyFill="1" applyBorder="1" applyAlignment="1">
      <alignment vertical="center"/>
    </xf>
    <xf numFmtId="0" fontId="61" fillId="65" borderId="17" xfId="0" applyFont="1" applyFill="1" applyBorder="1" applyAlignment="1">
      <alignment horizontal="center" vertical="center"/>
    </xf>
    <xf numFmtId="164" fontId="67" fillId="65" borderId="17" xfId="0" applyNumberFormat="1" applyFont="1" applyFill="1" applyBorder="1" applyAlignment="1">
      <alignment horizontal="center" vertical="center"/>
    </xf>
    <xf numFmtId="165" fontId="23" fillId="65" borderId="17" xfId="0" applyNumberFormat="1" applyFont="1" applyFill="1" applyBorder="1" applyAlignment="1">
      <alignment horizontal="center" vertical="center"/>
    </xf>
    <xf numFmtId="165" fontId="121" fillId="65" borderId="31" xfId="0" applyNumberFormat="1" applyFont="1" applyFill="1" applyBorder="1" applyAlignment="1">
      <alignment horizontal="center" vertical="center"/>
    </xf>
    <xf numFmtId="165" fontId="121" fillId="65" borderId="21" xfId="0" applyNumberFormat="1" applyFont="1" applyFill="1" applyBorder="1" applyAlignment="1">
      <alignment horizontal="center" vertical="center"/>
    </xf>
    <xf numFmtId="165" fontId="121" fillId="65" borderId="17" xfId="0" applyNumberFormat="1" applyFont="1" applyFill="1" applyBorder="1" applyAlignment="1">
      <alignment horizontal="center" vertical="center"/>
    </xf>
    <xf numFmtId="165" fontId="121" fillId="65" borderId="15" xfId="0" applyNumberFormat="1" applyFont="1" applyFill="1" applyBorder="1" applyAlignment="1">
      <alignment horizontal="center" vertical="center"/>
    </xf>
    <xf numFmtId="0" fontId="89" fillId="65" borderId="0" xfId="0" applyFont="1" applyFill="1"/>
    <xf numFmtId="0" fontId="86" fillId="65" borderId="21" xfId="0" applyFont="1" applyFill="1" applyBorder="1" applyAlignment="1">
      <alignment vertical="center"/>
    </xf>
    <xf numFmtId="0" fontId="82" fillId="65" borderId="17" xfId="0" applyFont="1" applyFill="1" applyBorder="1" applyAlignment="1">
      <alignment vertical="center"/>
    </xf>
    <xf numFmtId="166" fontId="88" fillId="65" borderId="17" xfId="0" applyNumberFormat="1" applyFont="1" applyFill="1" applyBorder="1" applyAlignment="1">
      <alignment horizontal="center" vertical="center"/>
    </xf>
    <xf numFmtId="0" fontId="13" fillId="65" borderId="17" xfId="0" applyFont="1" applyFill="1" applyBorder="1" applyAlignment="1">
      <alignment horizontal="center" vertical="center"/>
    </xf>
    <xf numFmtId="4" fontId="37" fillId="65" borderId="17" xfId="0" applyNumberFormat="1" applyFont="1" applyFill="1" applyBorder="1" applyAlignment="1">
      <alignment horizontal="center" vertical="center"/>
    </xf>
    <xf numFmtId="165" fontId="25" fillId="65" borderId="31" xfId="0" applyNumberFormat="1" applyFont="1" applyFill="1" applyBorder="1" applyAlignment="1">
      <alignment horizontal="center" vertical="center"/>
    </xf>
    <xf numFmtId="165" fontId="25" fillId="65" borderId="21" xfId="0" applyNumberFormat="1" applyFont="1" applyFill="1" applyBorder="1" applyAlignment="1">
      <alignment horizontal="center" vertical="center"/>
    </xf>
    <xf numFmtId="165" fontId="25" fillId="65" borderId="17" xfId="0" applyNumberFormat="1" applyFont="1" applyFill="1" applyBorder="1" applyAlignment="1">
      <alignment horizontal="center" vertical="center"/>
    </xf>
    <xf numFmtId="165" fontId="25" fillId="65" borderId="15" xfId="0" applyNumberFormat="1" applyFont="1" applyFill="1" applyBorder="1" applyAlignment="1">
      <alignment horizontal="center" vertical="center"/>
    </xf>
    <xf numFmtId="0" fontId="95" fillId="65" borderId="21" xfId="0" applyFont="1" applyFill="1" applyBorder="1" applyAlignment="1">
      <alignment vertical="center"/>
    </xf>
    <xf numFmtId="0" fontId="49" fillId="65" borderId="17" xfId="0" applyFont="1" applyFill="1" applyBorder="1" applyAlignment="1">
      <alignment vertical="center"/>
    </xf>
    <xf numFmtId="166" fontId="32" fillId="65" borderId="17" xfId="0" applyNumberFormat="1" applyFont="1" applyFill="1" applyBorder="1" applyAlignment="1">
      <alignment horizontal="center" vertical="center"/>
    </xf>
    <xf numFmtId="0" fontId="73" fillId="65" borderId="17" xfId="0" applyFont="1" applyFill="1" applyBorder="1" applyAlignment="1">
      <alignment horizontal="center" vertical="center"/>
    </xf>
    <xf numFmtId="4" fontId="41" fillId="65" borderId="17" xfId="0" applyNumberFormat="1" applyFont="1" applyFill="1" applyBorder="1" applyAlignment="1">
      <alignment horizontal="center" vertical="center"/>
    </xf>
    <xf numFmtId="165" fontId="105" fillId="65" borderId="31" xfId="0" applyNumberFormat="1" applyFont="1" applyFill="1" applyBorder="1" applyAlignment="1">
      <alignment horizontal="center" vertical="center"/>
    </xf>
    <xf numFmtId="165" fontId="12" fillId="65" borderId="21" xfId="0" applyNumberFormat="1" applyFont="1" applyFill="1" applyBorder="1" applyAlignment="1">
      <alignment horizontal="center" vertical="center"/>
    </xf>
    <xf numFmtId="165" fontId="12" fillId="65" borderId="17" xfId="0" applyNumberFormat="1" applyFont="1" applyFill="1" applyBorder="1" applyAlignment="1">
      <alignment horizontal="center" vertical="center"/>
    </xf>
    <xf numFmtId="165" fontId="12" fillId="65" borderId="15" xfId="0" applyNumberFormat="1" applyFont="1" applyFill="1" applyBorder="1" applyAlignment="1">
      <alignment horizontal="center" vertical="center"/>
    </xf>
    <xf numFmtId="167" fontId="10" fillId="65" borderId="21" xfId="0" applyNumberFormat="1" applyFont="1" applyFill="1" applyBorder="1" applyAlignment="1">
      <alignment horizontal="center" vertical="center"/>
    </xf>
    <xf numFmtId="167" fontId="10" fillId="65" borderId="17" xfId="0" applyNumberFormat="1" applyFont="1" applyFill="1" applyBorder="1" applyAlignment="1">
      <alignment horizontal="center" vertical="center"/>
    </xf>
    <xf numFmtId="167" fontId="10" fillId="65" borderId="15" xfId="0" applyNumberFormat="1" applyFont="1" applyFill="1" applyBorder="1" applyAlignment="1">
      <alignment horizontal="center" vertical="center"/>
    </xf>
    <xf numFmtId="0" fontId="47" fillId="65" borderId="17" xfId="0" applyFont="1" applyFill="1" applyBorder="1" applyAlignment="1">
      <alignment vertical="center"/>
    </xf>
    <xf numFmtId="166" fontId="46" fillId="65" borderId="17" xfId="0" applyNumberFormat="1" applyFont="1" applyFill="1" applyBorder="1" applyAlignment="1">
      <alignment horizontal="center" vertical="center"/>
    </xf>
    <xf numFmtId="2" fontId="102" fillId="65" borderId="17" xfId="0" applyNumberFormat="1" applyFont="1" applyFill="1" applyBorder="1" applyAlignment="1">
      <alignment horizontal="center" vertical="center"/>
    </xf>
    <xf numFmtId="0" fontId="76" fillId="65" borderId="17" xfId="0" applyFont="1" applyFill="1" applyBorder="1" applyAlignment="1">
      <alignment horizontal="center" vertical="center"/>
    </xf>
    <xf numFmtId="0" fontId="133" fillId="65" borderId="21" xfId="0" applyFont="1" applyFill="1" applyBorder="1" applyAlignment="1">
      <alignment horizontal="left" vertical="center"/>
    </xf>
    <xf numFmtId="0" fontId="133" fillId="65" borderId="17" xfId="0" applyFont="1" applyFill="1" applyBorder="1" applyAlignment="1">
      <alignment vertical="center"/>
    </xf>
    <xf numFmtId="0" fontId="130" fillId="65" borderId="17" xfId="0" applyFont="1" applyFill="1" applyBorder="1" applyAlignment="1">
      <alignment horizontal="center" vertical="center"/>
    </xf>
    <xf numFmtId="164" fontId="130" fillId="65" borderId="17" xfId="0" applyNumberFormat="1" applyFont="1" applyFill="1" applyBorder="1" applyAlignment="1">
      <alignment horizontal="center" vertical="center"/>
    </xf>
    <xf numFmtId="165" fontId="130" fillId="65" borderId="17" xfId="0" applyNumberFormat="1" applyFont="1" applyFill="1" applyBorder="1" applyAlignment="1">
      <alignment horizontal="center" vertical="center"/>
    </xf>
    <xf numFmtId="165" fontId="133" fillId="65" borderId="31" xfId="0" applyNumberFormat="1" applyFont="1" applyFill="1" applyBorder="1" applyAlignment="1">
      <alignment horizontal="center" vertical="center"/>
    </xf>
    <xf numFmtId="167" fontId="133" fillId="65" borderId="21" xfId="0" applyNumberFormat="1" applyFont="1" applyFill="1" applyBorder="1" applyAlignment="1">
      <alignment horizontal="center" vertical="center"/>
    </xf>
    <xf numFmtId="167" fontId="133" fillId="65" borderId="17" xfId="0" applyNumberFormat="1" applyFont="1" applyFill="1" applyBorder="1" applyAlignment="1">
      <alignment horizontal="center" vertical="center"/>
    </xf>
    <xf numFmtId="167" fontId="133" fillId="65" borderId="15" xfId="0" applyNumberFormat="1" applyFont="1" applyFill="1" applyBorder="1" applyAlignment="1">
      <alignment horizontal="center" vertical="center"/>
    </xf>
    <xf numFmtId="0" fontId="134" fillId="65" borderId="0" xfId="0" applyFont="1" applyFill="1" applyBorder="1"/>
    <xf numFmtId="0" fontId="130" fillId="65" borderId="0" xfId="0" applyFont="1" applyFill="1" applyBorder="1"/>
    <xf numFmtId="0" fontId="130" fillId="65" borderId="0" xfId="0" applyFont="1" applyFill="1"/>
    <xf numFmtId="0" fontId="89" fillId="65" borderId="0" xfId="0" applyFont="1" applyFill="1" applyBorder="1"/>
    <xf numFmtId="0" fontId="2" fillId="65" borderId="17" xfId="0" applyFont="1" applyFill="1" applyBorder="1" applyAlignment="1">
      <alignment vertical="center"/>
    </xf>
    <xf numFmtId="166" fontId="6" fillId="65" borderId="17" xfId="0" applyNumberFormat="1" applyFont="1" applyFill="1" applyBorder="1" applyAlignment="1">
      <alignment horizontal="center" vertical="center"/>
    </xf>
    <xf numFmtId="2" fontId="6" fillId="65" borderId="17" xfId="0" applyNumberFormat="1" applyFont="1" applyFill="1" applyBorder="1" applyAlignment="1">
      <alignment horizontal="center" vertical="center"/>
    </xf>
    <xf numFmtId="0" fontId="6" fillId="65" borderId="17" xfId="0" applyFont="1" applyFill="1" applyBorder="1" applyAlignment="1">
      <alignment horizontal="center" vertical="center"/>
    </xf>
    <xf numFmtId="165" fontId="2" fillId="65" borderId="31" xfId="0" applyNumberFormat="1" applyFont="1" applyFill="1" applyBorder="1" applyAlignment="1">
      <alignment horizontal="center" vertical="center"/>
    </xf>
    <xf numFmtId="165" fontId="2" fillId="65" borderId="21" xfId="0" applyNumberFormat="1" applyFont="1" applyFill="1" applyBorder="1" applyAlignment="1">
      <alignment horizontal="center" vertical="center"/>
    </xf>
    <xf numFmtId="165" fontId="2" fillId="65" borderId="17" xfId="0" applyNumberFormat="1" applyFont="1" applyFill="1" applyBorder="1" applyAlignment="1">
      <alignment horizontal="center" vertical="center"/>
    </xf>
    <xf numFmtId="165" fontId="2" fillId="65" borderId="15" xfId="0" applyNumberFormat="1" applyFont="1" applyFill="1" applyBorder="1" applyAlignment="1">
      <alignment horizontal="center" vertical="center"/>
    </xf>
    <xf numFmtId="165" fontId="2" fillId="65" borderId="0" xfId="0" applyNumberFormat="1" applyFont="1" applyFill="1" applyBorder="1" applyAlignment="1">
      <alignment horizontal="center" vertical="center"/>
    </xf>
    <xf numFmtId="0" fontId="9" fillId="65" borderId="0" xfId="0" applyFont="1" applyFill="1" applyBorder="1"/>
    <xf numFmtId="0" fontId="9" fillId="65" borderId="0" xfId="0" applyFont="1" applyFill="1"/>
    <xf numFmtId="0" fontId="6" fillId="65" borderId="0" xfId="0" applyFont="1" applyFill="1"/>
    <xf numFmtId="165" fontId="6" fillId="65" borderId="17" xfId="0" applyNumberFormat="1" applyFont="1" applyFill="1" applyBorder="1" applyAlignment="1">
      <alignment horizontal="center" vertical="center"/>
    </xf>
    <xf numFmtId="167" fontId="2" fillId="65" borderId="21" xfId="0" applyNumberFormat="1" applyFont="1" applyFill="1" applyBorder="1" applyAlignment="1">
      <alignment horizontal="center" vertical="center"/>
    </xf>
    <xf numFmtId="167" fontId="2" fillId="65" borderId="17" xfId="0" applyNumberFormat="1" applyFont="1" applyFill="1" applyBorder="1" applyAlignment="1">
      <alignment horizontal="center" vertical="center"/>
    </xf>
    <xf numFmtId="167" fontId="2" fillId="65" borderId="15" xfId="0" applyNumberFormat="1" applyFont="1" applyFill="1" applyBorder="1" applyAlignment="1">
      <alignment horizontal="center" vertical="center"/>
    </xf>
    <xf numFmtId="167" fontId="2" fillId="65" borderId="0" xfId="0" applyNumberFormat="1" applyFont="1" applyFill="1" applyBorder="1" applyAlignment="1">
      <alignment horizontal="center" vertical="center"/>
    </xf>
    <xf numFmtId="0" fontId="137" fillId="65" borderId="17" xfId="0" applyFont="1" applyFill="1" applyBorder="1" applyAlignment="1">
      <alignment horizontal="center" vertical="center"/>
    </xf>
    <xf numFmtId="164" fontId="137" fillId="65" borderId="17" xfId="0" applyNumberFormat="1" applyFont="1" applyFill="1" applyBorder="1" applyAlignment="1">
      <alignment horizontal="center" vertical="center"/>
    </xf>
    <xf numFmtId="165" fontId="137" fillId="65" borderId="17" xfId="0" applyNumberFormat="1" applyFont="1" applyFill="1" applyBorder="1" applyAlignment="1">
      <alignment horizontal="center" vertical="center"/>
    </xf>
    <xf numFmtId="0" fontId="137" fillId="65" borderId="0" xfId="0" applyFont="1" applyFill="1"/>
    <xf numFmtId="0" fontId="131" fillId="65" borderId="17" xfId="0" applyFont="1" applyFill="1" applyBorder="1" applyAlignment="1">
      <alignment horizontal="center" vertical="center"/>
    </xf>
    <xf numFmtId="164" fontId="131" fillId="65" borderId="17" xfId="0" applyNumberFormat="1" applyFont="1" applyFill="1" applyBorder="1" applyAlignment="1">
      <alignment horizontal="center" vertical="center"/>
    </xf>
    <xf numFmtId="165" fontId="131" fillId="65" borderId="17" xfId="0" applyNumberFormat="1" applyFont="1" applyFill="1" applyBorder="1" applyAlignment="1">
      <alignment horizontal="center" vertical="center"/>
    </xf>
    <xf numFmtId="165" fontId="138" fillId="65" borderId="31" xfId="0" applyNumberFormat="1" applyFont="1" applyFill="1" applyBorder="1" applyAlignment="1">
      <alignment horizontal="center" vertical="center"/>
    </xf>
    <xf numFmtId="167" fontId="138" fillId="65" borderId="21" xfId="0" applyNumberFormat="1" applyFont="1" applyFill="1" applyBorder="1" applyAlignment="1">
      <alignment horizontal="center" vertical="center"/>
    </xf>
    <xf numFmtId="167" fontId="138" fillId="65" borderId="17" xfId="0" applyNumberFormat="1" applyFont="1" applyFill="1" applyBorder="1" applyAlignment="1">
      <alignment horizontal="center" vertical="center"/>
    </xf>
    <xf numFmtId="167" fontId="138" fillId="65" borderId="15" xfId="0" applyNumberFormat="1" applyFont="1" applyFill="1" applyBorder="1" applyAlignment="1">
      <alignment horizontal="center" vertical="center"/>
    </xf>
    <xf numFmtId="0" fontId="141" fillId="65" borderId="0" xfId="0" applyFont="1" applyFill="1" applyBorder="1" applyAlignment="1">
      <alignment horizontal="left" vertical="center"/>
    </xf>
    <xf numFmtId="0" fontId="141" fillId="65" borderId="0" xfId="0" applyFont="1" applyFill="1" applyAlignment="1">
      <alignment horizontal="left" vertical="center"/>
    </xf>
    <xf numFmtId="166" fontId="131" fillId="65" borderId="17" xfId="0" applyNumberFormat="1" applyFont="1" applyFill="1" applyBorder="1" applyAlignment="1">
      <alignment horizontal="center" vertical="center"/>
    </xf>
    <xf numFmtId="2" fontId="131" fillId="65" borderId="17" xfId="0" applyNumberFormat="1" applyFont="1" applyFill="1" applyBorder="1" applyAlignment="1">
      <alignment horizontal="center" vertical="center"/>
    </xf>
    <xf numFmtId="165" fontId="138" fillId="65" borderId="21" xfId="0" applyNumberFormat="1" applyFont="1" applyFill="1" applyBorder="1" applyAlignment="1">
      <alignment horizontal="center" vertical="center"/>
    </xf>
    <xf numFmtId="165" fontId="138" fillId="65" borderId="17" xfId="0" applyNumberFormat="1" applyFont="1" applyFill="1" applyBorder="1" applyAlignment="1">
      <alignment horizontal="center" vertical="center"/>
    </xf>
    <xf numFmtId="165" fontId="138" fillId="65" borderId="15" xfId="0" applyNumberFormat="1" applyFont="1" applyFill="1" applyBorder="1" applyAlignment="1">
      <alignment horizontal="center" vertical="center"/>
    </xf>
    <xf numFmtId="165" fontId="138" fillId="65" borderId="0" xfId="0" applyNumberFormat="1" applyFont="1" applyFill="1" applyBorder="1" applyAlignment="1">
      <alignment horizontal="center" vertical="center"/>
    </xf>
    <xf numFmtId="0" fontId="129" fillId="65" borderId="0" xfId="0" applyFont="1" applyFill="1" applyBorder="1" applyAlignment="1">
      <alignment wrapText="1"/>
    </xf>
    <xf numFmtId="0" fontId="129" fillId="65" borderId="0" xfId="0" applyFont="1" applyFill="1" applyAlignment="1">
      <alignment wrapText="1"/>
    </xf>
    <xf numFmtId="0" fontId="142" fillId="65" borderId="6" xfId="0" applyFont="1" applyFill="1" applyBorder="1" applyAlignment="1">
      <alignment horizontal="left" vertical="center"/>
    </xf>
    <xf numFmtId="0" fontId="142" fillId="65" borderId="9" xfId="0" applyFont="1" applyFill="1" applyBorder="1" applyAlignment="1">
      <alignment horizontal="left" vertical="center"/>
    </xf>
    <xf numFmtId="0" fontId="143" fillId="65" borderId="0" xfId="0" applyFont="1" applyFill="1" applyAlignment="1">
      <alignment horizontal="left" vertical="center"/>
    </xf>
    <xf numFmtId="0" fontId="142" fillId="65" borderId="28" xfId="0" applyFont="1" applyFill="1" applyBorder="1" applyAlignment="1">
      <alignment horizontal="left" vertical="center"/>
    </xf>
    <xf numFmtId="0" fontId="142" fillId="65" borderId="0" xfId="0" applyFont="1" applyFill="1" applyBorder="1" applyAlignment="1">
      <alignment horizontal="left" vertical="center"/>
    </xf>
    <xf numFmtId="0" fontId="143" fillId="65" borderId="0" xfId="0" applyFont="1" applyFill="1" applyBorder="1" applyAlignment="1">
      <alignment horizontal="left" vertical="center"/>
    </xf>
    <xf numFmtId="0" fontId="143" fillId="65" borderId="29" xfId="0" applyFont="1" applyFill="1" applyBorder="1" applyAlignment="1">
      <alignment horizontal="left" vertical="center"/>
    </xf>
    <xf numFmtId="0" fontId="143" fillId="65" borderId="28" xfId="0" applyFont="1" applyFill="1" applyBorder="1" applyAlignment="1">
      <alignment horizontal="left" vertical="center"/>
    </xf>
    <xf numFmtId="0" fontId="142" fillId="65" borderId="18" xfId="0" applyFont="1" applyFill="1" applyBorder="1" applyAlignment="1">
      <alignment horizontal="left" vertical="center"/>
    </xf>
    <xf numFmtId="0" fontId="142" fillId="65" borderId="14" xfId="0" applyFont="1" applyFill="1" applyBorder="1" applyAlignment="1">
      <alignment horizontal="left" vertical="center"/>
    </xf>
    <xf numFmtId="0" fontId="143" fillId="65" borderId="14" xfId="0" applyFont="1" applyFill="1" applyBorder="1" applyAlignment="1">
      <alignment horizontal="left" vertical="center"/>
    </xf>
    <xf numFmtId="0" fontId="143" fillId="65" borderId="4" xfId="0" applyFont="1" applyFill="1" applyBorder="1" applyAlignment="1">
      <alignment horizontal="left" vertical="center"/>
    </xf>
    <xf numFmtId="0" fontId="91" fillId="65" borderId="9" xfId="0" applyFont="1" applyFill="1" applyBorder="1" applyAlignment="1">
      <alignment horizontal="left" vertical="center"/>
    </xf>
    <xf numFmtId="0" fontId="91" fillId="65" borderId="9" xfId="0" applyFont="1" applyFill="1" applyBorder="1" applyAlignment="1">
      <alignment horizontal="center" vertical="center"/>
    </xf>
    <xf numFmtId="0" fontId="28" fillId="65" borderId="9" xfId="0" applyFont="1" applyFill="1" applyBorder="1" applyAlignment="1">
      <alignment horizontal="center" vertical="center"/>
    </xf>
    <xf numFmtId="0" fontId="91" fillId="65" borderId="3" xfId="0" applyFont="1" applyFill="1" applyBorder="1" applyAlignment="1">
      <alignment horizontal="center" vertical="center"/>
    </xf>
    <xf numFmtId="0" fontId="125" fillId="65" borderId="0" xfId="0" applyFont="1" applyFill="1"/>
    <xf numFmtId="0" fontId="100" fillId="65" borderId="14" xfId="0" applyFont="1" applyFill="1" applyBorder="1" applyAlignment="1">
      <alignment horizontal="left" vertical="center"/>
    </xf>
    <xf numFmtId="0" fontId="100" fillId="65" borderId="14" xfId="0" applyFont="1" applyFill="1" applyBorder="1" applyAlignment="1">
      <alignment horizontal="center" vertical="center"/>
    </xf>
    <xf numFmtId="0" fontId="119" fillId="65" borderId="14" xfId="0" applyFont="1" applyFill="1" applyBorder="1" applyAlignment="1">
      <alignment horizontal="center" vertical="center"/>
    </xf>
    <xf numFmtId="0" fontId="100" fillId="65" borderId="4" xfId="0" applyFont="1" applyFill="1" applyBorder="1" applyAlignment="1">
      <alignment horizontal="center" vertical="center"/>
    </xf>
    <xf numFmtId="0" fontId="142" fillId="65" borderId="0" xfId="0" applyFont="1" applyFill="1" applyBorder="1" applyAlignment="1">
      <alignment horizontal="center" vertical="center" wrapText="1"/>
    </xf>
    <xf numFmtId="0" fontId="2" fillId="65" borderId="21" xfId="0" applyFont="1" applyFill="1" applyBorder="1" applyAlignment="1">
      <alignment horizontal="left" vertical="center"/>
    </xf>
    <xf numFmtId="0" fontId="142" fillId="65" borderId="29" xfId="0" applyFont="1" applyFill="1" applyBorder="1" applyAlignment="1">
      <alignment vertical="center" wrapText="1"/>
    </xf>
    <xf numFmtId="0" fontId="142" fillId="65" borderId="9" xfId="0" applyFont="1" applyFill="1" applyBorder="1" applyAlignment="1">
      <alignment horizontal="center" vertical="center"/>
    </xf>
    <xf numFmtId="0" fontId="142" fillId="65" borderId="0" xfId="0" applyFont="1" applyFill="1" applyBorder="1" applyAlignment="1">
      <alignment horizontal="center" vertical="center"/>
    </xf>
    <xf numFmtId="0" fontId="143" fillId="65" borderId="4" xfId="0" applyFont="1" applyFill="1" applyBorder="1" applyAlignment="1">
      <alignment vertical="center" wrapText="1"/>
    </xf>
    <xf numFmtId="0" fontId="142" fillId="65" borderId="0" xfId="0" applyFont="1" applyFill="1" applyBorder="1" applyAlignment="1">
      <alignment horizontal="center"/>
    </xf>
    <xf numFmtId="0" fontId="142" fillId="65" borderId="0" xfId="0" applyFont="1" applyFill="1" applyBorder="1" applyAlignment="1"/>
    <xf numFmtId="0" fontId="143" fillId="65" borderId="14" xfId="0" applyFont="1" applyFill="1" applyBorder="1" applyAlignment="1">
      <alignment horizontal="center" vertical="top" wrapText="1"/>
    </xf>
    <xf numFmtId="0" fontId="72" fillId="34" borderId="29" xfId="0" applyFont="1" applyFill="1" applyBorder="1" applyAlignment="1">
      <alignment horizontal="center" vertical="center"/>
    </xf>
    <xf numFmtId="0" fontId="2" fillId="65" borderId="21" xfId="0" applyFont="1" applyFill="1" applyBorder="1" applyAlignment="1">
      <alignment horizontal="left" vertical="center"/>
    </xf>
    <xf numFmtId="0" fontId="62" fillId="0" borderId="0" xfId="0" applyFont="1" applyBorder="1" applyAlignment="1">
      <alignment vertical="center"/>
    </xf>
    <xf numFmtId="0" fontId="62" fillId="0" borderId="0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vertical="center"/>
    </xf>
    <xf numFmtId="0" fontId="101" fillId="0" borderId="0" xfId="0" applyFont="1" applyBorder="1" applyAlignment="1">
      <alignment horizontal="right" vertical="center"/>
    </xf>
    <xf numFmtId="165" fontId="6" fillId="62" borderId="0" xfId="0" applyNumberFormat="1" applyFont="1" applyFill="1" applyBorder="1" applyAlignment="1">
      <alignment horizontal="center" vertical="center"/>
    </xf>
    <xf numFmtId="0" fontId="28" fillId="65" borderId="18" xfId="0" applyFont="1" applyFill="1" applyBorder="1" applyAlignment="1">
      <alignment horizontal="left" vertical="center"/>
    </xf>
    <xf numFmtId="0" fontId="0" fillId="65" borderId="14" xfId="0" applyFill="1" applyBorder="1" applyAlignment="1">
      <alignment vertical="center"/>
    </xf>
    <xf numFmtId="0" fontId="143" fillId="65" borderId="14" xfId="0" applyFont="1" applyFill="1" applyBorder="1" applyAlignment="1">
      <alignment horizontal="center" vertical="center" wrapText="1"/>
    </xf>
    <xf numFmtId="0" fontId="14" fillId="63" borderId="16" xfId="0" applyFont="1" applyFill="1" applyBorder="1" applyAlignment="1">
      <alignment horizontal="left" vertical="center" wrapText="1"/>
    </xf>
    <xf numFmtId="0" fontId="139" fillId="57" borderId="21" xfId="0" applyFont="1" applyFill="1" applyBorder="1" applyAlignment="1">
      <alignment horizontal="left" vertical="center"/>
    </xf>
    <xf numFmtId="0" fontId="139" fillId="57" borderId="17" xfId="0" applyFont="1" applyFill="1" applyBorder="1" applyAlignment="1">
      <alignment horizontal="left" vertical="center"/>
    </xf>
    <xf numFmtId="0" fontId="2" fillId="65" borderId="21" xfId="0" applyFont="1" applyFill="1" applyBorder="1" applyAlignment="1">
      <alignment horizontal="left" vertical="center"/>
    </xf>
    <xf numFmtId="0" fontId="2" fillId="65" borderId="17" xfId="0" applyFont="1" applyFill="1" applyBorder="1" applyAlignment="1">
      <alignment horizontal="left" vertical="center"/>
    </xf>
    <xf numFmtId="0" fontId="138" fillId="65" borderId="21" xfId="0" applyFont="1" applyFill="1" applyBorder="1" applyAlignment="1">
      <alignment horizontal="left" vertical="center"/>
    </xf>
    <xf numFmtId="0" fontId="138" fillId="65" borderId="17" xfId="0" applyFont="1" applyFill="1" applyBorder="1" applyAlignment="1">
      <alignment horizontal="left" vertical="center"/>
    </xf>
    <xf numFmtId="0" fontId="53" fillId="25" borderId="25" xfId="0" applyFont="1" applyFill="1" applyBorder="1" applyAlignment="1">
      <alignment horizontal="left" vertical="center"/>
    </xf>
    <xf numFmtId="0" fontId="51" fillId="23" borderId="26" xfId="0" applyFont="1" applyFill="1" applyBorder="1" applyAlignment="1">
      <alignment horizontal="left" vertical="center"/>
    </xf>
    <xf numFmtId="0" fontId="142" fillId="65" borderId="0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colors>
    <mruColors>
      <color rgb="FFFAB0F5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81"/>
  <sheetViews>
    <sheetView view="pageBreakPreview" topLeftCell="A2" zoomScale="70" zoomScaleNormal="70" zoomScaleSheetLayoutView="70" zoomScalePageLayoutView="40" workbookViewId="0">
      <selection activeCell="B5" sqref="B5"/>
    </sheetView>
  </sheetViews>
  <sheetFormatPr defaultColWidth="10.28515625" defaultRowHeight="18"/>
  <cols>
    <col min="1" max="1" width="12.7109375" style="3" customWidth="1"/>
    <col min="2" max="2" width="125.7109375" style="69" customWidth="1"/>
    <col min="3" max="4" width="12.7109375" style="16" customWidth="1"/>
    <col min="5" max="5" width="25.7109375" style="21" customWidth="1"/>
    <col min="6" max="7" width="25.7109375" style="16" customWidth="1"/>
    <col min="8" max="12" width="25.7109375" style="66" customWidth="1"/>
    <col min="13" max="13" width="25.7109375" style="67" customWidth="1"/>
    <col min="14" max="14" width="25.7109375" style="66" customWidth="1"/>
    <col min="15" max="15" width="28.5703125" customWidth="1"/>
    <col min="16" max="17" width="12.5703125" bestFit="1" customWidth="1"/>
  </cols>
  <sheetData>
    <row r="1" spans="1:18" ht="18.75" thickBot="1">
      <c r="B1" s="135"/>
    </row>
    <row r="2" spans="1:18" s="458" customFormat="1" ht="21" thickBot="1">
      <c r="A2" s="479" t="s">
        <v>680</v>
      </c>
      <c r="B2" s="480"/>
      <c r="C2" s="454" t="s">
        <v>0</v>
      </c>
      <c r="D2" s="454"/>
      <c r="E2" s="455"/>
      <c r="F2" s="454"/>
      <c r="G2" s="454"/>
      <c r="H2" s="455"/>
      <c r="I2" s="455"/>
      <c r="J2" s="455"/>
      <c r="K2" s="455"/>
      <c r="L2" s="455"/>
      <c r="M2" s="456"/>
      <c r="N2" s="457"/>
    </row>
    <row r="3" spans="1:18" s="458" customFormat="1" ht="21" thickBot="1">
      <c r="A3" s="479" t="s">
        <v>681</v>
      </c>
      <c r="B3" s="480"/>
      <c r="C3" s="459" t="s">
        <v>1</v>
      </c>
      <c r="D3" s="459"/>
      <c r="E3" s="460"/>
      <c r="F3" s="459"/>
      <c r="G3" s="459"/>
      <c r="H3" s="460"/>
      <c r="I3" s="460"/>
      <c r="J3" s="460"/>
      <c r="K3" s="460"/>
      <c r="L3" s="460"/>
      <c r="M3" s="461"/>
      <c r="N3" s="462"/>
    </row>
    <row r="4" spans="1:18" s="16" customFormat="1">
      <c r="A4" s="11" t="s">
        <v>2</v>
      </c>
      <c r="B4" s="123"/>
      <c r="C4" s="124" t="s">
        <v>3</v>
      </c>
      <c r="D4" s="124"/>
      <c r="E4" s="125"/>
      <c r="F4" s="124"/>
      <c r="G4" s="124"/>
      <c r="H4" s="125"/>
      <c r="I4" s="125"/>
      <c r="J4" s="125"/>
      <c r="K4" s="125"/>
      <c r="L4" s="125"/>
      <c r="M4" s="126"/>
      <c r="N4" s="347"/>
    </row>
    <row r="5" spans="1:18" s="16" customFormat="1" ht="36.75" customHeight="1">
      <c r="A5" s="127" t="s">
        <v>4</v>
      </c>
      <c r="B5" s="128"/>
      <c r="C5" s="482" t="s">
        <v>303</v>
      </c>
      <c r="D5" s="482"/>
      <c r="E5" s="482"/>
      <c r="F5" s="482"/>
      <c r="G5" s="482"/>
      <c r="H5" s="189"/>
      <c r="I5" s="129"/>
      <c r="J5" s="130"/>
      <c r="K5" s="130"/>
      <c r="L5" s="130"/>
      <c r="M5" s="15"/>
      <c r="N5" s="348"/>
    </row>
    <row r="6" spans="1:18" s="16" customFormat="1" ht="18.75" thickBot="1">
      <c r="A6" s="349" t="s">
        <v>5</v>
      </c>
      <c r="B6" s="350"/>
      <c r="C6" s="351" t="s">
        <v>578</v>
      </c>
      <c r="D6" s="352"/>
      <c r="E6" s="353"/>
      <c r="F6" s="352"/>
      <c r="G6" s="352"/>
      <c r="H6" s="353"/>
      <c r="I6" s="353"/>
      <c r="J6" s="353"/>
      <c r="K6" s="353"/>
      <c r="L6" s="353"/>
      <c r="M6" s="354"/>
      <c r="N6" s="355"/>
    </row>
    <row r="7" spans="1:18" s="6" customFormat="1" ht="18.75" hidden="1" thickBot="1">
      <c r="A7" s="341" t="s">
        <v>6</v>
      </c>
      <c r="B7" s="342"/>
      <c r="C7" s="343"/>
      <c r="D7" s="343"/>
      <c r="E7" s="344"/>
      <c r="F7" s="343"/>
      <c r="G7" s="343"/>
      <c r="H7" s="345"/>
      <c r="I7" s="345"/>
      <c r="J7" s="345"/>
      <c r="K7" s="345"/>
      <c r="L7" s="345"/>
      <c r="M7" s="346"/>
      <c r="N7" s="472"/>
    </row>
    <row r="8" spans="1:18" ht="15.75">
      <c r="A8" s="171" t="s">
        <v>7</v>
      </c>
      <c r="B8" s="172"/>
      <c r="C8" s="173" t="s">
        <v>8</v>
      </c>
      <c r="D8" s="174" t="s">
        <v>9</v>
      </c>
      <c r="E8" s="175" t="s">
        <v>10</v>
      </c>
      <c r="F8" s="175" t="s">
        <v>11</v>
      </c>
      <c r="G8" s="268" t="s">
        <v>12</v>
      </c>
      <c r="H8" s="314" t="s">
        <v>13</v>
      </c>
      <c r="I8" s="315" t="s">
        <v>14</v>
      </c>
      <c r="J8" s="315" t="s">
        <v>15</v>
      </c>
      <c r="K8" s="315" t="s">
        <v>16</v>
      </c>
      <c r="L8" s="315" t="s">
        <v>398</v>
      </c>
      <c r="M8" s="315" t="s">
        <v>399</v>
      </c>
      <c r="N8" s="316" t="s">
        <v>400</v>
      </c>
    </row>
    <row r="9" spans="1:18" s="365" customFormat="1" ht="15">
      <c r="A9" s="375" t="s">
        <v>17</v>
      </c>
      <c r="B9" s="376"/>
      <c r="C9" s="377"/>
      <c r="D9" s="378"/>
      <c r="E9" s="379"/>
      <c r="F9" s="379"/>
      <c r="G9" s="380">
        <f>F10+F30</f>
        <v>0</v>
      </c>
      <c r="H9" s="381">
        <f t="shared" ref="H9:M9" si="0">SUM(H11:H47)</f>
        <v>0</v>
      </c>
      <c r="I9" s="382">
        <f t="shared" si="0"/>
        <v>0</v>
      </c>
      <c r="J9" s="382">
        <f t="shared" si="0"/>
        <v>0</v>
      </c>
      <c r="K9" s="382">
        <f t="shared" si="0"/>
        <v>0</v>
      </c>
      <c r="L9" s="382">
        <f t="shared" si="0"/>
        <v>0</v>
      </c>
      <c r="M9" s="382">
        <f t="shared" si="0"/>
        <v>0</v>
      </c>
      <c r="N9" s="383">
        <f>SUM(N11:N47)</f>
        <v>0</v>
      </c>
    </row>
    <row r="10" spans="1:18" s="10" customFormat="1" ht="15">
      <c r="A10" s="104" t="s">
        <v>18</v>
      </c>
      <c r="B10" s="136" t="s">
        <v>533</v>
      </c>
      <c r="C10" s="95"/>
      <c r="D10" s="96"/>
      <c r="E10" s="97"/>
      <c r="F10" s="98">
        <f>SUM(F11:F29)</f>
        <v>0</v>
      </c>
      <c r="G10" s="269"/>
      <c r="H10" s="290"/>
      <c r="I10" s="98"/>
      <c r="J10" s="98"/>
      <c r="K10" s="99"/>
      <c r="L10" s="99"/>
      <c r="M10" s="98"/>
      <c r="N10" s="319"/>
    </row>
    <row r="11" spans="1:18" s="10" customFormat="1" ht="14.25">
      <c r="A11" s="193" t="s">
        <v>534</v>
      </c>
      <c r="B11" s="204" t="s">
        <v>19</v>
      </c>
      <c r="C11" s="205">
        <v>2</v>
      </c>
      <c r="D11" s="197" t="s">
        <v>20</v>
      </c>
      <c r="E11" s="197"/>
      <c r="F11" s="28">
        <f t="shared" ref="F11:F47" si="1">E11*C11</f>
        <v>0</v>
      </c>
      <c r="G11" s="270"/>
      <c r="H11" s="291">
        <f>F11/2</f>
        <v>0</v>
      </c>
      <c r="I11" s="87"/>
      <c r="J11" s="62"/>
      <c r="K11" s="59"/>
      <c r="L11" s="59"/>
      <c r="M11" s="29"/>
      <c r="N11" s="88">
        <f>F11/2</f>
        <v>0</v>
      </c>
    </row>
    <row r="12" spans="1:18" s="10" customFormat="1" ht="14.25">
      <c r="A12" s="193" t="s">
        <v>535</v>
      </c>
      <c r="B12" s="209" t="s">
        <v>210</v>
      </c>
      <c r="C12" s="210">
        <v>3.36</v>
      </c>
      <c r="D12" s="197" t="s">
        <v>22</v>
      </c>
      <c r="E12" s="197"/>
      <c r="F12" s="28">
        <f t="shared" si="1"/>
        <v>0</v>
      </c>
      <c r="G12" s="270"/>
      <c r="H12" s="292">
        <f t="shared" ref="H12:H21" si="2">F12</f>
        <v>0</v>
      </c>
      <c r="I12" s="29"/>
      <c r="J12" s="29"/>
      <c r="K12" s="59"/>
      <c r="L12" s="59"/>
      <c r="M12" s="29"/>
      <c r="N12" s="89"/>
    </row>
    <row r="13" spans="1:18" s="25" customFormat="1" ht="14.25">
      <c r="A13" s="193" t="s">
        <v>536</v>
      </c>
      <c r="B13" s="194" t="s">
        <v>465</v>
      </c>
      <c r="C13" s="195">
        <v>0.112</v>
      </c>
      <c r="D13" s="203" t="s">
        <v>466</v>
      </c>
      <c r="E13" s="197"/>
      <c r="F13" s="196">
        <f>E13*C13</f>
        <v>0</v>
      </c>
      <c r="G13" s="271"/>
      <c r="H13" s="292">
        <f>F13</f>
        <v>0</v>
      </c>
      <c r="I13" s="196"/>
      <c r="J13" s="265"/>
      <c r="K13" s="90"/>
      <c r="L13" s="90"/>
      <c r="M13" s="40"/>
      <c r="N13" s="91"/>
      <c r="O13" s="162"/>
      <c r="P13" s="162"/>
      <c r="Q13" s="162"/>
      <c r="R13" s="162"/>
    </row>
    <row r="14" spans="1:18" s="10" customFormat="1" ht="14.25">
      <c r="A14" s="193" t="s">
        <v>537</v>
      </c>
      <c r="B14" s="194" t="s">
        <v>224</v>
      </c>
      <c r="C14" s="210">
        <v>4</v>
      </c>
      <c r="D14" s="196" t="s">
        <v>20</v>
      </c>
      <c r="E14" s="197"/>
      <c r="F14" s="28">
        <f t="shared" si="1"/>
        <v>0</v>
      </c>
      <c r="G14" s="270"/>
      <c r="H14" s="292">
        <f t="shared" si="2"/>
        <v>0</v>
      </c>
      <c r="I14" s="29"/>
      <c r="J14" s="29"/>
      <c r="K14" s="59"/>
      <c r="L14" s="59"/>
      <c r="M14" s="29"/>
      <c r="N14" s="89"/>
    </row>
    <row r="15" spans="1:18" s="10" customFormat="1" ht="14.25">
      <c r="A15" s="193" t="s">
        <v>538</v>
      </c>
      <c r="B15" s="194" t="s">
        <v>225</v>
      </c>
      <c r="C15" s="210">
        <v>4</v>
      </c>
      <c r="D15" s="196" t="s">
        <v>20</v>
      </c>
      <c r="E15" s="197"/>
      <c r="F15" s="28">
        <f t="shared" si="1"/>
        <v>0</v>
      </c>
      <c r="G15" s="270"/>
      <c r="H15" s="292">
        <f t="shared" si="2"/>
        <v>0</v>
      </c>
      <c r="I15" s="29"/>
      <c r="J15" s="29"/>
      <c r="K15" s="59"/>
      <c r="L15" s="59"/>
      <c r="M15" s="29"/>
      <c r="N15" s="89"/>
    </row>
    <row r="16" spans="1:18" s="10" customFormat="1" ht="14.25">
      <c r="A16" s="193" t="s">
        <v>539</v>
      </c>
      <c r="B16" s="206" t="s">
        <v>405</v>
      </c>
      <c r="C16" s="202">
        <v>9</v>
      </c>
      <c r="D16" s="207" t="s">
        <v>22</v>
      </c>
      <c r="E16" s="207"/>
      <c r="F16" s="197">
        <f t="shared" si="1"/>
        <v>0</v>
      </c>
      <c r="G16" s="270"/>
      <c r="H16" s="292">
        <f t="shared" si="2"/>
        <v>0</v>
      </c>
      <c r="I16" s="26"/>
      <c r="J16" s="40"/>
      <c r="K16" s="90"/>
      <c r="L16" s="90"/>
      <c r="M16" s="40"/>
      <c r="N16" s="91"/>
    </row>
    <row r="17" spans="1:14" s="10" customFormat="1" ht="14.25">
      <c r="A17" s="193" t="s">
        <v>540</v>
      </c>
      <c r="B17" s="194" t="s">
        <v>404</v>
      </c>
      <c r="C17" s="195">
        <v>12</v>
      </c>
      <c r="D17" s="196" t="s">
        <v>22</v>
      </c>
      <c r="E17" s="197"/>
      <c r="F17" s="28">
        <f t="shared" si="1"/>
        <v>0</v>
      </c>
      <c r="G17" s="270"/>
      <c r="H17" s="292">
        <f t="shared" si="2"/>
        <v>0</v>
      </c>
      <c r="I17" s="29"/>
      <c r="J17" s="29"/>
      <c r="K17" s="59"/>
      <c r="L17" s="59"/>
      <c r="M17" s="29"/>
      <c r="N17" s="89"/>
    </row>
    <row r="18" spans="1:14" s="10" customFormat="1" ht="14.25">
      <c r="A18" s="193" t="s">
        <v>541</v>
      </c>
      <c r="B18" s="206" t="s">
        <v>406</v>
      </c>
      <c r="C18" s="202">
        <v>12</v>
      </c>
      <c r="D18" s="207" t="s">
        <v>22</v>
      </c>
      <c r="E18" s="207"/>
      <c r="F18" s="28">
        <f t="shared" si="1"/>
        <v>0</v>
      </c>
      <c r="G18" s="270"/>
      <c r="H18" s="292">
        <f t="shared" si="2"/>
        <v>0</v>
      </c>
      <c r="I18" s="29"/>
      <c r="J18" s="29"/>
      <c r="K18" s="59"/>
      <c r="L18" s="59"/>
      <c r="M18" s="29"/>
      <c r="N18" s="89"/>
    </row>
    <row r="19" spans="1:14" s="10" customFormat="1" ht="14.25">
      <c r="A19" s="193" t="s">
        <v>542</v>
      </c>
      <c r="B19" s="206" t="s">
        <v>402</v>
      </c>
      <c r="C19" s="202">
        <v>24</v>
      </c>
      <c r="D19" s="207" t="s">
        <v>22</v>
      </c>
      <c r="E19" s="207"/>
      <c r="F19" s="197">
        <f t="shared" si="1"/>
        <v>0</v>
      </c>
      <c r="G19" s="270"/>
      <c r="H19" s="292">
        <f t="shared" si="2"/>
        <v>0</v>
      </c>
      <c r="I19" s="29"/>
      <c r="J19" s="29"/>
      <c r="K19" s="59"/>
      <c r="L19" s="59"/>
      <c r="M19" s="29"/>
      <c r="N19" s="89"/>
    </row>
    <row r="20" spans="1:14" s="10" customFormat="1" ht="14.25">
      <c r="A20" s="193" t="s">
        <v>543</v>
      </c>
      <c r="B20" s="206" t="s">
        <v>403</v>
      </c>
      <c r="C20" s="202">
        <v>2</v>
      </c>
      <c r="D20" s="207" t="s">
        <v>20</v>
      </c>
      <c r="E20" s="207"/>
      <c r="F20" s="197">
        <f t="shared" si="1"/>
        <v>0</v>
      </c>
      <c r="G20" s="270"/>
      <c r="H20" s="294"/>
      <c r="I20" s="29"/>
      <c r="J20" s="29"/>
      <c r="K20" s="59"/>
      <c r="L20" s="59"/>
      <c r="M20" s="29"/>
      <c r="N20" s="186">
        <f>F20</f>
        <v>0</v>
      </c>
    </row>
    <row r="21" spans="1:14" s="10" customFormat="1" ht="14.25">
      <c r="A21" s="193" t="s">
        <v>544</v>
      </c>
      <c r="B21" s="211" t="s">
        <v>23</v>
      </c>
      <c r="C21" s="205">
        <v>4</v>
      </c>
      <c r="D21" s="197" t="s">
        <v>20</v>
      </c>
      <c r="E21" s="197"/>
      <c r="F21" s="197">
        <f t="shared" si="1"/>
        <v>0</v>
      </c>
      <c r="G21" s="270"/>
      <c r="H21" s="292">
        <f t="shared" si="2"/>
        <v>0</v>
      </c>
      <c r="I21" s="62"/>
      <c r="J21" s="62"/>
      <c r="K21" s="63"/>
      <c r="L21" s="63"/>
      <c r="M21" s="62"/>
      <c r="N21" s="320"/>
    </row>
    <row r="22" spans="1:14" s="10" customFormat="1" ht="14.25">
      <c r="A22" s="193" t="s">
        <v>545</v>
      </c>
      <c r="B22" s="206" t="s">
        <v>407</v>
      </c>
      <c r="C22" s="202">
        <f>300*12</f>
        <v>3600</v>
      </c>
      <c r="D22" s="213" t="s">
        <v>22</v>
      </c>
      <c r="E22" s="207"/>
      <c r="F22" s="197">
        <f t="shared" si="1"/>
        <v>0</v>
      </c>
      <c r="G22" s="270"/>
      <c r="H22" s="292">
        <f>F22/6</f>
        <v>0</v>
      </c>
      <c r="I22" s="49">
        <f>F22/6</f>
        <v>0</v>
      </c>
      <c r="J22" s="49">
        <f>F22/6</f>
        <v>0</v>
      </c>
      <c r="K22" s="49">
        <f>F22/6</f>
        <v>0</v>
      </c>
      <c r="L22" s="49">
        <f>F22/6</f>
        <v>0</v>
      </c>
      <c r="M22" s="49">
        <f>F22/6</f>
        <v>0</v>
      </c>
      <c r="N22" s="312"/>
    </row>
    <row r="23" spans="1:14" s="10" customFormat="1" ht="14.25">
      <c r="A23" s="193" t="s">
        <v>546</v>
      </c>
      <c r="B23" s="194" t="s">
        <v>184</v>
      </c>
      <c r="C23" s="210">
        <v>390</v>
      </c>
      <c r="D23" s="197" t="s">
        <v>22</v>
      </c>
      <c r="E23" s="197"/>
      <c r="F23" s="28">
        <f t="shared" si="1"/>
        <v>0</v>
      </c>
      <c r="G23" s="270"/>
      <c r="H23" s="292">
        <f t="shared" ref="H23:H27" si="3">F23</f>
        <v>0</v>
      </c>
      <c r="I23" s="29"/>
      <c r="J23" s="29"/>
      <c r="K23" s="59"/>
      <c r="L23" s="59"/>
      <c r="M23" s="29"/>
      <c r="N23" s="321"/>
    </row>
    <row r="24" spans="1:14" s="10" customFormat="1" ht="14.25">
      <c r="A24" s="193" t="s">
        <v>547</v>
      </c>
      <c r="B24" s="206" t="s">
        <v>179</v>
      </c>
      <c r="C24" s="202">
        <v>5.36</v>
      </c>
      <c r="D24" s="207" t="s">
        <v>22</v>
      </c>
      <c r="E24" s="207"/>
      <c r="F24" s="197">
        <f t="shared" si="1"/>
        <v>0</v>
      </c>
      <c r="G24" s="270"/>
      <c r="H24" s="292">
        <f t="shared" si="3"/>
        <v>0</v>
      </c>
      <c r="I24" s="29"/>
      <c r="J24" s="29"/>
      <c r="K24" s="59"/>
      <c r="L24" s="59"/>
      <c r="M24" s="29"/>
      <c r="N24" s="321"/>
    </row>
    <row r="25" spans="1:14" s="10" customFormat="1" ht="28.5">
      <c r="A25" s="193" t="s">
        <v>548</v>
      </c>
      <c r="B25" s="194" t="s">
        <v>410</v>
      </c>
      <c r="C25" s="210">
        <v>2</v>
      </c>
      <c r="D25" s="196" t="s">
        <v>20</v>
      </c>
      <c r="E25" s="197"/>
      <c r="F25" s="197">
        <f t="shared" si="1"/>
        <v>0</v>
      </c>
      <c r="G25" s="270"/>
      <c r="H25" s="292">
        <f t="shared" si="3"/>
        <v>0</v>
      </c>
      <c r="I25" s="29"/>
      <c r="J25" s="29"/>
      <c r="K25" s="59"/>
      <c r="L25" s="59"/>
      <c r="M25" s="29"/>
      <c r="N25" s="321"/>
    </row>
    <row r="26" spans="1:14" s="10" customFormat="1" ht="14.25">
      <c r="A26" s="193" t="s">
        <v>549</v>
      </c>
      <c r="B26" s="194" t="s">
        <v>182</v>
      </c>
      <c r="C26" s="205">
        <v>10</v>
      </c>
      <c r="D26" s="196" t="s">
        <v>35</v>
      </c>
      <c r="E26" s="197"/>
      <c r="F26" s="197">
        <f t="shared" si="1"/>
        <v>0</v>
      </c>
      <c r="G26" s="272"/>
      <c r="H26" s="292">
        <f t="shared" si="3"/>
        <v>0</v>
      </c>
      <c r="I26" s="62"/>
      <c r="J26" s="62"/>
      <c r="K26" s="63"/>
      <c r="L26" s="63"/>
      <c r="M26" s="62"/>
      <c r="N26" s="320"/>
    </row>
    <row r="27" spans="1:14" s="10" customFormat="1" ht="14.25">
      <c r="A27" s="193" t="s">
        <v>550</v>
      </c>
      <c r="B27" s="194" t="s">
        <v>181</v>
      </c>
      <c r="C27" s="205">
        <f>(10*2.42)+(24*1.21)*2</f>
        <v>82.28</v>
      </c>
      <c r="D27" s="212" t="s">
        <v>22</v>
      </c>
      <c r="E27" s="197"/>
      <c r="F27" s="197">
        <f t="shared" si="1"/>
        <v>0</v>
      </c>
      <c r="G27" s="270"/>
      <c r="H27" s="292">
        <f t="shared" si="3"/>
        <v>0</v>
      </c>
      <c r="I27" s="62"/>
      <c r="J27" s="62"/>
      <c r="K27" s="63"/>
      <c r="L27" s="63"/>
      <c r="M27" s="62"/>
      <c r="N27" s="320"/>
    </row>
    <row r="28" spans="1:14" s="10" customFormat="1" ht="14.25">
      <c r="A28" s="193" t="s">
        <v>551</v>
      </c>
      <c r="B28" s="194" t="s">
        <v>226</v>
      </c>
      <c r="C28" s="205">
        <v>400</v>
      </c>
      <c r="D28" s="197" t="s">
        <v>22</v>
      </c>
      <c r="E28" s="197"/>
      <c r="F28" s="197">
        <f t="shared" si="1"/>
        <v>0</v>
      </c>
      <c r="G28" s="270"/>
      <c r="H28" s="292">
        <f t="shared" ref="H28" si="4">F28/2</f>
        <v>0</v>
      </c>
      <c r="I28" s="49">
        <f t="shared" ref="I28" si="5">F28/2</f>
        <v>0</v>
      </c>
      <c r="J28" s="62"/>
      <c r="K28" s="63"/>
      <c r="L28" s="63"/>
      <c r="M28" s="62"/>
      <c r="N28" s="320"/>
    </row>
    <row r="29" spans="1:14" s="10" customFormat="1" ht="14.25">
      <c r="A29" s="193" t="s">
        <v>552</v>
      </c>
      <c r="B29" s="211" t="s">
        <v>25</v>
      </c>
      <c r="C29" s="210">
        <v>1</v>
      </c>
      <c r="D29" s="196" t="s">
        <v>20</v>
      </c>
      <c r="E29" s="197"/>
      <c r="F29" s="197">
        <f t="shared" si="1"/>
        <v>0</v>
      </c>
      <c r="G29" s="270"/>
      <c r="H29" s="292">
        <f>F29</f>
        <v>0</v>
      </c>
      <c r="I29" s="29"/>
      <c r="J29" s="29"/>
      <c r="K29" s="59"/>
      <c r="L29" s="59"/>
      <c r="M29" s="29"/>
      <c r="N29" s="321"/>
    </row>
    <row r="30" spans="1:14" s="10" customFormat="1" ht="15">
      <c r="A30" s="104" t="s">
        <v>21</v>
      </c>
      <c r="B30" s="136" t="s">
        <v>532</v>
      </c>
      <c r="C30" s="95"/>
      <c r="D30" s="96"/>
      <c r="E30" s="97"/>
      <c r="F30" s="98">
        <f>SUM(F31:F47)</f>
        <v>0</v>
      </c>
      <c r="G30" s="269"/>
      <c r="H30" s="290"/>
      <c r="I30" s="98"/>
      <c r="J30" s="98"/>
      <c r="K30" s="99"/>
      <c r="L30" s="99"/>
      <c r="M30" s="98"/>
      <c r="N30" s="319"/>
    </row>
    <row r="31" spans="1:14" s="10" customFormat="1" ht="28.5">
      <c r="A31" s="39" t="s">
        <v>553</v>
      </c>
      <c r="B31" s="194" t="s">
        <v>408</v>
      </c>
      <c r="C31" s="205">
        <v>106</v>
      </c>
      <c r="D31" s="197" t="s">
        <v>20</v>
      </c>
      <c r="E31" s="197"/>
      <c r="F31" s="197">
        <f t="shared" si="1"/>
        <v>0</v>
      </c>
      <c r="G31" s="270"/>
      <c r="H31" s="292">
        <f>F31/2</f>
        <v>0</v>
      </c>
      <c r="I31" s="49">
        <f>F31/2</f>
        <v>0</v>
      </c>
      <c r="J31" s="62"/>
      <c r="K31" s="63"/>
      <c r="L31" s="63"/>
      <c r="M31" s="62"/>
      <c r="N31" s="320"/>
    </row>
    <row r="32" spans="1:14" s="10" customFormat="1" ht="14.25">
      <c r="A32" s="39" t="s">
        <v>554</v>
      </c>
      <c r="B32" s="194" t="s">
        <v>409</v>
      </c>
      <c r="C32" s="205">
        <f>25*(2.2*1.1)</f>
        <v>60.500000000000007</v>
      </c>
      <c r="D32" s="196" t="s">
        <v>22</v>
      </c>
      <c r="E32" s="197"/>
      <c r="F32" s="197">
        <f t="shared" si="1"/>
        <v>0</v>
      </c>
      <c r="G32" s="270"/>
      <c r="H32" s="292">
        <f t="shared" ref="H32:H47" si="6">F32/2</f>
        <v>0</v>
      </c>
      <c r="I32" s="49">
        <f t="shared" ref="I32:I47" si="7">F32/2</f>
        <v>0</v>
      </c>
      <c r="J32" s="62"/>
      <c r="K32" s="63"/>
      <c r="L32" s="63"/>
      <c r="M32" s="62"/>
      <c r="N32" s="320"/>
    </row>
    <row r="33" spans="1:14" s="10" customFormat="1" ht="14.25">
      <c r="A33" s="39" t="s">
        <v>555</v>
      </c>
      <c r="B33" s="194" t="s">
        <v>223</v>
      </c>
      <c r="C33" s="205">
        <v>260</v>
      </c>
      <c r="D33" s="196" t="s">
        <v>35</v>
      </c>
      <c r="E33" s="197"/>
      <c r="F33" s="28">
        <f t="shared" si="1"/>
        <v>0</v>
      </c>
      <c r="G33" s="270"/>
      <c r="H33" s="292">
        <f t="shared" si="6"/>
        <v>0</v>
      </c>
      <c r="I33" s="49">
        <f t="shared" si="7"/>
        <v>0</v>
      </c>
      <c r="J33" s="62"/>
      <c r="K33" s="63"/>
      <c r="L33" s="63"/>
      <c r="M33" s="62"/>
      <c r="N33" s="320"/>
    </row>
    <row r="34" spans="1:14" s="10" customFormat="1" ht="14.25">
      <c r="A34" s="39" t="s">
        <v>556</v>
      </c>
      <c r="B34" s="206" t="s">
        <v>183</v>
      </c>
      <c r="C34" s="214">
        <v>160</v>
      </c>
      <c r="D34" s="207" t="s">
        <v>35</v>
      </c>
      <c r="E34" s="207"/>
      <c r="F34" s="197">
        <f t="shared" si="1"/>
        <v>0</v>
      </c>
      <c r="G34" s="270"/>
      <c r="H34" s="292">
        <f t="shared" si="6"/>
        <v>0</v>
      </c>
      <c r="I34" s="49">
        <f t="shared" si="7"/>
        <v>0</v>
      </c>
      <c r="J34" s="62"/>
      <c r="K34" s="63"/>
      <c r="L34" s="63"/>
      <c r="M34" s="62"/>
      <c r="N34" s="320"/>
    </row>
    <row r="35" spans="1:14" s="10" customFormat="1" ht="14.25">
      <c r="A35" s="39" t="s">
        <v>557</v>
      </c>
      <c r="B35" s="206" t="s">
        <v>191</v>
      </c>
      <c r="C35" s="214">
        <v>200</v>
      </c>
      <c r="D35" s="207" t="s">
        <v>22</v>
      </c>
      <c r="E35" s="207"/>
      <c r="F35" s="197">
        <f t="shared" si="1"/>
        <v>0</v>
      </c>
      <c r="G35" s="270"/>
      <c r="H35" s="292">
        <f t="shared" si="6"/>
        <v>0</v>
      </c>
      <c r="I35" s="49">
        <f t="shared" si="7"/>
        <v>0</v>
      </c>
      <c r="J35" s="62"/>
      <c r="K35" s="63"/>
      <c r="L35" s="63"/>
      <c r="M35" s="62"/>
      <c r="N35" s="320"/>
    </row>
    <row r="36" spans="1:14" s="10" customFormat="1" ht="14.25">
      <c r="A36" s="39" t="s">
        <v>558</v>
      </c>
      <c r="B36" s="194" t="s">
        <v>186</v>
      </c>
      <c r="C36" s="205">
        <v>2</v>
      </c>
      <c r="D36" s="197" t="s">
        <v>20</v>
      </c>
      <c r="E36" s="197"/>
      <c r="F36" s="197">
        <f t="shared" si="1"/>
        <v>0</v>
      </c>
      <c r="G36" s="270"/>
      <c r="H36" s="292">
        <f t="shared" si="6"/>
        <v>0</v>
      </c>
      <c r="I36" s="49">
        <f t="shared" si="7"/>
        <v>0</v>
      </c>
      <c r="J36" s="62"/>
      <c r="K36" s="63"/>
      <c r="L36" s="63"/>
      <c r="M36" s="62"/>
      <c r="N36" s="320"/>
    </row>
    <row r="37" spans="1:14" s="10" customFormat="1" ht="14.25">
      <c r="A37" s="39" t="s">
        <v>559</v>
      </c>
      <c r="B37" s="194" t="s">
        <v>188</v>
      </c>
      <c r="C37" s="205">
        <v>3</v>
      </c>
      <c r="D37" s="197" t="s">
        <v>20</v>
      </c>
      <c r="E37" s="197"/>
      <c r="F37" s="197">
        <f t="shared" si="1"/>
        <v>0</v>
      </c>
      <c r="G37" s="270"/>
      <c r="H37" s="292">
        <f t="shared" si="6"/>
        <v>0</v>
      </c>
      <c r="I37" s="49">
        <f t="shared" si="7"/>
        <v>0</v>
      </c>
      <c r="J37" s="62"/>
      <c r="K37" s="63"/>
      <c r="L37" s="63"/>
      <c r="M37" s="62"/>
      <c r="N37" s="320"/>
    </row>
    <row r="38" spans="1:14" s="10" customFormat="1" ht="14.25">
      <c r="A38" s="39" t="s">
        <v>560</v>
      </c>
      <c r="B38" s="194" t="s">
        <v>189</v>
      </c>
      <c r="C38" s="205">
        <v>1</v>
      </c>
      <c r="D38" s="197" t="s">
        <v>20</v>
      </c>
      <c r="E38" s="197"/>
      <c r="F38" s="197">
        <f>E38*C38</f>
        <v>0</v>
      </c>
      <c r="G38" s="270"/>
      <c r="H38" s="292">
        <f t="shared" si="6"/>
        <v>0</v>
      </c>
      <c r="I38" s="49">
        <f t="shared" si="7"/>
        <v>0</v>
      </c>
      <c r="J38" s="62"/>
      <c r="K38" s="63"/>
      <c r="L38" s="63"/>
      <c r="M38" s="62"/>
      <c r="N38" s="320"/>
    </row>
    <row r="39" spans="1:14" s="10" customFormat="1" ht="14.25">
      <c r="A39" s="39" t="s">
        <v>561</v>
      </c>
      <c r="B39" s="194" t="s">
        <v>24</v>
      </c>
      <c r="C39" s="205">
        <v>10</v>
      </c>
      <c r="D39" s="197" t="s">
        <v>20</v>
      </c>
      <c r="E39" s="197"/>
      <c r="F39" s="197">
        <f t="shared" si="1"/>
        <v>0</v>
      </c>
      <c r="G39" s="270"/>
      <c r="H39" s="292">
        <f t="shared" si="6"/>
        <v>0</v>
      </c>
      <c r="I39" s="49">
        <f t="shared" si="7"/>
        <v>0</v>
      </c>
      <c r="J39" s="62"/>
      <c r="K39" s="63"/>
      <c r="L39" s="63"/>
      <c r="M39" s="62"/>
      <c r="N39" s="320"/>
    </row>
    <row r="40" spans="1:14" s="10" customFormat="1" ht="14.25">
      <c r="A40" s="39" t="s">
        <v>562</v>
      </c>
      <c r="B40" s="194" t="s">
        <v>185</v>
      </c>
      <c r="C40" s="205">
        <v>3</v>
      </c>
      <c r="D40" s="197" t="s">
        <v>20</v>
      </c>
      <c r="E40" s="197"/>
      <c r="F40" s="197">
        <f>E40*C40</f>
        <v>0</v>
      </c>
      <c r="G40" s="270"/>
      <c r="H40" s="292">
        <f t="shared" si="6"/>
        <v>0</v>
      </c>
      <c r="I40" s="49">
        <f t="shared" si="7"/>
        <v>0</v>
      </c>
      <c r="J40" s="62"/>
      <c r="K40" s="63"/>
      <c r="L40" s="63"/>
      <c r="M40" s="62"/>
      <c r="N40" s="320"/>
    </row>
    <row r="41" spans="1:14" s="10" customFormat="1" ht="14.25">
      <c r="A41" s="39" t="s">
        <v>563</v>
      </c>
      <c r="B41" s="194" t="s">
        <v>173</v>
      </c>
      <c r="C41" s="205">
        <v>50</v>
      </c>
      <c r="D41" s="197" t="s">
        <v>20</v>
      </c>
      <c r="E41" s="197"/>
      <c r="F41" s="197">
        <f>E41*C41</f>
        <v>0</v>
      </c>
      <c r="G41" s="272"/>
      <c r="H41" s="292">
        <f t="shared" si="6"/>
        <v>0</v>
      </c>
      <c r="I41" s="49">
        <f t="shared" si="7"/>
        <v>0</v>
      </c>
      <c r="J41" s="62"/>
      <c r="K41" s="63"/>
      <c r="L41" s="63"/>
      <c r="M41" s="62"/>
      <c r="N41" s="320"/>
    </row>
    <row r="42" spans="1:14" s="10" customFormat="1" ht="14.25">
      <c r="A42" s="39" t="s">
        <v>564</v>
      </c>
      <c r="B42" s="194" t="s">
        <v>190</v>
      </c>
      <c r="C42" s="205">
        <v>2</v>
      </c>
      <c r="D42" s="197" t="s">
        <v>20</v>
      </c>
      <c r="E42" s="197"/>
      <c r="F42" s="197">
        <f t="shared" si="1"/>
        <v>0</v>
      </c>
      <c r="G42" s="272"/>
      <c r="H42" s="292">
        <f t="shared" si="6"/>
        <v>0</v>
      </c>
      <c r="I42" s="49">
        <f t="shared" si="7"/>
        <v>0</v>
      </c>
      <c r="J42" s="62"/>
      <c r="K42" s="63"/>
      <c r="L42" s="63"/>
      <c r="M42" s="62"/>
      <c r="N42" s="320"/>
    </row>
    <row r="43" spans="1:14" s="10" customFormat="1" ht="14.25">
      <c r="A43" s="39" t="s">
        <v>565</v>
      </c>
      <c r="B43" s="194" t="s">
        <v>174</v>
      </c>
      <c r="C43" s="205">
        <v>10</v>
      </c>
      <c r="D43" s="197" t="s">
        <v>20</v>
      </c>
      <c r="E43" s="197"/>
      <c r="F43" s="197">
        <f>E43*C43</f>
        <v>0</v>
      </c>
      <c r="G43" s="270"/>
      <c r="H43" s="292">
        <f t="shared" si="6"/>
        <v>0</v>
      </c>
      <c r="I43" s="49">
        <f t="shared" si="7"/>
        <v>0</v>
      </c>
      <c r="J43" s="62"/>
      <c r="K43" s="63"/>
      <c r="L43" s="63"/>
      <c r="M43" s="62"/>
      <c r="N43" s="320"/>
    </row>
    <row r="44" spans="1:14" s="10" customFormat="1" ht="14.25">
      <c r="A44" s="39" t="s">
        <v>566</v>
      </c>
      <c r="B44" s="194" t="s">
        <v>175</v>
      </c>
      <c r="C44" s="205">
        <v>10</v>
      </c>
      <c r="D44" s="197" t="s">
        <v>20</v>
      </c>
      <c r="E44" s="197"/>
      <c r="F44" s="197">
        <f t="shared" si="1"/>
        <v>0</v>
      </c>
      <c r="G44" s="270"/>
      <c r="H44" s="292">
        <f t="shared" si="6"/>
        <v>0</v>
      </c>
      <c r="I44" s="49">
        <f t="shared" si="7"/>
        <v>0</v>
      </c>
      <c r="J44" s="62"/>
      <c r="K44" s="63"/>
      <c r="L44" s="63"/>
      <c r="M44" s="62"/>
      <c r="N44" s="320"/>
    </row>
    <row r="45" spans="1:14" s="10" customFormat="1" ht="14.25">
      <c r="A45" s="39" t="s">
        <v>567</v>
      </c>
      <c r="B45" s="194" t="s">
        <v>416</v>
      </c>
      <c r="C45" s="205">
        <v>1</v>
      </c>
      <c r="D45" s="197" t="s">
        <v>20</v>
      </c>
      <c r="E45" s="197"/>
      <c r="F45" s="197">
        <f>E45*C45</f>
        <v>0</v>
      </c>
      <c r="G45" s="270"/>
      <c r="H45" s="292">
        <f t="shared" si="6"/>
        <v>0</v>
      </c>
      <c r="I45" s="49">
        <f t="shared" si="7"/>
        <v>0</v>
      </c>
      <c r="J45" s="62"/>
      <c r="K45" s="63"/>
      <c r="L45" s="63"/>
      <c r="M45" s="62"/>
      <c r="N45" s="320"/>
    </row>
    <row r="46" spans="1:14" s="10" customFormat="1" ht="14.25">
      <c r="A46" s="39" t="s">
        <v>568</v>
      </c>
      <c r="B46" s="194" t="s">
        <v>187</v>
      </c>
      <c r="C46" s="205">
        <v>5</v>
      </c>
      <c r="D46" s="197" t="s">
        <v>20</v>
      </c>
      <c r="E46" s="197"/>
      <c r="F46" s="197">
        <f>E46*C46</f>
        <v>0</v>
      </c>
      <c r="G46" s="270"/>
      <c r="H46" s="292">
        <f t="shared" si="6"/>
        <v>0</v>
      </c>
      <c r="I46" s="49">
        <f t="shared" si="7"/>
        <v>0</v>
      </c>
      <c r="J46" s="62"/>
      <c r="K46" s="63"/>
      <c r="L46" s="63"/>
      <c r="M46" s="62"/>
      <c r="N46" s="320"/>
    </row>
    <row r="47" spans="1:14" s="10" customFormat="1" ht="14.25">
      <c r="A47" s="39" t="s">
        <v>569</v>
      </c>
      <c r="B47" s="194" t="s">
        <v>570</v>
      </c>
      <c r="C47" s="205">
        <v>12</v>
      </c>
      <c r="D47" s="196" t="s">
        <v>123</v>
      </c>
      <c r="E47" s="197"/>
      <c r="F47" s="197">
        <f t="shared" si="1"/>
        <v>0</v>
      </c>
      <c r="G47" s="270"/>
      <c r="H47" s="292">
        <f t="shared" si="6"/>
        <v>0</v>
      </c>
      <c r="I47" s="49">
        <f t="shared" si="7"/>
        <v>0</v>
      </c>
      <c r="J47" s="62"/>
      <c r="K47" s="63"/>
      <c r="L47" s="63"/>
      <c r="M47" s="62"/>
      <c r="N47" s="320"/>
    </row>
    <row r="48" spans="1:14" s="365" customFormat="1" ht="15">
      <c r="A48" s="366" t="s">
        <v>26</v>
      </c>
      <c r="B48" s="367"/>
      <c r="C48" s="368"/>
      <c r="D48" s="369"/>
      <c r="E48" s="370"/>
      <c r="F48" s="370"/>
      <c r="G48" s="371">
        <f>F49+F80+F97+F101+F54+F109+F116</f>
        <v>0</v>
      </c>
      <c r="H48" s="372">
        <f>SUM(H49:H127)</f>
        <v>0</v>
      </c>
      <c r="I48" s="373">
        <f t="shared" ref="I48:N48" si="8">SUM(I49:I127)</f>
        <v>0</v>
      </c>
      <c r="J48" s="373">
        <f>SUM(J49:J127)</f>
        <v>0</v>
      </c>
      <c r="K48" s="373">
        <f t="shared" si="8"/>
        <v>0</v>
      </c>
      <c r="L48" s="373">
        <f t="shared" si="8"/>
        <v>0</v>
      </c>
      <c r="M48" s="373">
        <f t="shared" si="8"/>
        <v>0</v>
      </c>
      <c r="N48" s="374">
        <f t="shared" si="8"/>
        <v>0</v>
      </c>
    </row>
    <row r="49" spans="1:14" s="10" customFormat="1" ht="15">
      <c r="A49" s="93" t="s">
        <v>27</v>
      </c>
      <c r="B49" s="94" t="s">
        <v>28</v>
      </c>
      <c r="C49" s="95"/>
      <c r="D49" s="96"/>
      <c r="E49" s="97"/>
      <c r="F49" s="98">
        <f>SUM(F50:F53)</f>
        <v>0</v>
      </c>
      <c r="G49" s="269"/>
      <c r="H49" s="290"/>
      <c r="I49" s="98"/>
      <c r="J49" s="98"/>
      <c r="K49" s="99"/>
      <c r="L49" s="99"/>
      <c r="M49" s="98"/>
      <c r="N49" s="319"/>
    </row>
    <row r="50" spans="1:14" s="10" customFormat="1" ht="14.25">
      <c r="A50" s="215" t="s">
        <v>29</v>
      </c>
      <c r="B50" s="194" t="s">
        <v>411</v>
      </c>
      <c r="C50" s="210">
        <v>400</v>
      </c>
      <c r="D50" s="203" t="s">
        <v>22</v>
      </c>
      <c r="E50" s="197"/>
      <c r="F50" s="197">
        <f>C50*E50</f>
        <v>0</v>
      </c>
      <c r="G50" s="273"/>
      <c r="H50" s="292">
        <f>F50</f>
        <v>0</v>
      </c>
      <c r="I50" s="30"/>
      <c r="J50" s="29"/>
      <c r="K50" s="59"/>
      <c r="L50" s="59"/>
      <c r="M50" s="29"/>
      <c r="N50" s="321"/>
    </row>
    <row r="51" spans="1:14" s="10" customFormat="1" ht="21.75" customHeight="1">
      <c r="A51" s="27" t="s">
        <v>30</v>
      </c>
      <c r="B51" s="194" t="s">
        <v>413</v>
      </c>
      <c r="C51" s="210">
        <v>2</v>
      </c>
      <c r="D51" s="216" t="s">
        <v>20</v>
      </c>
      <c r="E51" s="197"/>
      <c r="F51" s="197">
        <f>C51*E51</f>
        <v>0</v>
      </c>
      <c r="G51" s="273"/>
      <c r="H51" s="292">
        <f>F51</f>
        <v>0</v>
      </c>
      <c r="I51" s="29"/>
      <c r="J51" s="29"/>
      <c r="K51" s="29"/>
      <c r="L51" s="29"/>
      <c r="M51" s="29"/>
      <c r="N51" s="89"/>
    </row>
    <row r="52" spans="1:14" s="10" customFormat="1" ht="14.25">
      <c r="A52" s="27" t="s">
        <v>208</v>
      </c>
      <c r="B52" s="194" t="s">
        <v>192</v>
      </c>
      <c r="C52" s="210">
        <v>400</v>
      </c>
      <c r="D52" s="197" t="s">
        <v>22</v>
      </c>
      <c r="E52" s="197"/>
      <c r="F52" s="28">
        <f>E52*C52</f>
        <v>0</v>
      </c>
      <c r="G52" s="270"/>
      <c r="H52" s="292">
        <f>F52</f>
        <v>0</v>
      </c>
      <c r="I52" s="29"/>
      <c r="J52" s="29"/>
      <c r="K52" s="59"/>
      <c r="L52" s="59"/>
      <c r="M52" s="29"/>
      <c r="N52" s="321"/>
    </row>
    <row r="53" spans="1:14" s="10" customFormat="1" ht="14.25">
      <c r="A53" s="27" t="s">
        <v>265</v>
      </c>
      <c r="B53" s="217" t="s">
        <v>213</v>
      </c>
      <c r="C53" s="210">
        <f>C50*0.15</f>
        <v>60</v>
      </c>
      <c r="D53" s="197" t="s">
        <v>22</v>
      </c>
      <c r="E53" s="197"/>
      <c r="F53" s="197">
        <f>E53*C53</f>
        <v>0</v>
      </c>
      <c r="G53" s="270"/>
      <c r="H53" s="292">
        <f>F53</f>
        <v>0</v>
      </c>
      <c r="I53" s="29"/>
      <c r="J53" s="29"/>
      <c r="K53" s="59"/>
      <c r="L53" s="59"/>
      <c r="M53" s="29"/>
      <c r="N53" s="321"/>
    </row>
    <row r="54" spans="1:14" s="10" customFormat="1" ht="15">
      <c r="A54" s="101" t="s">
        <v>209</v>
      </c>
      <c r="B54" s="94" t="s">
        <v>32</v>
      </c>
      <c r="C54" s="95"/>
      <c r="D54" s="96"/>
      <c r="E54" s="97"/>
      <c r="F54" s="98">
        <f>SUM(F55:F79)</f>
        <v>0</v>
      </c>
      <c r="G54" s="269"/>
      <c r="H54" s="290"/>
      <c r="I54" s="98"/>
      <c r="J54" s="98"/>
      <c r="K54" s="99"/>
      <c r="L54" s="99"/>
      <c r="M54" s="98"/>
      <c r="N54" s="319"/>
    </row>
    <row r="55" spans="1:14" s="10" customFormat="1" ht="14.25">
      <c r="A55" s="27" t="s">
        <v>33</v>
      </c>
      <c r="B55" s="217" t="s">
        <v>195</v>
      </c>
      <c r="C55" s="210">
        <v>378.47</v>
      </c>
      <c r="D55" s="212" t="s">
        <v>22</v>
      </c>
      <c r="E55" s="197"/>
      <c r="F55" s="197">
        <f t="shared" ref="F55:F72" si="9">C55*E55</f>
        <v>0</v>
      </c>
      <c r="G55" s="273"/>
      <c r="H55" s="311"/>
      <c r="I55" s="31">
        <f>F55/3</f>
        <v>0</v>
      </c>
      <c r="J55" s="31">
        <f>F55/3</f>
        <v>0</v>
      </c>
      <c r="K55" s="50">
        <f>F55/3</f>
        <v>0</v>
      </c>
      <c r="L55" s="59"/>
      <c r="M55" s="29"/>
      <c r="N55" s="321"/>
    </row>
    <row r="56" spans="1:14" s="10" customFormat="1" ht="14.25">
      <c r="A56" s="27" t="s">
        <v>34</v>
      </c>
      <c r="B56" s="218" t="s">
        <v>178</v>
      </c>
      <c r="C56" s="210">
        <f>11.43+4.19</f>
        <v>15.620000000000001</v>
      </c>
      <c r="D56" s="216" t="s">
        <v>22</v>
      </c>
      <c r="E56" s="197"/>
      <c r="F56" s="197">
        <f t="shared" si="9"/>
        <v>0</v>
      </c>
      <c r="G56" s="273"/>
      <c r="H56" s="311"/>
      <c r="I56" s="31">
        <f t="shared" ref="I56:I79" si="10">F56/3</f>
        <v>0</v>
      </c>
      <c r="J56" s="31">
        <f t="shared" ref="J56:J79" si="11">F56/3</f>
        <v>0</v>
      </c>
      <c r="K56" s="50">
        <f t="shared" ref="K56:K79" si="12">F56/3</f>
        <v>0</v>
      </c>
      <c r="L56" s="59"/>
      <c r="M56" s="29"/>
      <c r="N56" s="321"/>
    </row>
    <row r="57" spans="1:14" s="10" customFormat="1" ht="14.25">
      <c r="A57" s="27" t="s">
        <v>36</v>
      </c>
      <c r="B57" s="211" t="s">
        <v>196</v>
      </c>
      <c r="C57" s="210">
        <v>57.76</v>
      </c>
      <c r="D57" s="212" t="s">
        <v>35</v>
      </c>
      <c r="E57" s="197"/>
      <c r="F57" s="28">
        <f t="shared" si="9"/>
        <v>0</v>
      </c>
      <c r="G57" s="273"/>
      <c r="H57" s="311"/>
      <c r="I57" s="31">
        <f t="shared" si="10"/>
        <v>0</v>
      </c>
      <c r="J57" s="31">
        <f t="shared" si="11"/>
        <v>0</v>
      </c>
      <c r="K57" s="50">
        <f t="shared" si="12"/>
        <v>0</v>
      </c>
      <c r="L57" s="59"/>
      <c r="M57" s="29"/>
      <c r="N57" s="321"/>
    </row>
    <row r="58" spans="1:14" s="10" customFormat="1" ht="14.25">
      <c r="A58" s="27" t="s">
        <v>37</v>
      </c>
      <c r="B58" s="206" t="s">
        <v>180</v>
      </c>
      <c r="C58" s="202">
        <f>378.47+11.43+4.19</f>
        <v>394.09000000000003</v>
      </c>
      <c r="D58" s="213" t="s">
        <v>22</v>
      </c>
      <c r="E58" s="207"/>
      <c r="F58" s="28">
        <f t="shared" si="9"/>
        <v>0</v>
      </c>
      <c r="G58" s="273"/>
      <c r="H58" s="311"/>
      <c r="I58" s="31">
        <f t="shared" si="10"/>
        <v>0</v>
      </c>
      <c r="J58" s="31">
        <f t="shared" si="11"/>
        <v>0</v>
      </c>
      <c r="K58" s="50">
        <f t="shared" si="12"/>
        <v>0</v>
      </c>
      <c r="L58" s="59"/>
      <c r="M58" s="29"/>
      <c r="N58" s="321"/>
    </row>
    <row r="59" spans="1:14" s="10" customFormat="1" ht="14.25">
      <c r="A59" s="215" t="s">
        <v>38</v>
      </c>
      <c r="B59" s="194" t="s">
        <v>193</v>
      </c>
      <c r="C59" s="210">
        <v>2400</v>
      </c>
      <c r="D59" s="216" t="s">
        <v>20</v>
      </c>
      <c r="E59" s="197"/>
      <c r="F59" s="197">
        <f t="shared" si="9"/>
        <v>0</v>
      </c>
      <c r="G59" s="273"/>
      <c r="H59" s="311"/>
      <c r="I59" s="31">
        <f t="shared" si="10"/>
        <v>0</v>
      </c>
      <c r="J59" s="31">
        <f t="shared" si="11"/>
        <v>0</v>
      </c>
      <c r="K59" s="50">
        <f t="shared" si="12"/>
        <v>0</v>
      </c>
      <c r="L59" s="59"/>
      <c r="M59" s="29"/>
      <c r="N59" s="321"/>
    </row>
    <row r="60" spans="1:14" s="10" customFormat="1" ht="14.25">
      <c r="A60" s="215" t="s">
        <v>39</v>
      </c>
      <c r="B60" s="217" t="s">
        <v>194</v>
      </c>
      <c r="C60" s="210">
        <v>516</v>
      </c>
      <c r="D60" s="216" t="s">
        <v>20</v>
      </c>
      <c r="E60" s="197"/>
      <c r="F60" s="197">
        <f t="shared" si="9"/>
        <v>0</v>
      </c>
      <c r="G60" s="273"/>
      <c r="H60" s="311"/>
      <c r="I60" s="31">
        <f t="shared" si="10"/>
        <v>0</v>
      </c>
      <c r="J60" s="31">
        <f t="shared" si="11"/>
        <v>0</v>
      </c>
      <c r="K60" s="50">
        <f t="shared" si="12"/>
        <v>0</v>
      </c>
      <c r="L60" s="59"/>
      <c r="M60" s="29"/>
      <c r="N60" s="321"/>
    </row>
    <row r="61" spans="1:14" s="10" customFormat="1" ht="28.5">
      <c r="A61" s="27" t="s">
        <v>40</v>
      </c>
      <c r="B61" s="217" t="s">
        <v>202</v>
      </c>
      <c r="C61" s="210">
        <v>394.09</v>
      </c>
      <c r="D61" s="212" t="s">
        <v>22</v>
      </c>
      <c r="E61" s="197"/>
      <c r="F61" s="197">
        <f t="shared" si="9"/>
        <v>0</v>
      </c>
      <c r="G61" s="273"/>
      <c r="H61" s="311"/>
      <c r="I61" s="31">
        <f t="shared" si="10"/>
        <v>0</v>
      </c>
      <c r="J61" s="31">
        <f t="shared" si="11"/>
        <v>0</v>
      </c>
      <c r="K61" s="50">
        <f t="shared" si="12"/>
        <v>0</v>
      </c>
      <c r="L61" s="29"/>
      <c r="M61" s="29"/>
      <c r="N61" s="89"/>
    </row>
    <row r="62" spans="1:14" s="10" customFormat="1" ht="14.25">
      <c r="A62" s="27" t="s">
        <v>42</v>
      </c>
      <c r="B62" s="206" t="s">
        <v>41</v>
      </c>
      <c r="C62" s="202">
        <f>0.2*C59+C60</f>
        <v>996</v>
      </c>
      <c r="D62" s="213" t="s">
        <v>35</v>
      </c>
      <c r="E62" s="207"/>
      <c r="F62" s="197">
        <f>C62*E62</f>
        <v>0</v>
      </c>
      <c r="G62" s="273"/>
      <c r="H62" s="311"/>
      <c r="I62" s="31">
        <f t="shared" si="10"/>
        <v>0</v>
      </c>
      <c r="J62" s="31">
        <f t="shared" si="11"/>
        <v>0</v>
      </c>
      <c r="K62" s="50">
        <f t="shared" si="12"/>
        <v>0</v>
      </c>
      <c r="L62" s="29"/>
      <c r="M62" s="29"/>
      <c r="N62" s="89"/>
    </row>
    <row r="63" spans="1:14" s="10" customFormat="1" ht="14.25">
      <c r="A63" s="27" t="s">
        <v>44</v>
      </c>
      <c r="B63" s="217" t="s">
        <v>318</v>
      </c>
      <c r="C63" s="219">
        <f>C55*0.3*0.03</f>
        <v>3.4062300000000003</v>
      </c>
      <c r="D63" s="216" t="s">
        <v>123</v>
      </c>
      <c r="E63" s="197"/>
      <c r="F63" s="197">
        <f>C63*E63</f>
        <v>0</v>
      </c>
      <c r="G63" s="273"/>
      <c r="H63" s="311"/>
      <c r="I63" s="31">
        <f t="shared" si="10"/>
        <v>0</v>
      </c>
      <c r="J63" s="31">
        <f t="shared" si="11"/>
        <v>0</v>
      </c>
      <c r="K63" s="50">
        <f t="shared" si="12"/>
        <v>0</v>
      </c>
      <c r="L63" s="29"/>
      <c r="M63" s="29"/>
      <c r="N63" s="89"/>
    </row>
    <row r="64" spans="1:14" s="10" customFormat="1" ht="14.25">
      <c r="A64" s="27" t="s">
        <v>45</v>
      </c>
      <c r="B64" s="217" t="s">
        <v>204</v>
      </c>
      <c r="C64" s="210">
        <v>62</v>
      </c>
      <c r="D64" s="212" t="s">
        <v>22</v>
      </c>
      <c r="E64" s="197"/>
      <c r="F64" s="197">
        <f>C64*E64</f>
        <v>0</v>
      </c>
      <c r="G64" s="273"/>
      <c r="H64" s="311"/>
      <c r="I64" s="31">
        <f t="shared" si="10"/>
        <v>0</v>
      </c>
      <c r="J64" s="31">
        <f t="shared" si="11"/>
        <v>0</v>
      </c>
      <c r="K64" s="50">
        <f t="shared" si="12"/>
        <v>0</v>
      </c>
      <c r="L64" s="29"/>
      <c r="M64" s="29"/>
      <c r="N64" s="89"/>
    </row>
    <row r="65" spans="1:14" s="10" customFormat="1" ht="14.25">
      <c r="A65" s="215" t="s">
        <v>46</v>
      </c>
      <c r="B65" s="217" t="s">
        <v>203</v>
      </c>
      <c r="C65" s="210">
        <v>5</v>
      </c>
      <c r="D65" s="212" t="s">
        <v>35</v>
      </c>
      <c r="E65" s="197"/>
      <c r="F65" s="197">
        <f>C65*E65</f>
        <v>0</v>
      </c>
      <c r="G65" s="273"/>
      <c r="H65" s="311"/>
      <c r="I65" s="31">
        <f t="shared" si="10"/>
        <v>0</v>
      </c>
      <c r="J65" s="31">
        <f t="shared" si="11"/>
        <v>0</v>
      </c>
      <c r="K65" s="50">
        <f t="shared" si="12"/>
        <v>0</v>
      </c>
      <c r="L65" s="29"/>
      <c r="M65" s="29"/>
      <c r="N65" s="89"/>
    </row>
    <row r="66" spans="1:14" s="10" customFormat="1" ht="14.25">
      <c r="A66" s="215" t="s">
        <v>48</v>
      </c>
      <c r="B66" s="211" t="s">
        <v>47</v>
      </c>
      <c r="C66" s="210">
        <v>44</v>
      </c>
      <c r="D66" s="212" t="s">
        <v>35</v>
      </c>
      <c r="E66" s="197"/>
      <c r="F66" s="197">
        <f t="shared" si="9"/>
        <v>0</v>
      </c>
      <c r="G66" s="273"/>
      <c r="H66" s="311"/>
      <c r="I66" s="31">
        <f t="shared" si="10"/>
        <v>0</v>
      </c>
      <c r="J66" s="31">
        <f t="shared" si="11"/>
        <v>0</v>
      </c>
      <c r="K66" s="50">
        <f t="shared" si="12"/>
        <v>0</v>
      </c>
      <c r="L66" s="59"/>
      <c r="M66" s="29"/>
      <c r="N66" s="321"/>
    </row>
    <row r="67" spans="1:14" s="10" customFormat="1" ht="14.25">
      <c r="A67" s="27" t="s">
        <v>50</v>
      </c>
      <c r="B67" s="211" t="s">
        <v>49</v>
      </c>
      <c r="C67" s="210">
        <v>44</v>
      </c>
      <c r="D67" s="212" t="s">
        <v>35</v>
      </c>
      <c r="E67" s="197"/>
      <c r="F67" s="197">
        <f t="shared" si="9"/>
        <v>0</v>
      </c>
      <c r="G67" s="273"/>
      <c r="H67" s="311"/>
      <c r="I67" s="31">
        <f t="shared" si="10"/>
        <v>0</v>
      </c>
      <c r="J67" s="31">
        <f t="shared" si="11"/>
        <v>0</v>
      </c>
      <c r="K67" s="50">
        <f t="shared" si="12"/>
        <v>0</v>
      </c>
      <c r="L67" s="59"/>
      <c r="M67" s="29"/>
      <c r="N67" s="321"/>
    </row>
    <row r="68" spans="1:14" s="10" customFormat="1" ht="28.5">
      <c r="A68" s="27" t="s">
        <v>51</v>
      </c>
      <c r="B68" s="206" t="s">
        <v>249</v>
      </c>
      <c r="C68" s="210">
        <v>56</v>
      </c>
      <c r="D68" s="212" t="s">
        <v>35</v>
      </c>
      <c r="E68" s="197"/>
      <c r="F68" s="197">
        <f t="shared" si="9"/>
        <v>0</v>
      </c>
      <c r="G68" s="273"/>
      <c r="H68" s="311"/>
      <c r="I68" s="31">
        <f t="shared" si="10"/>
        <v>0</v>
      </c>
      <c r="J68" s="31">
        <f t="shared" si="11"/>
        <v>0</v>
      </c>
      <c r="K68" s="50">
        <f t="shared" si="12"/>
        <v>0</v>
      </c>
      <c r="L68" s="59"/>
      <c r="M68" s="29"/>
      <c r="N68" s="321"/>
    </row>
    <row r="69" spans="1:14" s="10" customFormat="1" ht="14.25">
      <c r="A69" s="27" t="s">
        <v>52</v>
      </c>
      <c r="B69" s="211" t="s">
        <v>43</v>
      </c>
      <c r="C69" s="210">
        <v>6</v>
      </c>
      <c r="D69" s="212" t="s">
        <v>35</v>
      </c>
      <c r="E69" s="197"/>
      <c r="F69" s="197">
        <f>C69*E69</f>
        <v>0</v>
      </c>
      <c r="G69" s="273"/>
      <c r="H69" s="311"/>
      <c r="I69" s="31">
        <f t="shared" si="10"/>
        <v>0</v>
      </c>
      <c r="J69" s="31">
        <f t="shared" si="11"/>
        <v>0</v>
      </c>
      <c r="K69" s="50">
        <f t="shared" si="12"/>
        <v>0</v>
      </c>
      <c r="L69" s="29"/>
      <c r="M69" s="29"/>
      <c r="N69" s="89"/>
    </row>
    <row r="70" spans="1:14" s="10" customFormat="1" ht="14.25">
      <c r="A70" s="27" t="s">
        <v>53</v>
      </c>
      <c r="B70" s="194" t="s">
        <v>250</v>
      </c>
      <c r="C70" s="210">
        <v>12</v>
      </c>
      <c r="D70" s="212" t="s">
        <v>35</v>
      </c>
      <c r="E70" s="197"/>
      <c r="F70" s="197">
        <f t="shared" si="9"/>
        <v>0</v>
      </c>
      <c r="G70" s="274"/>
      <c r="H70" s="311"/>
      <c r="I70" s="31">
        <f t="shared" si="10"/>
        <v>0</v>
      </c>
      <c r="J70" s="31">
        <f t="shared" si="11"/>
        <v>0</v>
      </c>
      <c r="K70" s="50">
        <f t="shared" si="12"/>
        <v>0</v>
      </c>
      <c r="L70" s="59"/>
      <c r="M70" s="29"/>
      <c r="N70" s="321"/>
    </row>
    <row r="71" spans="1:14" s="10" customFormat="1" ht="14.25">
      <c r="A71" s="215" t="s">
        <v>55</v>
      </c>
      <c r="B71" s="194" t="s">
        <v>251</v>
      </c>
      <c r="C71" s="210">
        <v>44</v>
      </c>
      <c r="D71" s="212" t="s">
        <v>35</v>
      </c>
      <c r="E71" s="197"/>
      <c r="F71" s="197">
        <f t="shared" si="9"/>
        <v>0</v>
      </c>
      <c r="G71" s="274"/>
      <c r="H71" s="311"/>
      <c r="I71" s="31">
        <f t="shared" si="10"/>
        <v>0</v>
      </c>
      <c r="J71" s="31">
        <f t="shared" si="11"/>
        <v>0</v>
      </c>
      <c r="K71" s="50">
        <f t="shared" si="12"/>
        <v>0</v>
      </c>
      <c r="L71" s="29"/>
      <c r="M71" s="29"/>
      <c r="N71" s="89"/>
    </row>
    <row r="72" spans="1:14" s="10" customFormat="1" ht="14.25">
      <c r="A72" s="215" t="s">
        <v>56</v>
      </c>
      <c r="B72" s="211" t="s">
        <v>54</v>
      </c>
      <c r="C72" s="210">
        <v>11</v>
      </c>
      <c r="D72" s="212" t="s">
        <v>35</v>
      </c>
      <c r="E72" s="197"/>
      <c r="F72" s="197">
        <f t="shared" si="9"/>
        <v>0</v>
      </c>
      <c r="G72" s="273"/>
      <c r="H72" s="311"/>
      <c r="I72" s="31">
        <f t="shared" si="10"/>
        <v>0</v>
      </c>
      <c r="J72" s="31">
        <f t="shared" si="11"/>
        <v>0</v>
      </c>
      <c r="K72" s="50">
        <f t="shared" si="12"/>
        <v>0</v>
      </c>
      <c r="L72" s="59"/>
      <c r="M72" s="29"/>
      <c r="N72" s="321"/>
    </row>
    <row r="73" spans="1:14" s="10" customFormat="1" ht="14.25">
      <c r="A73" s="27" t="s">
        <v>57</v>
      </c>
      <c r="B73" s="198" t="s">
        <v>252</v>
      </c>
      <c r="C73" s="199">
        <v>12</v>
      </c>
      <c r="D73" s="201" t="s">
        <v>35</v>
      </c>
      <c r="E73" s="200"/>
      <c r="F73" s="197">
        <f>C73*E73</f>
        <v>0</v>
      </c>
      <c r="G73" s="273"/>
      <c r="H73" s="311"/>
      <c r="I73" s="31">
        <f t="shared" si="10"/>
        <v>0</v>
      </c>
      <c r="J73" s="31">
        <f t="shared" si="11"/>
        <v>0</v>
      </c>
      <c r="K73" s="50">
        <f t="shared" si="12"/>
        <v>0</v>
      </c>
      <c r="L73" s="29"/>
      <c r="M73" s="29"/>
      <c r="N73" s="89"/>
    </row>
    <row r="74" spans="1:14" s="10" customFormat="1" ht="14.25">
      <c r="A74" s="27" t="s">
        <v>60</v>
      </c>
      <c r="B74" s="198" t="s">
        <v>58</v>
      </c>
      <c r="C74" s="199">
        <v>86</v>
      </c>
      <c r="D74" s="201" t="s">
        <v>59</v>
      </c>
      <c r="E74" s="200"/>
      <c r="F74" s="28">
        <f>C74*E74</f>
        <v>0</v>
      </c>
      <c r="G74" s="273"/>
      <c r="H74" s="311"/>
      <c r="I74" s="31">
        <f t="shared" si="10"/>
        <v>0</v>
      </c>
      <c r="J74" s="31">
        <f t="shared" si="11"/>
        <v>0</v>
      </c>
      <c r="K74" s="50">
        <f t="shared" si="12"/>
        <v>0</v>
      </c>
      <c r="L74" s="29"/>
      <c r="M74" s="29"/>
      <c r="N74" s="89"/>
    </row>
    <row r="75" spans="1:14" s="10" customFormat="1" ht="14.25">
      <c r="A75" s="27" t="s">
        <v>266</v>
      </c>
      <c r="B75" s="217" t="s">
        <v>216</v>
      </c>
      <c r="C75" s="210">
        <v>3</v>
      </c>
      <c r="D75" s="216" t="s">
        <v>20</v>
      </c>
      <c r="E75" s="197"/>
      <c r="F75" s="197">
        <f>C75*E75</f>
        <v>0</v>
      </c>
      <c r="G75" s="274"/>
      <c r="H75" s="311"/>
      <c r="I75" s="31">
        <f t="shared" si="10"/>
        <v>0</v>
      </c>
      <c r="J75" s="31">
        <f t="shared" si="11"/>
        <v>0</v>
      </c>
      <c r="K75" s="50">
        <f t="shared" si="12"/>
        <v>0</v>
      </c>
      <c r="L75" s="59"/>
      <c r="M75" s="29"/>
      <c r="N75" s="321"/>
    </row>
    <row r="76" spans="1:14" s="10" customFormat="1" ht="14.25">
      <c r="A76" s="27" t="s">
        <v>267</v>
      </c>
      <c r="B76" s="221" t="s">
        <v>304</v>
      </c>
      <c r="C76" s="210">
        <v>2</v>
      </c>
      <c r="D76" s="196" t="s">
        <v>20</v>
      </c>
      <c r="E76" s="197"/>
      <c r="F76" s="197">
        <f>E76*C76</f>
        <v>0</v>
      </c>
      <c r="G76" s="274"/>
      <c r="H76" s="311"/>
      <c r="I76" s="31">
        <f t="shared" si="10"/>
        <v>0</v>
      </c>
      <c r="J76" s="31">
        <f t="shared" si="11"/>
        <v>0</v>
      </c>
      <c r="K76" s="50">
        <f t="shared" si="12"/>
        <v>0</v>
      </c>
      <c r="L76" s="29"/>
      <c r="M76" s="29"/>
      <c r="N76" s="89"/>
    </row>
    <row r="77" spans="1:14" s="10" customFormat="1" ht="28.5">
      <c r="A77" s="215" t="s">
        <v>268</v>
      </c>
      <c r="B77" s="198" t="s">
        <v>221</v>
      </c>
      <c r="C77" s="199">
        <v>4</v>
      </c>
      <c r="D77" s="201" t="s">
        <v>35</v>
      </c>
      <c r="E77" s="200"/>
      <c r="F77" s="197">
        <f>C77*E77</f>
        <v>0</v>
      </c>
      <c r="G77" s="273"/>
      <c r="H77" s="311"/>
      <c r="I77" s="31">
        <f t="shared" si="10"/>
        <v>0</v>
      </c>
      <c r="J77" s="31">
        <f t="shared" si="11"/>
        <v>0</v>
      </c>
      <c r="K77" s="50">
        <f t="shared" si="12"/>
        <v>0</v>
      </c>
      <c r="L77" s="29"/>
      <c r="M77" s="29"/>
      <c r="N77" s="89"/>
    </row>
    <row r="78" spans="1:14" s="10" customFormat="1" ht="14.25">
      <c r="A78" s="215" t="s">
        <v>269</v>
      </c>
      <c r="B78" s="198" t="s">
        <v>220</v>
      </c>
      <c r="C78" s="199">
        <v>4</v>
      </c>
      <c r="D78" s="201" t="s">
        <v>35</v>
      </c>
      <c r="E78" s="200"/>
      <c r="F78" s="197">
        <f>C78*E78</f>
        <v>0</v>
      </c>
      <c r="G78" s="273"/>
      <c r="H78" s="311"/>
      <c r="I78" s="31">
        <f t="shared" si="10"/>
        <v>0</v>
      </c>
      <c r="J78" s="31">
        <f t="shared" si="11"/>
        <v>0</v>
      </c>
      <c r="K78" s="50">
        <f t="shared" si="12"/>
        <v>0</v>
      </c>
      <c r="L78" s="29"/>
      <c r="M78" s="29"/>
      <c r="N78" s="89"/>
    </row>
    <row r="79" spans="1:14" s="10" customFormat="1" ht="15" customHeight="1">
      <c r="A79" s="27" t="s">
        <v>270</v>
      </c>
      <c r="B79" s="217" t="s">
        <v>222</v>
      </c>
      <c r="C79" s="210">
        <v>4</v>
      </c>
      <c r="D79" s="212" t="s">
        <v>35</v>
      </c>
      <c r="E79" s="197"/>
      <c r="F79" s="197">
        <f>C79*E79</f>
        <v>0</v>
      </c>
      <c r="G79" s="273"/>
      <c r="H79" s="311"/>
      <c r="I79" s="31">
        <f t="shared" si="10"/>
        <v>0</v>
      </c>
      <c r="J79" s="31">
        <f t="shared" si="11"/>
        <v>0</v>
      </c>
      <c r="K79" s="50">
        <f t="shared" si="12"/>
        <v>0</v>
      </c>
      <c r="L79" s="29"/>
      <c r="M79" s="29"/>
      <c r="N79" s="89"/>
    </row>
    <row r="80" spans="1:14" s="10" customFormat="1" ht="15">
      <c r="A80" s="93" t="s">
        <v>61</v>
      </c>
      <c r="B80" s="94" t="s">
        <v>62</v>
      </c>
      <c r="C80" s="95"/>
      <c r="D80" s="96"/>
      <c r="E80" s="97"/>
      <c r="F80" s="98">
        <f>SUM(F81:F96)</f>
        <v>0</v>
      </c>
      <c r="G80" s="269"/>
      <c r="H80" s="290"/>
      <c r="I80" s="98"/>
      <c r="J80" s="98"/>
      <c r="K80" s="99"/>
      <c r="L80" s="99"/>
      <c r="M80" s="98"/>
      <c r="N80" s="319"/>
    </row>
    <row r="81" spans="1:14" s="10" customFormat="1" ht="14.25">
      <c r="A81" s="215" t="s">
        <v>63</v>
      </c>
      <c r="B81" s="217" t="s">
        <v>198</v>
      </c>
      <c r="C81" s="210">
        <v>400</v>
      </c>
      <c r="D81" s="212" t="s">
        <v>22</v>
      </c>
      <c r="E81" s="197"/>
      <c r="F81" s="197">
        <f>E81*C81</f>
        <v>0</v>
      </c>
      <c r="G81" s="273"/>
      <c r="H81" s="311"/>
      <c r="I81" s="31">
        <f>F81/3</f>
        <v>0</v>
      </c>
      <c r="J81" s="31">
        <f>F81/3</f>
        <v>0</v>
      </c>
      <c r="K81" s="50">
        <f>F81/3</f>
        <v>0</v>
      </c>
      <c r="L81" s="59"/>
      <c r="M81" s="29"/>
      <c r="N81" s="321"/>
    </row>
    <row r="82" spans="1:14" s="10" customFormat="1" ht="14.25">
      <c r="A82" s="215" t="s">
        <v>64</v>
      </c>
      <c r="B82" s="217" t="s">
        <v>199</v>
      </c>
      <c r="C82" s="210">
        <v>400</v>
      </c>
      <c r="D82" s="212" t="s">
        <v>22</v>
      </c>
      <c r="E82" s="197"/>
      <c r="F82" s="197">
        <f t="shared" ref="F82:F93" si="13">E82*C82</f>
        <v>0</v>
      </c>
      <c r="G82" s="273"/>
      <c r="H82" s="311"/>
      <c r="I82" s="31">
        <f t="shared" ref="I82:I96" si="14">F82/3</f>
        <v>0</v>
      </c>
      <c r="J82" s="31">
        <f t="shared" ref="J82:J96" si="15">F82/3</f>
        <v>0</v>
      </c>
      <c r="K82" s="50">
        <f t="shared" ref="K82:K96" si="16">F82/3</f>
        <v>0</v>
      </c>
      <c r="L82" s="59"/>
      <c r="M82" s="29"/>
      <c r="N82" s="321"/>
    </row>
    <row r="83" spans="1:14" s="10" customFormat="1" ht="14.25">
      <c r="A83" s="215" t="s">
        <v>65</v>
      </c>
      <c r="B83" s="217" t="s">
        <v>253</v>
      </c>
      <c r="C83" s="210">
        <v>5</v>
      </c>
      <c r="D83" s="195" t="s">
        <v>22</v>
      </c>
      <c r="E83" s="197"/>
      <c r="F83" s="197">
        <f>C83*E83</f>
        <v>0</v>
      </c>
      <c r="G83" s="273"/>
      <c r="H83" s="311"/>
      <c r="I83" s="31">
        <f t="shared" si="14"/>
        <v>0</v>
      </c>
      <c r="J83" s="31">
        <f t="shared" si="15"/>
        <v>0</v>
      </c>
      <c r="K83" s="50">
        <f t="shared" si="16"/>
        <v>0</v>
      </c>
      <c r="L83" s="59"/>
      <c r="M83" s="29"/>
      <c r="N83" s="321"/>
    </row>
    <row r="84" spans="1:14" s="10" customFormat="1" ht="14.25">
      <c r="A84" s="215" t="s">
        <v>66</v>
      </c>
      <c r="B84" s="217" t="s">
        <v>177</v>
      </c>
      <c r="C84" s="210">
        <v>25</v>
      </c>
      <c r="D84" s="210" t="s">
        <v>35</v>
      </c>
      <c r="E84" s="197"/>
      <c r="F84" s="197">
        <f t="shared" si="13"/>
        <v>0</v>
      </c>
      <c r="G84" s="273"/>
      <c r="H84" s="311"/>
      <c r="I84" s="31">
        <f t="shared" si="14"/>
        <v>0</v>
      </c>
      <c r="J84" s="31">
        <f t="shared" si="15"/>
        <v>0</v>
      </c>
      <c r="K84" s="50">
        <f t="shared" si="16"/>
        <v>0</v>
      </c>
      <c r="L84" s="59"/>
      <c r="M84" s="29"/>
      <c r="N84" s="321"/>
    </row>
    <row r="85" spans="1:14" s="10" customFormat="1" ht="14.25">
      <c r="A85" s="215" t="s">
        <v>67</v>
      </c>
      <c r="B85" s="217" t="s">
        <v>176</v>
      </c>
      <c r="C85" s="210">
        <v>30</v>
      </c>
      <c r="D85" s="210" t="s">
        <v>35</v>
      </c>
      <c r="E85" s="197"/>
      <c r="F85" s="197">
        <f>E85*C85</f>
        <v>0</v>
      </c>
      <c r="G85" s="273"/>
      <c r="H85" s="311"/>
      <c r="I85" s="31">
        <f t="shared" si="14"/>
        <v>0</v>
      </c>
      <c r="J85" s="31">
        <f t="shared" si="15"/>
        <v>0</v>
      </c>
      <c r="K85" s="50">
        <f t="shared" si="16"/>
        <v>0</v>
      </c>
      <c r="L85" s="59"/>
      <c r="M85" s="29"/>
      <c r="N85" s="321"/>
    </row>
    <row r="86" spans="1:14" s="10" customFormat="1" ht="14.25">
      <c r="A86" s="215" t="s">
        <v>68</v>
      </c>
      <c r="B86" s="217" t="s">
        <v>206</v>
      </c>
      <c r="C86" s="210">
        <v>430</v>
      </c>
      <c r="D86" s="210" t="s">
        <v>35</v>
      </c>
      <c r="E86" s="197"/>
      <c r="F86" s="197">
        <f>E86*C86</f>
        <v>0</v>
      </c>
      <c r="G86" s="273"/>
      <c r="H86" s="311"/>
      <c r="I86" s="31">
        <f t="shared" si="14"/>
        <v>0</v>
      </c>
      <c r="J86" s="31">
        <f t="shared" si="15"/>
        <v>0</v>
      </c>
      <c r="K86" s="50">
        <f t="shared" si="16"/>
        <v>0</v>
      </c>
      <c r="L86" s="59"/>
      <c r="M86" s="29"/>
      <c r="N86" s="321"/>
    </row>
    <row r="87" spans="1:14" s="10" customFormat="1" ht="14.25">
      <c r="A87" s="215" t="s">
        <v>69</v>
      </c>
      <c r="B87" s="217" t="s">
        <v>207</v>
      </c>
      <c r="C87" s="210">
        <v>985</v>
      </c>
      <c r="D87" s="210" t="s">
        <v>35</v>
      </c>
      <c r="E87" s="197"/>
      <c r="F87" s="197">
        <f>E87*C87</f>
        <v>0</v>
      </c>
      <c r="G87" s="273"/>
      <c r="H87" s="311"/>
      <c r="I87" s="31">
        <f t="shared" si="14"/>
        <v>0</v>
      </c>
      <c r="J87" s="31">
        <f t="shared" si="15"/>
        <v>0</v>
      </c>
      <c r="K87" s="50">
        <f t="shared" si="16"/>
        <v>0</v>
      </c>
      <c r="L87" s="59"/>
      <c r="M87" s="29"/>
      <c r="N87" s="321"/>
    </row>
    <row r="88" spans="1:14" s="10" customFormat="1" ht="14.25">
      <c r="A88" s="215" t="s">
        <v>71</v>
      </c>
      <c r="B88" s="217" t="s">
        <v>214</v>
      </c>
      <c r="C88" s="210">
        <f>0.65*4*12</f>
        <v>31.200000000000003</v>
      </c>
      <c r="D88" s="222" t="s">
        <v>35</v>
      </c>
      <c r="E88" s="197"/>
      <c r="F88" s="197">
        <f t="shared" si="13"/>
        <v>0</v>
      </c>
      <c r="G88" s="273"/>
      <c r="H88" s="311"/>
      <c r="I88" s="31">
        <f t="shared" si="14"/>
        <v>0</v>
      </c>
      <c r="J88" s="31">
        <f t="shared" si="15"/>
        <v>0</v>
      </c>
      <c r="K88" s="50">
        <f t="shared" si="16"/>
        <v>0</v>
      </c>
      <c r="L88" s="59"/>
      <c r="M88" s="29"/>
      <c r="N88" s="321"/>
    </row>
    <row r="89" spans="1:14" s="10" customFormat="1" ht="14.25">
      <c r="A89" s="215" t="s">
        <v>73</v>
      </c>
      <c r="B89" s="217" t="s">
        <v>215</v>
      </c>
      <c r="C89" s="210">
        <f>3*4*12</f>
        <v>144</v>
      </c>
      <c r="D89" s="222" t="s">
        <v>20</v>
      </c>
      <c r="E89" s="197"/>
      <c r="F89" s="197">
        <f t="shared" si="13"/>
        <v>0</v>
      </c>
      <c r="G89" s="273"/>
      <c r="H89" s="311"/>
      <c r="I89" s="31">
        <f t="shared" si="14"/>
        <v>0</v>
      </c>
      <c r="J89" s="31">
        <f t="shared" si="15"/>
        <v>0</v>
      </c>
      <c r="K89" s="50">
        <f t="shared" si="16"/>
        <v>0</v>
      </c>
      <c r="L89" s="59"/>
      <c r="M89" s="29"/>
      <c r="N89" s="321"/>
    </row>
    <row r="90" spans="1:14" s="25" customFormat="1" ht="14.25">
      <c r="A90" s="215" t="s">
        <v>258</v>
      </c>
      <c r="B90" s="194" t="s">
        <v>254</v>
      </c>
      <c r="C90" s="195">
        <v>240</v>
      </c>
      <c r="D90" s="222" t="s">
        <v>35</v>
      </c>
      <c r="E90" s="197"/>
      <c r="F90" s="196">
        <f t="shared" si="13"/>
        <v>0</v>
      </c>
      <c r="G90" s="271"/>
      <c r="H90" s="311"/>
      <c r="I90" s="31">
        <f t="shared" si="14"/>
        <v>0</v>
      </c>
      <c r="J90" s="31">
        <f t="shared" si="15"/>
        <v>0</v>
      </c>
      <c r="K90" s="50">
        <f t="shared" si="16"/>
        <v>0</v>
      </c>
      <c r="L90" s="33"/>
      <c r="M90" s="33"/>
      <c r="N90" s="102"/>
    </row>
    <row r="91" spans="1:14" s="25" customFormat="1" ht="14.25">
      <c r="A91" s="215" t="s">
        <v>259</v>
      </c>
      <c r="B91" s="194" t="s">
        <v>255</v>
      </c>
      <c r="C91" s="195">
        <v>48</v>
      </c>
      <c r="D91" s="222" t="s">
        <v>20</v>
      </c>
      <c r="E91" s="197"/>
      <c r="F91" s="196">
        <f>E91*C91</f>
        <v>0</v>
      </c>
      <c r="G91" s="271"/>
      <c r="H91" s="311"/>
      <c r="I91" s="31">
        <f t="shared" si="14"/>
        <v>0</v>
      </c>
      <c r="J91" s="31">
        <f t="shared" si="15"/>
        <v>0</v>
      </c>
      <c r="K91" s="50">
        <f t="shared" si="16"/>
        <v>0</v>
      </c>
      <c r="L91" s="33"/>
      <c r="M91" s="33"/>
      <c r="N91" s="102"/>
    </row>
    <row r="92" spans="1:14" s="25" customFormat="1" ht="14.25">
      <c r="A92" s="215" t="s">
        <v>260</v>
      </c>
      <c r="B92" s="194" t="s">
        <v>256</v>
      </c>
      <c r="C92" s="195">
        <v>48</v>
      </c>
      <c r="D92" s="222" t="s">
        <v>20</v>
      </c>
      <c r="E92" s="197"/>
      <c r="F92" s="196">
        <f t="shared" si="13"/>
        <v>0</v>
      </c>
      <c r="G92" s="271"/>
      <c r="H92" s="311"/>
      <c r="I92" s="31">
        <f t="shared" si="14"/>
        <v>0</v>
      </c>
      <c r="J92" s="31">
        <f t="shared" si="15"/>
        <v>0</v>
      </c>
      <c r="K92" s="50">
        <f t="shared" si="16"/>
        <v>0</v>
      </c>
      <c r="L92" s="33"/>
      <c r="M92" s="33"/>
      <c r="N92" s="102"/>
    </row>
    <row r="93" spans="1:14" s="25" customFormat="1" ht="14.25">
      <c r="A93" s="215" t="s">
        <v>261</v>
      </c>
      <c r="B93" s="194" t="s">
        <v>257</v>
      </c>
      <c r="C93" s="195">
        <v>48</v>
      </c>
      <c r="D93" s="222" t="s">
        <v>20</v>
      </c>
      <c r="E93" s="197"/>
      <c r="F93" s="196">
        <f t="shared" si="13"/>
        <v>0</v>
      </c>
      <c r="G93" s="271"/>
      <c r="H93" s="311"/>
      <c r="I93" s="31">
        <f t="shared" si="14"/>
        <v>0</v>
      </c>
      <c r="J93" s="31">
        <f t="shared" si="15"/>
        <v>0</v>
      </c>
      <c r="K93" s="50">
        <f t="shared" si="16"/>
        <v>0</v>
      </c>
      <c r="L93" s="33"/>
      <c r="M93" s="33"/>
      <c r="N93" s="102"/>
    </row>
    <row r="94" spans="1:14" s="10" customFormat="1" ht="14.25">
      <c r="A94" s="215" t="s">
        <v>262</v>
      </c>
      <c r="B94" s="211" t="s">
        <v>70</v>
      </c>
      <c r="C94" s="210">
        <v>18</v>
      </c>
      <c r="D94" s="212" t="s">
        <v>59</v>
      </c>
      <c r="E94" s="197"/>
      <c r="F94" s="197">
        <f>C94*E94</f>
        <v>0</v>
      </c>
      <c r="G94" s="273"/>
      <c r="H94" s="311"/>
      <c r="I94" s="31">
        <f t="shared" si="14"/>
        <v>0</v>
      </c>
      <c r="J94" s="31">
        <f t="shared" si="15"/>
        <v>0</v>
      </c>
      <c r="K94" s="50">
        <f t="shared" si="16"/>
        <v>0</v>
      </c>
      <c r="L94" s="59"/>
      <c r="M94" s="29"/>
      <c r="N94" s="321"/>
    </row>
    <row r="95" spans="1:14" s="10" customFormat="1" ht="14.25">
      <c r="A95" s="215" t="s">
        <v>263</v>
      </c>
      <c r="B95" s="211" t="s">
        <v>72</v>
      </c>
      <c r="C95" s="210">
        <v>12</v>
      </c>
      <c r="D95" s="212" t="s">
        <v>59</v>
      </c>
      <c r="E95" s="197"/>
      <c r="F95" s="197">
        <f>C95*E95</f>
        <v>0</v>
      </c>
      <c r="G95" s="273"/>
      <c r="H95" s="311"/>
      <c r="I95" s="31">
        <f t="shared" si="14"/>
        <v>0</v>
      </c>
      <c r="J95" s="31">
        <f t="shared" si="15"/>
        <v>0</v>
      </c>
      <c r="K95" s="50">
        <f t="shared" si="16"/>
        <v>0</v>
      </c>
      <c r="L95" s="59"/>
      <c r="M95" s="29"/>
      <c r="N95" s="321"/>
    </row>
    <row r="96" spans="1:14" s="10" customFormat="1" ht="14.25">
      <c r="A96" s="215" t="s">
        <v>264</v>
      </c>
      <c r="B96" s="211" t="s">
        <v>74</v>
      </c>
      <c r="C96" s="210">
        <v>12</v>
      </c>
      <c r="D96" s="212" t="s">
        <v>59</v>
      </c>
      <c r="E96" s="197"/>
      <c r="F96" s="197">
        <f>C96*E96</f>
        <v>0</v>
      </c>
      <c r="G96" s="273"/>
      <c r="H96" s="311"/>
      <c r="I96" s="31">
        <f t="shared" si="14"/>
        <v>0</v>
      </c>
      <c r="J96" s="31">
        <f t="shared" si="15"/>
        <v>0</v>
      </c>
      <c r="K96" s="50">
        <f t="shared" si="16"/>
        <v>0</v>
      </c>
      <c r="L96" s="59"/>
      <c r="M96" s="29"/>
      <c r="N96" s="321"/>
    </row>
    <row r="97" spans="1:14" s="10" customFormat="1" ht="15">
      <c r="A97" s="93" t="s">
        <v>75</v>
      </c>
      <c r="B97" s="103" t="s">
        <v>211</v>
      </c>
      <c r="C97" s="95"/>
      <c r="D97" s="96"/>
      <c r="E97" s="97"/>
      <c r="F97" s="98">
        <f>SUM(F98:F100)</f>
        <v>0</v>
      </c>
      <c r="G97" s="269"/>
      <c r="H97" s="290"/>
      <c r="I97" s="98"/>
      <c r="J97" s="98"/>
      <c r="K97" s="99"/>
      <c r="L97" s="99"/>
      <c r="M97" s="98"/>
      <c r="N97" s="319"/>
    </row>
    <row r="98" spans="1:14" s="10" customFormat="1" ht="14.25">
      <c r="A98" s="39" t="s">
        <v>76</v>
      </c>
      <c r="B98" s="217" t="s">
        <v>217</v>
      </c>
      <c r="C98" s="210">
        <f>48*0.35</f>
        <v>16.799999999999997</v>
      </c>
      <c r="D98" s="212" t="s">
        <v>22</v>
      </c>
      <c r="E98" s="197"/>
      <c r="F98" s="197">
        <f>E98*C98</f>
        <v>0</v>
      </c>
      <c r="G98" s="273"/>
      <c r="H98" s="293"/>
      <c r="I98" s="40"/>
      <c r="J98" s="50">
        <f>F98/2</f>
        <v>0</v>
      </c>
      <c r="K98" s="50">
        <f>F98/2</f>
        <v>0</v>
      </c>
      <c r="L98" s="29"/>
      <c r="M98" s="180"/>
      <c r="N98" s="113"/>
    </row>
    <row r="99" spans="1:14" s="10" customFormat="1" ht="14.25">
      <c r="A99" s="39" t="s">
        <v>78</v>
      </c>
      <c r="B99" s="217" t="s">
        <v>218</v>
      </c>
      <c r="C99" s="210">
        <f>48*0.35</f>
        <v>16.799999999999997</v>
      </c>
      <c r="D99" s="212" t="s">
        <v>22</v>
      </c>
      <c r="E99" s="197"/>
      <c r="F99" s="197">
        <f>E99*C99</f>
        <v>0</v>
      </c>
      <c r="G99" s="273"/>
      <c r="H99" s="293"/>
      <c r="I99" s="40"/>
      <c r="J99" s="50">
        <f>F99/2</f>
        <v>0</v>
      </c>
      <c r="K99" s="50">
        <f>F99/2</f>
        <v>0</v>
      </c>
      <c r="L99" s="29"/>
      <c r="M99" s="180"/>
      <c r="N99" s="113"/>
    </row>
    <row r="100" spans="1:14" s="10" customFormat="1" ht="14.25">
      <c r="A100" s="39" t="s">
        <v>79</v>
      </c>
      <c r="B100" s="217" t="s">
        <v>219</v>
      </c>
      <c r="C100" s="210">
        <f>48*0.35</f>
        <v>16.799999999999997</v>
      </c>
      <c r="D100" s="212" t="s">
        <v>22</v>
      </c>
      <c r="E100" s="197"/>
      <c r="F100" s="197">
        <f>E100*C100</f>
        <v>0</v>
      </c>
      <c r="G100" s="273"/>
      <c r="H100" s="293"/>
      <c r="I100" s="40"/>
      <c r="J100" s="50">
        <f>F100/2</f>
        <v>0</v>
      </c>
      <c r="K100" s="50">
        <f>F100/2</f>
        <v>0</v>
      </c>
      <c r="L100" s="29"/>
      <c r="M100" s="180"/>
      <c r="N100" s="113"/>
    </row>
    <row r="101" spans="1:14" s="10" customFormat="1" ht="15">
      <c r="A101" s="104" t="s">
        <v>271</v>
      </c>
      <c r="B101" s="103" t="s">
        <v>212</v>
      </c>
      <c r="C101" s="95"/>
      <c r="D101" s="96"/>
      <c r="E101" s="96"/>
      <c r="F101" s="98">
        <f>SUM(F102:F108)</f>
        <v>0</v>
      </c>
      <c r="G101" s="269"/>
      <c r="H101" s="290"/>
      <c r="I101" s="98"/>
      <c r="J101" s="99"/>
      <c r="K101" s="99"/>
      <c r="L101" s="98"/>
      <c r="M101" s="98"/>
      <c r="N101" s="319"/>
    </row>
    <row r="102" spans="1:14" s="10" customFormat="1" ht="14.25">
      <c r="A102" s="39" t="s">
        <v>272</v>
      </c>
      <c r="B102" s="217" t="s">
        <v>229</v>
      </c>
      <c r="C102" s="210">
        <f>7.2*0.25</f>
        <v>1.8</v>
      </c>
      <c r="D102" s="212" t="s">
        <v>22</v>
      </c>
      <c r="E102" s="197"/>
      <c r="F102" s="28">
        <f>E102*C102</f>
        <v>0</v>
      </c>
      <c r="G102" s="273"/>
      <c r="H102" s="293"/>
      <c r="I102" s="40"/>
      <c r="J102" s="50">
        <f t="shared" ref="J102:J108" si="17">F102/2</f>
        <v>0</v>
      </c>
      <c r="K102" s="50">
        <f t="shared" ref="K102:K108" si="18">F102/2</f>
        <v>0</v>
      </c>
      <c r="L102" s="29"/>
      <c r="M102" s="180"/>
      <c r="N102" s="113"/>
    </row>
    <row r="103" spans="1:14" s="10" customFormat="1" ht="14.25">
      <c r="A103" s="220" t="s">
        <v>273</v>
      </c>
      <c r="B103" s="198" t="s">
        <v>230</v>
      </c>
      <c r="C103" s="199">
        <f>7.2*0.25</f>
        <v>1.8</v>
      </c>
      <c r="D103" s="201" t="s">
        <v>22</v>
      </c>
      <c r="E103" s="200"/>
      <c r="F103" s="28">
        <f>E103*C103</f>
        <v>0</v>
      </c>
      <c r="G103" s="273"/>
      <c r="H103" s="293"/>
      <c r="I103" s="40"/>
      <c r="J103" s="50">
        <f t="shared" si="17"/>
        <v>0</v>
      </c>
      <c r="K103" s="50">
        <f t="shared" si="18"/>
        <v>0</v>
      </c>
      <c r="L103" s="29"/>
      <c r="M103" s="180"/>
      <c r="N103" s="113"/>
    </row>
    <row r="104" spans="1:14" s="10" customFormat="1" ht="14.25">
      <c r="A104" s="39" t="s">
        <v>274</v>
      </c>
      <c r="B104" s="217" t="s">
        <v>231</v>
      </c>
      <c r="C104" s="210">
        <f>14*0.25</f>
        <v>3.5</v>
      </c>
      <c r="D104" s="203" t="s">
        <v>35</v>
      </c>
      <c r="E104" s="197"/>
      <c r="F104" s="28">
        <f>E104*C104</f>
        <v>0</v>
      </c>
      <c r="G104" s="273"/>
      <c r="H104" s="293"/>
      <c r="I104" s="40"/>
      <c r="J104" s="50">
        <f t="shared" si="17"/>
        <v>0</v>
      </c>
      <c r="K104" s="50">
        <f t="shared" si="18"/>
        <v>0</v>
      </c>
      <c r="L104" s="29"/>
      <c r="M104" s="180"/>
      <c r="N104" s="113"/>
    </row>
    <row r="105" spans="1:14" s="10" customFormat="1" ht="14.25">
      <c r="A105" s="220" t="s">
        <v>275</v>
      </c>
      <c r="B105" s="198" t="s">
        <v>233</v>
      </c>
      <c r="C105" s="199">
        <f>7.2*0.25</f>
        <v>1.8</v>
      </c>
      <c r="D105" s="201" t="s">
        <v>22</v>
      </c>
      <c r="E105" s="200"/>
      <c r="F105" s="28">
        <f>E105*C105</f>
        <v>0</v>
      </c>
      <c r="G105" s="273"/>
      <c r="H105" s="293"/>
      <c r="I105" s="40"/>
      <c r="J105" s="50">
        <f t="shared" si="17"/>
        <v>0</v>
      </c>
      <c r="K105" s="50">
        <f t="shared" si="18"/>
        <v>0</v>
      </c>
      <c r="L105" s="29"/>
      <c r="M105" s="180"/>
      <c r="N105" s="113"/>
    </row>
    <row r="106" spans="1:14" s="10" customFormat="1" ht="14.25">
      <c r="A106" s="39" t="s">
        <v>276</v>
      </c>
      <c r="B106" s="217" t="s">
        <v>343</v>
      </c>
      <c r="C106" s="210">
        <f>7.2*0.25</f>
        <v>1.8</v>
      </c>
      <c r="D106" s="212" t="s">
        <v>22</v>
      </c>
      <c r="E106" s="197"/>
      <c r="F106" s="28">
        <f>C106*E106</f>
        <v>0</v>
      </c>
      <c r="G106" s="273"/>
      <c r="H106" s="293"/>
      <c r="I106" s="40"/>
      <c r="J106" s="50">
        <f t="shared" si="17"/>
        <v>0</v>
      </c>
      <c r="K106" s="50">
        <f t="shared" si="18"/>
        <v>0</v>
      </c>
      <c r="L106" s="29"/>
      <c r="M106" s="180"/>
      <c r="N106" s="113"/>
    </row>
    <row r="107" spans="1:14" s="10" customFormat="1" ht="14.25">
      <c r="A107" s="220" t="s">
        <v>277</v>
      </c>
      <c r="B107" s="217" t="s">
        <v>234</v>
      </c>
      <c r="C107" s="210">
        <f>7.2*0.25</f>
        <v>1.8</v>
      </c>
      <c r="D107" s="212" t="s">
        <v>22</v>
      </c>
      <c r="E107" s="197"/>
      <c r="F107" s="28">
        <f>C107*E107</f>
        <v>0</v>
      </c>
      <c r="G107" s="273"/>
      <c r="H107" s="293"/>
      <c r="I107" s="40"/>
      <c r="J107" s="50">
        <f t="shared" si="17"/>
        <v>0</v>
      </c>
      <c r="K107" s="50">
        <f t="shared" si="18"/>
        <v>0</v>
      </c>
      <c r="L107" s="29"/>
      <c r="M107" s="180"/>
      <c r="N107" s="113"/>
    </row>
    <row r="108" spans="1:14" s="10" customFormat="1" ht="14.25">
      <c r="A108" s="39" t="s">
        <v>278</v>
      </c>
      <c r="B108" s="217" t="s">
        <v>205</v>
      </c>
      <c r="C108" s="210">
        <f>7.2*0.25</f>
        <v>1.8</v>
      </c>
      <c r="D108" s="212" t="s">
        <v>22</v>
      </c>
      <c r="E108" s="197"/>
      <c r="F108" s="28">
        <f>C108*E108</f>
        <v>0</v>
      </c>
      <c r="G108" s="273"/>
      <c r="H108" s="293"/>
      <c r="I108" s="40"/>
      <c r="J108" s="50">
        <f t="shared" si="17"/>
        <v>0</v>
      </c>
      <c r="K108" s="50">
        <f t="shared" si="18"/>
        <v>0</v>
      </c>
      <c r="L108" s="29"/>
      <c r="M108" s="180"/>
      <c r="N108" s="113"/>
    </row>
    <row r="109" spans="1:14" s="10" customFormat="1" ht="15">
      <c r="A109" s="104" t="s">
        <v>279</v>
      </c>
      <c r="B109" s="103" t="s">
        <v>200</v>
      </c>
      <c r="C109" s="95"/>
      <c r="D109" s="96"/>
      <c r="E109" s="97"/>
      <c r="F109" s="98">
        <f>SUM(F110:F115)</f>
        <v>0</v>
      </c>
      <c r="G109" s="269"/>
      <c r="H109" s="290"/>
      <c r="I109" s="98"/>
      <c r="J109" s="99"/>
      <c r="K109" s="99"/>
      <c r="L109" s="98"/>
      <c r="M109" s="98"/>
      <c r="N109" s="319"/>
    </row>
    <row r="110" spans="1:14" s="10" customFormat="1" ht="14.25">
      <c r="A110" s="39" t="s">
        <v>280</v>
      </c>
      <c r="B110" s="206" t="s">
        <v>80</v>
      </c>
      <c r="C110" s="202">
        <v>244.87</v>
      </c>
      <c r="D110" s="213" t="s">
        <v>22</v>
      </c>
      <c r="E110" s="207"/>
      <c r="F110" s="197">
        <f t="shared" ref="F110:F115" si="19">C110*E110</f>
        <v>0</v>
      </c>
      <c r="G110" s="273"/>
      <c r="H110" s="294"/>
      <c r="I110" s="180"/>
      <c r="J110" s="59"/>
      <c r="K110" s="31">
        <f t="shared" ref="K110:K115" si="20">F110/2</f>
        <v>0</v>
      </c>
      <c r="L110" s="31">
        <f t="shared" ref="L110:L115" si="21">F110/2</f>
        <v>0</v>
      </c>
      <c r="M110" s="180"/>
      <c r="N110" s="322"/>
    </row>
    <row r="111" spans="1:14" s="10" customFormat="1" ht="14.25">
      <c r="A111" s="39" t="s">
        <v>281</v>
      </c>
      <c r="B111" s="206" t="s">
        <v>77</v>
      </c>
      <c r="C111" s="202">
        <f>90.8</f>
        <v>90.8</v>
      </c>
      <c r="D111" s="213" t="s">
        <v>35</v>
      </c>
      <c r="E111" s="207"/>
      <c r="F111" s="197">
        <f t="shared" si="19"/>
        <v>0</v>
      </c>
      <c r="G111" s="273"/>
      <c r="H111" s="294"/>
      <c r="I111" s="180"/>
      <c r="J111" s="29"/>
      <c r="K111" s="31">
        <f t="shared" si="20"/>
        <v>0</v>
      </c>
      <c r="L111" s="31">
        <f t="shared" si="21"/>
        <v>0</v>
      </c>
      <c r="M111" s="180"/>
      <c r="N111" s="322"/>
    </row>
    <row r="112" spans="1:14" s="10" customFormat="1" ht="14.25">
      <c r="A112" s="193" t="s">
        <v>282</v>
      </c>
      <c r="B112" s="194" t="s">
        <v>236</v>
      </c>
      <c r="C112" s="195">
        <v>244.87</v>
      </c>
      <c r="D112" s="203" t="s">
        <v>22</v>
      </c>
      <c r="E112" s="196"/>
      <c r="F112" s="197">
        <f t="shared" si="19"/>
        <v>0</v>
      </c>
      <c r="G112" s="274"/>
      <c r="H112" s="294"/>
      <c r="I112" s="180"/>
      <c r="J112" s="59"/>
      <c r="K112" s="31">
        <f t="shared" si="20"/>
        <v>0</v>
      </c>
      <c r="L112" s="31">
        <f t="shared" si="21"/>
        <v>0</v>
      </c>
      <c r="M112" s="180"/>
      <c r="N112" s="322"/>
    </row>
    <row r="113" spans="1:14" s="10" customFormat="1" ht="14.25">
      <c r="A113" s="42" t="s">
        <v>283</v>
      </c>
      <c r="B113" s="217" t="s">
        <v>234</v>
      </c>
      <c r="C113" s="210">
        <v>244.87</v>
      </c>
      <c r="D113" s="212" t="s">
        <v>22</v>
      </c>
      <c r="E113" s="197"/>
      <c r="F113" s="197">
        <f t="shared" si="19"/>
        <v>0</v>
      </c>
      <c r="G113" s="274"/>
      <c r="H113" s="294"/>
      <c r="I113" s="180"/>
      <c r="J113" s="59"/>
      <c r="K113" s="31">
        <f t="shared" si="20"/>
        <v>0</v>
      </c>
      <c r="L113" s="31">
        <f t="shared" si="21"/>
        <v>0</v>
      </c>
      <c r="M113" s="180"/>
      <c r="N113" s="322"/>
    </row>
    <row r="114" spans="1:14" s="10" customFormat="1" ht="14.25">
      <c r="A114" s="41" t="s">
        <v>284</v>
      </c>
      <c r="B114" s="194" t="s">
        <v>414</v>
      </c>
      <c r="C114" s="210">
        <v>15</v>
      </c>
      <c r="D114" s="216" t="s">
        <v>20</v>
      </c>
      <c r="E114" s="197"/>
      <c r="F114" s="197">
        <f t="shared" si="19"/>
        <v>0</v>
      </c>
      <c r="G114" s="273"/>
      <c r="H114" s="294"/>
      <c r="I114" s="180"/>
      <c r="J114" s="106"/>
      <c r="K114" s="31">
        <f t="shared" si="20"/>
        <v>0</v>
      </c>
      <c r="L114" s="31">
        <f t="shared" si="21"/>
        <v>0</v>
      </c>
      <c r="M114" s="180"/>
      <c r="N114" s="322"/>
    </row>
    <row r="115" spans="1:14" s="10" customFormat="1" ht="14.25">
      <c r="A115" s="42" t="s">
        <v>347</v>
      </c>
      <c r="B115" s="217" t="s">
        <v>205</v>
      </c>
      <c r="C115" s="210">
        <v>244.87</v>
      </c>
      <c r="D115" s="212" t="s">
        <v>22</v>
      </c>
      <c r="E115" s="197"/>
      <c r="F115" s="197">
        <f t="shared" si="19"/>
        <v>0</v>
      </c>
      <c r="G115" s="273"/>
      <c r="H115" s="294"/>
      <c r="I115" s="180"/>
      <c r="J115" s="59"/>
      <c r="K115" s="31">
        <f t="shared" si="20"/>
        <v>0</v>
      </c>
      <c r="L115" s="31">
        <f t="shared" si="21"/>
        <v>0</v>
      </c>
      <c r="M115" s="180"/>
      <c r="N115" s="322"/>
    </row>
    <row r="116" spans="1:14" s="10" customFormat="1" ht="15">
      <c r="A116" s="104" t="s">
        <v>285</v>
      </c>
      <c r="B116" s="103" t="s">
        <v>201</v>
      </c>
      <c r="C116" s="95"/>
      <c r="D116" s="96"/>
      <c r="E116" s="97"/>
      <c r="F116" s="98">
        <f>SUM(F117:F127)</f>
        <v>0</v>
      </c>
      <c r="G116" s="269"/>
      <c r="H116" s="290"/>
      <c r="I116" s="98"/>
      <c r="J116" s="99"/>
      <c r="K116" s="99"/>
      <c r="L116" s="98"/>
      <c r="M116" s="98"/>
      <c r="N116" s="319"/>
    </row>
    <row r="117" spans="1:14" s="10" customFormat="1" ht="14.25">
      <c r="A117" s="193" t="s">
        <v>286</v>
      </c>
      <c r="B117" s="217" t="s">
        <v>227</v>
      </c>
      <c r="C117" s="210">
        <f>8.2+2.48</f>
        <v>10.68</v>
      </c>
      <c r="D117" s="212" t="s">
        <v>22</v>
      </c>
      <c r="E117" s="197"/>
      <c r="F117" s="197">
        <f t="shared" ref="F117:F123" si="22">E117*C117</f>
        <v>0</v>
      </c>
      <c r="G117" s="273"/>
      <c r="H117" s="293"/>
      <c r="I117" s="40"/>
      <c r="J117" s="50">
        <f t="shared" ref="J117:J127" si="23">F117/2</f>
        <v>0</v>
      </c>
      <c r="K117" s="50">
        <f t="shared" ref="K117:K127" si="24">F117/2</f>
        <v>0</v>
      </c>
      <c r="L117" s="29"/>
      <c r="M117" s="180"/>
      <c r="N117" s="113"/>
    </row>
    <row r="118" spans="1:14" s="10" customFormat="1" ht="14.25">
      <c r="A118" s="193" t="s">
        <v>287</v>
      </c>
      <c r="B118" s="217" t="s">
        <v>235</v>
      </c>
      <c r="C118" s="210">
        <f>8.2+2.48</f>
        <v>10.68</v>
      </c>
      <c r="D118" s="212" t="s">
        <v>22</v>
      </c>
      <c r="E118" s="197"/>
      <c r="F118" s="197">
        <f t="shared" si="22"/>
        <v>0</v>
      </c>
      <c r="G118" s="273"/>
      <c r="H118" s="293"/>
      <c r="I118" s="40"/>
      <c r="J118" s="50">
        <f t="shared" si="23"/>
        <v>0</v>
      </c>
      <c r="K118" s="50">
        <f t="shared" si="24"/>
        <v>0</v>
      </c>
      <c r="L118" s="29"/>
      <c r="M118" s="180"/>
      <c r="N118" s="113"/>
    </row>
    <row r="119" spans="1:14" s="10" customFormat="1" ht="14.25">
      <c r="A119" s="193" t="s">
        <v>288</v>
      </c>
      <c r="B119" s="217" t="s">
        <v>228</v>
      </c>
      <c r="C119" s="210">
        <f>1.5+1.5+6.5</f>
        <v>9.5</v>
      </c>
      <c r="D119" s="203" t="s">
        <v>35</v>
      </c>
      <c r="E119" s="197"/>
      <c r="F119" s="197">
        <f t="shared" si="22"/>
        <v>0</v>
      </c>
      <c r="G119" s="273"/>
      <c r="H119" s="293"/>
      <c r="I119" s="40"/>
      <c r="J119" s="50">
        <f t="shared" si="23"/>
        <v>0</v>
      </c>
      <c r="K119" s="50">
        <f t="shared" si="24"/>
        <v>0</v>
      </c>
      <c r="L119" s="29"/>
      <c r="M119" s="180"/>
      <c r="N119" s="113"/>
    </row>
    <row r="120" spans="1:14" s="10" customFormat="1" ht="14.25">
      <c r="A120" s="193" t="s">
        <v>289</v>
      </c>
      <c r="B120" s="206" t="s">
        <v>247</v>
      </c>
      <c r="C120" s="202">
        <f>9.5+5.5</f>
        <v>15</v>
      </c>
      <c r="D120" s="213" t="s">
        <v>35</v>
      </c>
      <c r="E120" s="207"/>
      <c r="F120" s="197">
        <f t="shared" si="22"/>
        <v>0</v>
      </c>
      <c r="G120" s="273"/>
      <c r="H120" s="293"/>
      <c r="I120" s="40"/>
      <c r="J120" s="50">
        <f t="shared" si="23"/>
        <v>0</v>
      </c>
      <c r="K120" s="50">
        <f t="shared" si="24"/>
        <v>0</v>
      </c>
      <c r="L120" s="29"/>
      <c r="M120" s="180"/>
      <c r="N120" s="113"/>
    </row>
    <row r="121" spans="1:14" s="10" customFormat="1" ht="14.25">
      <c r="A121" s="193" t="s">
        <v>290</v>
      </c>
      <c r="B121" s="206" t="s">
        <v>237</v>
      </c>
      <c r="C121" s="214">
        <f>(C118*1.81)*1.1</f>
        <v>21.26388</v>
      </c>
      <c r="D121" s="213" t="s">
        <v>35</v>
      </c>
      <c r="E121" s="207"/>
      <c r="F121" s="197">
        <f>E121*C121</f>
        <v>0</v>
      </c>
      <c r="G121" s="273"/>
      <c r="H121" s="293"/>
      <c r="I121" s="40"/>
      <c r="J121" s="50">
        <f t="shared" si="23"/>
        <v>0</v>
      </c>
      <c r="K121" s="50">
        <f t="shared" si="24"/>
        <v>0</v>
      </c>
      <c r="L121" s="29"/>
      <c r="M121" s="180"/>
      <c r="N121" s="113"/>
    </row>
    <row r="122" spans="1:14" s="10" customFormat="1" ht="14.25">
      <c r="A122" s="193" t="s">
        <v>291</v>
      </c>
      <c r="B122" s="206" t="s">
        <v>246</v>
      </c>
      <c r="C122" s="202">
        <f>9.5+5.5</f>
        <v>15</v>
      </c>
      <c r="D122" s="213" t="s">
        <v>35</v>
      </c>
      <c r="E122" s="207"/>
      <c r="F122" s="197">
        <f t="shared" si="22"/>
        <v>0</v>
      </c>
      <c r="G122" s="273"/>
      <c r="H122" s="293"/>
      <c r="I122" s="40"/>
      <c r="J122" s="50">
        <f t="shared" si="23"/>
        <v>0</v>
      </c>
      <c r="K122" s="50">
        <f t="shared" si="24"/>
        <v>0</v>
      </c>
      <c r="L122" s="29"/>
      <c r="M122" s="180"/>
      <c r="N122" s="113"/>
    </row>
    <row r="123" spans="1:14" s="10" customFormat="1" ht="14.25">
      <c r="A123" s="193" t="s">
        <v>292</v>
      </c>
      <c r="B123" s="206" t="s">
        <v>232</v>
      </c>
      <c r="C123" s="214">
        <f>(3*6.5)+(3*2.09)*1.1</f>
        <v>26.396999999999998</v>
      </c>
      <c r="D123" s="213" t="s">
        <v>35</v>
      </c>
      <c r="E123" s="207"/>
      <c r="F123" s="197">
        <f t="shared" si="22"/>
        <v>0</v>
      </c>
      <c r="G123" s="273"/>
      <c r="H123" s="293"/>
      <c r="I123" s="40"/>
      <c r="J123" s="50">
        <f t="shared" si="23"/>
        <v>0</v>
      </c>
      <c r="K123" s="50">
        <f t="shared" si="24"/>
        <v>0</v>
      </c>
      <c r="L123" s="29"/>
      <c r="M123" s="180"/>
      <c r="N123" s="113"/>
    </row>
    <row r="124" spans="1:14" s="25" customFormat="1" ht="14.25">
      <c r="A124" s="193" t="s">
        <v>293</v>
      </c>
      <c r="B124" s="206" t="s">
        <v>248</v>
      </c>
      <c r="C124" s="202">
        <v>44</v>
      </c>
      <c r="D124" s="213" t="s">
        <v>165</v>
      </c>
      <c r="E124" s="207"/>
      <c r="F124" s="196">
        <f>C124*E124</f>
        <v>0</v>
      </c>
      <c r="G124" s="271"/>
      <c r="H124" s="295"/>
      <c r="I124" s="37"/>
      <c r="J124" s="50">
        <f t="shared" si="23"/>
        <v>0</v>
      </c>
      <c r="K124" s="50">
        <f t="shared" si="24"/>
        <v>0</v>
      </c>
      <c r="L124" s="33"/>
      <c r="M124" s="23"/>
      <c r="N124" s="113"/>
    </row>
    <row r="125" spans="1:14" s="10" customFormat="1" ht="14.25">
      <c r="A125" s="193" t="s">
        <v>294</v>
      </c>
      <c r="B125" s="194" t="s">
        <v>344</v>
      </c>
      <c r="C125" s="210">
        <f>8.2+2.48</f>
        <v>10.68</v>
      </c>
      <c r="D125" s="212" t="s">
        <v>22</v>
      </c>
      <c r="E125" s="197"/>
      <c r="F125" s="197">
        <f>C125*E125</f>
        <v>0</v>
      </c>
      <c r="G125" s="273"/>
      <c r="H125" s="293"/>
      <c r="I125" s="40"/>
      <c r="J125" s="50">
        <f t="shared" si="23"/>
        <v>0</v>
      </c>
      <c r="K125" s="50">
        <f t="shared" si="24"/>
        <v>0</v>
      </c>
      <c r="L125" s="29"/>
      <c r="M125" s="180"/>
      <c r="N125" s="113"/>
    </row>
    <row r="126" spans="1:14" s="10" customFormat="1" ht="14.25">
      <c r="A126" s="193" t="s">
        <v>295</v>
      </c>
      <c r="B126" s="217" t="s">
        <v>234</v>
      </c>
      <c r="C126" s="210">
        <f>8.2+2.48</f>
        <v>10.68</v>
      </c>
      <c r="D126" s="212" t="s">
        <v>22</v>
      </c>
      <c r="E126" s="197"/>
      <c r="F126" s="197">
        <f>C126*E126</f>
        <v>0</v>
      </c>
      <c r="G126" s="273"/>
      <c r="H126" s="293"/>
      <c r="I126" s="40"/>
      <c r="J126" s="50">
        <f t="shared" si="23"/>
        <v>0</v>
      </c>
      <c r="K126" s="50">
        <f t="shared" si="24"/>
        <v>0</v>
      </c>
      <c r="L126" s="29"/>
      <c r="M126" s="180"/>
      <c r="N126" s="113"/>
    </row>
    <row r="127" spans="1:14" s="10" customFormat="1" ht="14.25">
      <c r="A127" s="193" t="s">
        <v>296</v>
      </c>
      <c r="B127" s="217" t="s">
        <v>346</v>
      </c>
      <c r="C127" s="210">
        <f>8.2+2.48</f>
        <v>10.68</v>
      </c>
      <c r="D127" s="212" t="s">
        <v>22</v>
      </c>
      <c r="E127" s="197"/>
      <c r="F127" s="197">
        <f>C127*E127</f>
        <v>0</v>
      </c>
      <c r="G127" s="273"/>
      <c r="H127" s="293"/>
      <c r="I127" s="40"/>
      <c r="J127" s="50">
        <f t="shared" si="23"/>
        <v>0</v>
      </c>
      <c r="K127" s="50">
        <f t="shared" si="24"/>
        <v>0</v>
      </c>
      <c r="L127" s="29"/>
      <c r="M127" s="180"/>
      <c r="N127" s="113"/>
    </row>
    <row r="128" spans="1:14" s="365" customFormat="1" ht="15">
      <c r="A128" s="356" t="s">
        <v>81</v>
      </c>
      <c r="B128" s="357"/>
      <c r="C128" s="358"/>
      <c r="D128" s="359"/>
      <c r="E128" s="360"/>
      <c r="F128" s="360"/>
      <c r="G128" s="361">
        <f>SUM(F129:F133)</f>
        <v>0</v>
      </c>
      <c r="H128" s="362">
        <f t="shared" ref="H128:N128" si="25">SUM(H129:H133)</f>
        <v>0</v>
      </c>
      <c r="I128" s="363">
        <f t="shared" si="25"/>
        <v>0</v>
      </c>
      <c r="J128" s="363">
        <f t="shared" si="25"/>
        <v>0</v>
      </c>
      <c r="K128" s="363">
        <f t="shared" si="25"/>
        <v>0</v>
      </c>
      <c r="L128" s="363">
        <f t="shared" si="25"/>
        <v>0</v>
      </c>
      <c r="M128" s="363">
        <f t="shared" si="25"/>
        <v>0</v>
      </c>
      <c r="N128" s="364">
        <f t="shared" si="25"/>
        <v>0</v>
      </c>
    </row>
    <row r="129" spans="1:14" s="10" customFormat="1" ht="14.25">
      <c r="A129" s="215" t="s">
        <v>82</v>
      </c>
      <c r="B129" s="223" t="s">
        <v>83</v>
      </c>
      <c r="C129" s="210">
        <v>44.3</v>
      </c>
      <c r="D129" s="212" t="s">
        <v>22</v>
      </c>
      <c r="E129" s="197"/>
      <c r="F129" s="197">
        <f>E129*C129</f>
        <v>0</v>
      </c>
      <c r="G129" s="273"/>
      <c r="H129" s="294"/>
      <c r="I129" s="31">
        <f>F129/3</f>
        <v>0</v>
      </c>
      <c r="J129" s="31">
        <f>F129/3</f>
        <v>0</v>
      </c>
      <c r="K129" s="31">
        <f>F129/3</f>
        <v>0</v>
      </c>
      <c r="L129" s="59"/>
      <c r="M129" s="29"/>
      <c r="N129" s="321"/>
    </row>
    <row r="130" spans="1:14" s="10" customFormat="1" ht="14.25">
      <c r="A130" s="193" t="s">
        <v>31</v>
      </c>
      <c r="B130" s="206" t="s">
        <v>307</v>
      </c>
      <c r="C130" s="202">
        <v>44.3</v>
      </c>
      <c r="D130" s="213" t="s">
        <v>22</v>
      </c>
      <c r="E130" s="207"/>
      <c r="F130" s="197">
        <f>E130*C130</f>
        <v>0</v>
      </c>
      <c r="G130" s="273"/>
      <c r="H130" s="294"/>
      <c r="I130" s="31">
        <f>F130/3</f>
        <v>0</v>
      </c>
      <c r="J130" s="31">
        <f>F130/3</f>
        <v>0</v>
      </c>
      <c r="K130" s="31">
        <f>F130/3</f>
        <v>0</v>
      </c>
      <c r="L130" s="59"/>
      <c r="M130" s="29"/>
      <c r="N130" s="321"/>
    </row>
    <row r="131" spans="1:14" s="10" customFormat="1" ht="14.25">
      <c r="A131" s="215" t="s">
        <v>85</v>
      </c>
      <c r="B131" s="217" t="s">
        <v>317</v>
      </c>
      <c r="C131" s="210">
        <v>44.3</v>
      </c>
      <c r="D131" s="212" t="s">
        <v>22</v>
      </c>
      <c r="E131" s="197"/>
      <c r="F131" s="197">
        <f>C131*E131</f>
        <v>0</v>
      </c>
      <c r="G131" s="273"/>
      <c r="H131" s="294"/>
      <c r="I131" s="31">
        <f>F131/3</f>
        <v>0</v>
      </c>
      <c r="J131" s="31">
        <f>F131/3</f>
        <v>0</v>
      </c>
      <c r="K131" s="31">
        <f>F131/3</f>
        <v>0</v>
      </c>
      <c r="L131" s="59"/>
      <c r="M131" s="29"/>
      <c r="N131" s="321"/>
    </row>
    <row r="132" spans="1:14" s="10" customFormat="1" ht="14.25">
      <c r="A132" s="215" t="s">
        <v>86</v>
      </c>
      <c r="B132" s="217" t="s">
        <v>234</v>
      </c>
      <c r="C132" s="210">
        <v>13.29</v>
      </c>
      <c r="D132" s="212" t="s">
        <v>22</v>
      </c>
      <c r="E132" s="197"/>
      <c r="F132" s="197">
        <f>C132*E132</f>
        <v>0</v>
      </c>
      <c r="G132" s="273"/>
      <c r="H132" s="294"/>
      <c r="I132" s="31">
        <f>F132/3</f>
        <v>0</v>
      </c>
      <c r="J132" s="31">
        <f>F132/3</f>
        <v>0</v>
      </c>
      <c r="K132" s="31">
        <f>F132/3</f>
        <v>0</v>
      </c>
      <c r="L132" s="59"/>
      <c r="M132" s="29"/>
      <c r="N132" s="321"/>
    </row>
    <row r="133" spans="1:14" s="10" customFormat="1" ht="14.25">
      <c r="A133" s="215" t="s">
        <v>87</v>
      </c>
      <c r="B133" s="217" t="s">
        <v>346</v>
      </c>
      <c r="C133" s="210">
        <v>44.3</v>
      </c>
      <c r="D133" s="212" t="s">
        <v>22</v>
      </c>
      <c r="E133" s="197"/>
      <c r="F133" s="197">
        <f>E133*C133</f>
        <v>0</v>
      </c>
      <c r="G133" s="273"/>
      <c r="H133" s="294"/>
      <c r="I133" s="31">
        <f>F133/3</f>
        <v>0</v>
      </c>
      <c r="J133" s="31">
        <f>F133/3</f>
        <v>0</v>
      </c>
      <c r="K133" s="31">
        <f>F133/3</f>
        <v>0</v>
      </c>
      <c r="L133" s="59"/>
      <c r="M133" s="29"/>
      <c r="N133" s="321"/>
    </row>
    <row r="134" spans="1:14" s="365" customFormat="1" ht="15">
      <c r="A134" s="356" t="s">
        <v>88</v>
      </c>
      <c r="B134" s="357"/>
      <c r="C134" s="358"/>
      <c r="D134" s="359"/>
      <c r="E134" s="360"/>
      <c r="F134" s="360"/>
      <c r="G134" s="361">
        <f>SUM(F135,F145)</f>
        <v>0</v>
      </c>
      <c r="H134" s="384">
        <f>SUM(H135:H150)</f>
        <v>0</v>
      </c>
      <c r="I134" s="385">
        <f t="shared" ref="I134:N134" si="26">SUM(I135:I150)</f>
        <v>0</v>
      </c>
      <c r="J134" s="385">
        <f t="shared" si="26"/>
        <v>0</v>
      </c>
      <c r="K134" s="385">
        <f t="shared" si="26"/>
        <v>0</v>
      </c>
      <c r="L134" s="385">
        <f t="shared" si="26"/>
        <v>0</v>
      </c>
      <c r="M134" s="385">
        <f t="shared" si="26"/>
        <v>0</v>
      </c>
      <c r="N134" s="386">
        <f t="shared" si="26"/>
        <v>0</v>
      </c>
    </row>
    <row r="135" spans="1:14" s="10" customFormat="1" ht="15">
      <c r="A135" s="93" t="s">
        <v>89</v>
      </c>
      <c r="B135" s="107" t="s">
        <v>90</v>
      </c>
      <c r="C135" s="97"/>
      <c r="D135" s="108"/>
      <c r="E135" s="109"/>
      <c r="F135" s="98">
        <f>SUM(F136:F144)</f>
        <v>0</v>
      </c>
      <c r="G135" s="275"/>
      <c r="H135" s="296"/>
      <c r="I135" s="110"/>
      <c r="J135" s="110"/>
      <c r="K135" s="111"/>
      <c r="L135" s="111"/>
      <c r="M135" s="110"/>
      <c r="N135" s="323"/>
    </row>
    <row r="136" spans="1:14" s="47" customFormat="1" ht="14.25">
      <c r="A136" s="193" t="s">
        <v>91</v>
      </c>
      <c r="B136" s="224" t="s">
        <v>415</v>
      </c>
      <c r="C136" s="202">
        <v>210</v>
      </c>
      <c r="D136" s="213" t="s">
        <v>22</v>
      </c>
      <c r="E136" s="207"/>
      <c r="F136" s="43">
        <f t="shared" ref="F136:F143" si="27">E136*C136</f>
        <v>0</v>
      </c>
      <c r="G136" s="276"/>
      <c r="H136" s="297"/>
      <c r="I136" s="45"/>
      <c r="J136" s="45"/>
      <c r="K136" s="46"/>
      <c r="L136" s="112">
        <f t="shared" ref="L136:L144" si="28">F136</f>
        <v>0</v>
      </c>
      <c r="M136" s="106"/>
      <c r="N136" s="159"/>
    </row>
    <row r="137" spans="1:14" s="47" customFormat="1" ht="14.25">
      <c r="A137" s="193" t="s">
        <v>92</v>
      </c>
      <c r="B137" s="224" t="s">
        <v>308</v>
      </c>
      <c r="C137" s="202">
        <v>18.5</v>
      </c>
      <c r="D137" s="213" t="s">
        <v>22</v>
      </c>
      <c r="E137" s="207"/>
      <c r="F137" s="43">
        <f t="shared" si="27"/>
        <v>0</v>
      </c>
      <c r="G137" s="276"/>
      <c r="H137" s="297"/>
      <c r="I137" s="45"/>
      <c r="J137" s="45"/>
      <c r="K137" s="46"/>
      <c r="L137" s="112">
        <f t="shared" si="28"/>
        <v>0</v>
      </c>
      <c r="M137" s="106"/>
      <c r="N137" s="159"/>
    </row>
    <row r="138" spans="1:14" s="10" customFormat="1" ht="14.25">
      <c r="A138" s="42" t="s">
        <v>93</v>
      </c>
      <c r="B138" s="217" t="s">
        <v>342</v>
      </c>
      <c r="C138" s="222">
        <v>18.5</v>
      </c>
      <c r="D138" s="212" t="s">
        <v>22</v>
      </c>
      <c r="E138" s="197"/>
      <c r="F138" s="30">
        <f>C138*E138</f>
        <v>0</v>
      </c>
      <c r="G138" s="273"/>
      <c r="H138" s="298"/>
      <c r="I138" s="40"/>
      <c r="J138" s="40"/>
      <c r="K138" s="40"/>
      <c r="L138" s="112">
        <f t="shared" si="28"/>
        <v>0</v>
      </c>
      <c r="M138" s="106"/>
      <c r="N138" s="159"/>
    </row>
    <row r="139" spans="1:14" s="44" customFormat="1" ht="14.25">
      <c r="A139" s="193" t="s">
        <v>94</v>
      </c>
      <c r="B139" s="206" t="s">
        <v>95</v>
      </c>
      <c r="C139" s="202">
        <v>5</v>
      </c>
      <c r="D139" s="213" t="s">
        <v>22</v>
      </c>
      <c r="E139" s="207"/>
      <c r="F139" s="30">
        <f>E139*C139</f>
        <v>0</v>
      </c>
      <c r="G139" s="273"/>
      <c r="H139" s="298"/>
      <c r="I139" s="40"/>
      <c r="J139" s="40"/>
      <c r="K139" s="40"/>
      <c r="L139" s="112">
        <f t="shared" si="28"/>
        <v>0</v>
      </c>
      <c r="M139" s="106"/>
      <c r="N139" s="159"/>
    </row>
    <row r="140" spans="1:14" s="47" customFormat="1" ht="14.25">
      <c r="A140" s="193" t="s">
        <v>310</v>
      </c>
      <c r="B140" s="206" t="s">
        <v>309</v>
      </c>
      <c r="C140" s="202">
        <v>18.5</v>
      </c>
      <c r="D140" s="213" t="s">
        <v>22</v>
      </c>
      <c r="E140" s="207"/>
      <c r="F140" s="43">
        <f t="shared" si="27"/>
        <v>0</v>
      </c>
      <c r="G140" s="276"/>
      <c r="H140" s="297"/>
      <c r="I140" s="45"/>
      <c r="J140" s="45"/>
      <c r="K140" s="46"/>
      <c r="L140" s="112">
        <f t="shared" si="28"/>
        <v>0</v>
      </c>
      <c r="M140" s="106"/>
      <c r="N140" s="159"/>
    </row>
    <row r="141" spans="1:14" s="44" customFormat="1" ht="14.25">
      <c r="A141" s="42" t="s">
        <v>312</v>
      </c>
      <c r="B141" s="206" t="s">
        <v>311</v>
      </c>
      <c r="C141" s="202">
        <v>20</v>
      </c>
      <c r="D141" s="213" t="s">
        <v>35</v>
      </c>
      <c r="E141" s="207"/>
      <c r="F141" s="197">
        <f t="shared" si="27"/>
        <v>0</v>
      </c>
      <c r="G141" s="273"/>
      <c r="H141" s="298"/>
      <c r="I141" s="40"/>
      <c r="J141" s="40"/>
      <c r="K141" s="40"/>
      <c r="L141" s="112">
        <f t="shared" si="28"/>
        <v>0</v>
      </c>
      <c r="M141" s="106"/>
      <c r="N141" s="159"/>
    </row>
    <row r="142" spans="1:14" s="44" customFormat="1" ht="14.25">
      <c r="A142" s="42" t="s">
        <v>314</v>
      </c>
      <c r="B142" s="225" t="s">
        <v>313</v>
      </c>
      <c r="C142" s="210">
        <v>25</v>
      </c>
      <c r="D142" s="203" t="s">
        <v>35</v>
      </c>
      <c r="E142" s="197"/>
      <c r="F142" s="197">
        <f t="shared" si="27"/>
        <v>0</v>
      </c>
      <c r="G142" s="273"/>
      <c r="H142" s="298"/>
      <c r="I142" s="40"/>
      <c r="J142" s="40"/>
      <c r="K142" s="40"/>
      <c r="L142" s="112">
        <f t="shared" si="28"/>
        <v>0</v>
      </c>
      <c r="M142" s="106"/>
      <c r="N142" s="159"/>
    </row>
    <row r="143" spans="1:14" s="44" customFormat="1" ht="14.25">
      <c r="A143" s="193" t="s">
        <v>341</v>
      </c>
      <c r="B143" s="206" t="s">
        <v>340</v>
      </c>
      <c r="C143" s="202">
        <v>25</v>
      </c>
      <c r="D143" s="213" t="s">
        <v>35</v>
      </c>
      <c r="E143" s="207"/>
      <c r="F143" s="197">
        <f t="shared" si="27"/>
        <v>0</v>
      </c>
      <c r="G143" s="273"/>
      <c r="H143" s="298"/>
      <c r="I143" s="40"/>
      <c r="J143" s="40"/>
      <c r="K143" s="40"/>
      <c r="L143" s="112">
        <f t="shared" si="28"/>
        <v>0</v>
      </c>
      <c r="M143" s="106"/>
      <c r="N143" s="159"/>
    </row>
    <row r="144" spans="1:14" s="10" customFormat="1" ht="14.25">
      <c r="A144" s="42" t="s">
        <v>345</v>
      </c>
      <c r="B144" s="217" t="s">
        <v>346</v>
      </c>
      <c r="C144" s="222">
        <f>C136+((C141+C142)*0.15)</f>
        <v>216.75</v>
      </c>
      <c r="D144" s="212" t="s">
        <v>22</v>
      </c>
      <c r="E144" s="197"/>
      <c r="F144" s="197">
        <f>E144*C144</f>
        <v>0</v>
      </c>
      <c r="G144" s="273"/>
      <c r="H144" s="293"/>
      <c r="I144" s="40"/>
      <c r="J144" s="40"/>
      <c r="K144" s="59"/>
      <c r="L144" s="112">
        <f t="shared" si="28"/>
        <v>0</v>
      </c>
      <c r="M144" s="29"/>
      <c r="N144" s="159"/>
    </row>
    <row r="145" spans="1:14" s="10" customFormat="1" ht="15">
      <c r="A145" s="93" t="s">
        <v>96</v>
      </c>
      <c r="B145" s="114" t="s">
        <v>97</v>
      </c>
      <c r="C145" s="97"/>
      <c r="D145" s="108"/>
      <c r="E145" s="109"/>
      <c r="F145" s="98">
        <f>SUM(F146:F150)</f>
        <v>0</v>
      </c>
      <c r="G145" s="275"/>
      <c r="H145" s="296"/>
      <c r="I145" s="110"/>
      <c r="J145" s="110"/>
      <c r="K145" s="111"/>
      <c r="L145" s="111"/>
      <c r="M145" s="110"/>
      <c r="N145" s="323"/>
    </row>
    <row r="146" spans="1:14" s="10" customFormat="1" ht="14.25">
      <c r="A146" s="39" t="s">
        <v>98</v>
      </c>
      <c r="B146" s="206" t="s">
        <v>99</v>
      </c>
      <c r="C146" s="202">
        <v>16</v>
      </c>
      <c r="D146" s="213" t="s">
        <v>22</v>
      </c>
      <c r="E146" s="207"/>
      <c r="F146" s="43">
        <f>E146*C146</f>
        <v>0</v>
      </c>
      <c r="G146" s="273"/>
      <c r="H146" s="298"/>
      <c r="I146" s="40"/>
      <c r="J146" s="40"/>
      <c r="K146" s="40"/>
      <c r="L146" s="112">
        <f>F146</f>
        <v>0</v>
      </c>
      <c r="M146" s="180"/>
      <c r="N146" s="321"/>
    </row>
    <row r="147" spans="1:14" s="10" customFormat="1" ht="14.25">
      <c r="A147" s="39" t="s">
        <v>100</v>
      </c>
      <c r="B147" s="206" t="s">
        <v>315</v>
      </c>
      <c r="C147" s="202">
        <v>16</v>
      </c>
      <c r="D147" s="213" t="s">
        <v>22</v>
      </c>
      <c r="E147" s="207"/>
      <c r="F147" s="43">
        <f>E147*C147</f>
        <v>0</v>
      </c>
      <c r="G147" s="273"/>
      <c r="H147" s="298"/>
      <c r="I147" s="40"/>
      <c r="J147" s="40"/>
      <c r="K147" s="40"/>
      <c r="L147" s="112">
        <f>F147</f>
        <v>0</v>
      </c>
      <c r="M147" s="180"/>
      <c r="N147" s="321"/>
    </row>
    <row r="148" spans="1:14" s="10" customFormat="1" ht="14.25">
      <c r="A148" s="39" t="s">
        <v>101</v>
      </c>
      <c r="B148" s="206" t="s">
        <v>316</v>
      </c>
      <c r="C148" s="202">
        <v>58</v>
      </c>
      <c r="D148" s="213" t="s">
        <v>22</v>
      </c>
      <c r="E148" s="207"/>
      <c r="F148" s="43">
        <f>E148*C148</f>
        <v>0</v>
      </c>
      <c r="G148" s="273"/>
      <c r="H148" s="298"/>
      <c r="I148" s="40"/>
      <c r="J148" s="40"/>
      <c r="K148" s="40"/>
      <c r="L148" s="112">
        <f>F148</f>
        <v>0</v>
      </c>
      <c r="M148" s="180"/>
      <c r="N148" s="321"/>
    </row>
    <row r="149" spans="1:14" s="10" customFormat="1" ht="14.25">
      <c r="A149" s="39" t="s">
        <v>586</v>
      </c>
      <c r="B149" s="217" t="s">
        <v>351</v>
      </c>
      <c r="C149" s="219">
        <f>C147+C148</f>
        <v>74</v>
      </c>
      <c r="D149" s="212" t="s">
        <v>22</v>
      </c>
      <c r="E149" s="197"/>
      <c r="F149" s="197">
        <f>C149*E149</f>
        <v>0</v>
      </c>
      <c r="G149" s="273"/>
      <c r="H149" s="298"/>
      <c r="I149" s="40"/>
      <c r="J149" s="40"/>
      <c r="K149" s="40"/>
      <c r="L149" s="112">
        <f>F149</f>
        <v>0</v>
      </c>
      <c r="M149" s="180"/>
      <c r="N149" s="113"/>
    </row>
    <row r="150" spans="1:14" s="10" customFormat="1" ht="14.25">
      <c r="A150" s="39" t="s">
        <v>587</v>
      </c>
      <c r="B150" s="194" t="s">
        <v>361</v>
      </c>
      <c r="C150" s="219">
        <f>(C147+C148)*0.75</f>
        <v>55.5</v>
      </c>
      <c r="D150" s="212" t="s">
        <v>22</v>
      </c>
      <c r="E150" s="197"/>
      <c r="F150" s="197">
        <f>C150*E150</f>
        <v>0</v>
      </c>
      <c r="G150" s="273"/>
      <c r="H150" s="298"/>
      <c r="I150" s="40"/>
      <c r="J150" s="40"/>
      <c r="K150" s="40"/>
      <c r="L150" s="112">
        <f>F150</f>
        <v>0</v>
      </c>
      <c r="M150" s="180"/>
      <c r="N150" s="113"/>
    </row>
    <row r="151" spans="1:14" s="365" customFormat="1" ht="15">
      <c r="A151" s="356" t="s">
        <v>102</v>
      </c>
      <c r="B151" s="357"/>
      <c r="C151" s="358"/>
      <c r="D151" s="359"/>
      <c r="E151" s="360"/>
      <c r="F151" s="360"/>
      <c r="G151" s="361">
        <f>SUM(F152,F160)</f>
        <v>0</v>
      </c>
      <c r="H151" s="384">
        <f>SUM(H152:H162)</f>
        <v>0</v>
      </c>
      <c r="I151" s="385">
        <f t="shared" ref="I151:N151" si="29">SUM(I152:I162)</f>
        <v>0</v>
      </c>
      <c r="J151" s="385">
        <f t="shared" si="29"/>
        <v>0</v>
      </c>
      <c r="K151" s="385">
        <f t="shared" si="29"/>
        <v>0</v>
      </c>
      <c r="L151" s="385">
        <f>SUM(L152:L162)</f>
        <v>0</v>
      </c>
      <c r="M151" s="385">
        <f t="shared" si="29"/>
        <v>0</v>
      </c>
      <c r="N151" s="386">
        <f t="shared" si="29"/>
        <v>0</v>
      </c>
    </row>
    <row r="152" spans="1:14" s="10" customFormat="1" ht="15">
      <c r="A152" s="93" t="s">
        <v>103</v>
      </c>
      <c r="B152" s="107" t="s">
        <v>104</v>
      </c>
      <c r="C152" s="115"/>
      <c r="D152" s="116"/>
      <c r="E152" s="98"/>
      <c r="F152" s="98">
        <f>SUM(F153:F159)</f>
        <v>0</v>
      </c>
      <c r="G152" s="269"/>
      <c r="H152" s="299"/>
      <c r="I152" s="117"/>
      <c r="J152" s="117"/>
      <c r="K152" s="118"/>
      <c r="L152" s="118"/>
      <c r="M152" s="117"/>
      <c r="N152" s="324"/>
    </row>
    <row r="153" spans="1:14" s="10" customFormat="1" ht="14.25">
      <c r="A153" s="193" t="s">
        <v>105</v>
      </c>
      <c r="B153" s="226" t="s">
        <v>111</v>
      </c>
      <c r="C153" s="219">
        <f>(3.09+0.54+1.58+0.725+3.14+1.135+0.36+1.09)*0.12*1.1</f>
        <v>1.5391199999999998</v>
      </c>
      <c r="D153" s="212" t="s">
        <v>22</v>
      </c>
      <c r="E153" s="197"/>
      <c r="F153" s="197">
        <f>E153*C153</f>
        <v>0</v>
      </c>
      <c r="G153" s="273"/>
      <c r="H153" s="298"/>
      <c r="I153" s="40"/>
      <c r="J153" s="40"/>
      <c r="K153" s="40"/>
      <c r="L153" s="112">
        <f t="shared" ref="L153:L159" si="30">F153</f>
        <v>0</v>
      </c>
      <c r="M153" s="106"/>
      <c r="N153" s="159"/>
    </row>
    <row r="154" spans="1:14" s="10" customFormat="1" ht="14.25">
      <c r="A154" s="42" t="s">
        <v>106</v>
      </c>
      <c r="B154" s="223" t="s">
        <v>83</v>
      </c>
      <c r="C154" s="219">
        <f>(3.09+0.54+1.58+0.725+3.14+1.135+0.36+1.09)*0.12*1.1</f>
        <v>1.5391199999999998</v>
      </c>
      <c r="D154" s="212" t="s">
        <v>22</v>
      </c>
      <c r="E154" s="197"/>
      <c r="F154" s="197">
        <f>E154*C154</f>
        <v>0</v>
      </c>
      <c r="G154" s="273"/>
      <c r="H154" s="298"/>
      <c r="I154" s="40"/>
      <c r="J154" s="40"/>
      <c r="K154" s="40"/>
      <c r="L154" s="112">
        <f t="shared" si="30"/>
        <v>0</v>
      </c>
      <c r="M154" s="106"/>
      <c r="N154" s="159"/>
    </row>
    <row r="155" spans="1:14" s="10" customFormat="1" ht="14.25">
      <c r="A155" s="42" t="s">
        <v>107</v>
      </c>
      <c r="B155" s="194" t="s">
        <v>417</v>
      </c>
      <c r="C155" s="210">
        <v>1</v>
      </c>
      <c r="D155" s="216" t="s">
        <v>20</v>
      </c>
      <c r="E155" s="197"/>
      <c r="F155" s="197">
        <f>C155*E155</f>
        <v>0</v>
      </c>
      <c r="G155" s="273"/>
      <c r="H155" s="298"/>
      <c r="I155" s="40"/>
      <c r="J155" s="40"/>
      <c r="K155" s="40"/>
      <c r="L155" s="112">
        <f t="shared" si="30"/>
        <v>0</v>
      </c>
      <c r="M155" s="106"/>
      <c r="N155" s="159"/>
    </row>
    <row r="156" spans="1:14" s="10" customFormat="1" ht="14.25">
      <c r="A156" s="42" t="s">
        <v>108</v>
      </c>
      <c r="B156" s="217" t="s">
        <v>339</v>
      </c>
      <c r="C156" s="219">
        <f>(3.09+0.54+1.58+0.725+3.14+1.135+0.36+1.09)*0.12*1.1</f>
        <v>1.5391199999999998</v>
      </c>
      <c r="D156" s="212" t="s">
        <v>22</v>
      </c>
      <c r="E156" s="197"/>
      <c r="F156" s="197">
        <f>C156*E156</f>
        <v>0</v>
      </c>
      <c r="G156" s="273"/>
      <c r="H156" s="298"/>
      <c r="I156" s="40"/>
      <c r="J156" s="40"/>
      <c r="K156" s="40"/>
      <c r="L156" s="112">
        <f t="shared" si="30"/>
        <v>0</v>
      </c>
      <c r="M156" s="106"/>
      <c r="N156" s="159"/>
    </row>
    <row r="157" spans="1:14" s="10" customFormat="1" ht="14.25">
      <c r="A157" s="193" t="s">
        <v>109</v>
      </c>
      <c r="B157" s="226" t="s">
        <v>84</v>
      </c>
      <c r="C157" s="219">
        <f>(3.09+0.54+1.58+0.725+3.14+1.135+0.36+1.09)*0.12*1.1</f>
        <v>1.5391199999999998</v>
      </c>
      <c r="D157" s="212" t="s">
        <v>22</v>
      </c>
      <c r="E157" s="197"/>
      <c r="F157" s="197">
        <f>E157*C157</f>
        <v>0</v>
      </c>
      <c r="G157" s="273"/>
      <c r="H157" s="298"/>
      <c r="I157" s="40"/>
      <c r="J157" s="40"/>
      <c r="K157" s="40"/>
      <c r="L157" s="112">
        <f t="shared" si="30"/>
        <v>0</v>
      </c>
      <c r="M157" s="106"/>
      <c r="N157" s="159"/>
    </row>
    <row r="158" spans="1:14" s="10" customFormat="1" ht="14.25">
      <c r="A158" s="193" t="s">
        <v>110</v>
      </c>
      <c r="B158" s="217" t="s">
        <v>234</v>
      </c>
      <c r="C158" s="219">
        <f>(3.09+0.54+1.58+0.725+3.14+1.135+0.36+1.09)*0.12*1.1</f>
        <v>1.5391199999999998</v>
      </c>
      <c r="D158" s="212" t="s">
        <v>22</v>
      </c>
      <c r="E158" s="197"/>
      <c r="F158" s="197">
        <f>E158*C158</f>
        <v>0</v>
      </c>
      <c r="G158" s="273"/>
      <c r="H158" s="298"/>
      <c r="I158" s="40"/>
      <c r="J158" s="40"/>
      <c r="K158" s="40"/>
      <c r="L158" s="112">
        <f t="shared" si="30"/>
        <v>0</v>
      </c>
      <c r="M158" s="106"/>
      <c r="N158" s="159"/>
    </row>
    <row r="159" spans="1:14" s="10" customFormat="1" ht="14.25">
      <c r="A159" s="193" t="s">
        <v>112</v>
      </c>
      <c r="B159" s="226" t="s">
        <v>113</v>
      </c>
      <c r="C159" s="210">
        <f>3.09+0.54+1.58+0.725+3.14+1.135+0.36+1.09</f>
        <v>11.659999999999998</v>
      </c>
      <c r="D159" s="203" t="s">
        <v>35</v>
      </c>
      <c r="E159" s="197"/>
      <c r="F159" s="197">
        <f>E159*C159</f>
        <v>0</v>
      </c>
      <c r="G159" s="273"/>
      <c r="H159" s="298"/>
      <c r="I159" s="40"/>
      <c r="J159" s="40"/>
      <c r="K159" s="40"/>
      <c r="L159" s="112">
        <f t="shared" si="30"/>
        <v>0</v>
      </c>
      <c r="M159" s="106"/>
      <c r="N159" s="159"/>
    </row>
    <row r="160" spans="1:14" s="10" customFormat="1" ht="15">
      <c r="A160" s="93" t="s">
        <v>114</v>
      </c>
      <c r="B160" s="114" t="s">
        <v>115</v>
      </c>
      <c r="C160" s="115"/>
      <c r="D160" s="116"/>
      <c r="E160" s="98"/>
      <c r="F160" s="98">
        <f>SUM(F161:F162)</f>
        <v>0</v>
      </c>
      <c r="G160" s="269"/>
      <c r="H160" s="299"/>
      <c r="I160" s="117"/>
      <c r="J160" s="117"/>
      <c r="K160" s="118"/>
      <c r="L160" s="118"/>
      <c r="M160" s="117"/>
      <c r="N160" s="324"/>
    </row>
    <row r="161" spans="1:14" s="10" customFormat="1" ht="14.25">
      <c r="A161" s="215" t="s">
        <v>116</v>
      </c>
      <c r="B161" s="227" t="s">
        <v>117</v>
      </c>
      <c r="C161" s="210">
        <v>69.95</v>
      </c>
      <c r="D161" s="203" t="s">
        <v>35</v>
      </c>
      <c r="E161" s="197"/>
      <c r="F161" s="197">
        <f>E161*C161</f>
        <v>0</v>
      </c>
      <c r="G161" s="273"/>
      <c r="H161" s="298"/>
      <c r="I161" s="40"/>
      <c r="J161" s="40"/>
      <c r="K161" s="40"/>
      <c r="L161" s="112">
        <f>F161</f>
        <v>0</v>
      </c>
      <c r="M161" s="180"/>
      <c r="N161" s="321"/>
    </row>
    <row r="162" spans="1:14" s="10" customFormat="1" ht="14.25">
      <c r="A162" s="27" t="s">
        <v>363</v>
      </c>
      <c r="B162" s="194" t="s">
        <v>364</v>
      </c>
      <c r="C162" s="219">
        <f>C161*0.25</f>
        <v>17.487500000000001</v>
      </c>
      <c r="D162" s="203" t="s">
        <v>35</v>
      </c>
      <c r="E162" s="197"/>
      <c r="F162" s="197">
        <f>C162*E162</f>
        <v>0</v>
      </c>
      <c r="G162" s="273"/>
      <c r="H162" s="298"/>
      <c r="I162" s="40"/>
      <c r="J162" s="40"/>
      <c r="K162" s="40"/>
      <c r="L162" s="112">
        <f>F162</f>
        <v>0</v>
      </c>
      <c r="M162" s="180"/>
      <c r="N162" s="113"/>
    </row>
    <row r="163" spans="1:14" s="365" customFormat="1" ht="15">
      <c r="A163" s="464" t="s">
        <v>572</v>
      </c>
      <c r="B163" s="387"/>
      <c r="C163" s="388"/>
      <c r="D163" s="389"/>
      <c r="E163" s="390"/>
      <c r="F163" s="390"/>
      <c r="G163" s="361">
        <f>F164+F169+F175+F172</f>
        <v>0</v>
      </c>
      <c r="H163" s="372">
        <f>SUM(H164:H178)</f>
        <v>0</v>
      </c>
      <c r="I163" s="373">
        <f t="shared" ref="I163:N163" si="31">SUM(I164:I178)</f>
        <v>0</v>
      </c>
      <c r="J163" s="373">
        <f t="shared" si="31"/>
        <v>0</v>
      </c>
      <c r="K163" s="373">
        <f t="shared" si="31"/>
        <v>0</v>
      </c>
      <c r="L163" s="373">
        <f t="shared" si="31"/>
        <v>0</v>
      </c>
      <c r="M163" s="373">
        <f t="shared" si="31"/>
        <v>0</v>
      </c>
      <c r="N163" s="374">
        <f t="shared" si="31"/>
        <v>0</v>
      </c>
    </row>
    <row r="164" spans="1:14" s="10" customFormat="1" ht="15">
      <c r="A164" s="93" t="s">
        <v>118</v>
      </c>
      <c r="B164" s="94" t="s">
        <v>119</v>
      </c>
      <c r="C164" s="97"/>
      <c r="D164" s="109"/>
      <c r="E164" s="109"/>
      <c r="F164" s="98">
        <f>SUM(F165:F168)</f>
        <v>0</v>
      </c>
      <c r="G164" s="275"/>
      <c r="H164" s="300"/>
      <c r="I164" s="109"/>
      <c r="J164" s="97"/>
      <c r="K164" s="119"/>
      <c r="L164" s="119"/>
      <c r="M164" s="97"/>
      <c r="N164" s="120"/>
    </row>
    <row r="165" spans="1:14" s="38" customFormat="1" ht="14.25">
      <c r="A165" s="208" t="s">
        <v>120</v>
      </c>
      <c r="B165" s="206" t="s">
        <v>352</v>
      </c>
      <c r="C165" s="214">
        <f>C168/2</f>
        <v>203.77499999999998</v>
      </c>
      <c r="D165" s="207" t="s">
        <v>22</v>
      </c>
      <c r="E165" s="197"/>
      <c r="F165" s="207">
        <f>C165*E165</f>
        <v>0</v>
      </c>
      <c r="G165" s="277"/>
      <c r="H165" s="295"/>
      <c r="I165" s="37"/>
      <c r="J165" s="37"/>
      <c r="K165" s="50">
        <f>F165/3</f>
        <v>0</v>
      </c>
      <c r="L165" s="50">
        <f>F165/3</f>
        <v>0</v>
      </c>
      <c r="M165" s="50">
        <f>F165/3</f>
        <v>0</v>
      </c>
      <c r="N165" s="113"/>
    </row>
    <row r="166" spans="1:14" s="38" customFormat="1" ht="14.25">
      <c r="A166" s="35" t="s">
        <v>121</v>
      </c>
      <c r="B166" s="206" t="s">
        <v>238</v>
      </c>
      <c r="C166" s="214">
        <f>C168/2</f>
        <v>203.77499999999998</v>
      </c>
      <c r="D166" s="207" t="s">
        <v>22</v>
      </c>
      <c r="E166" s="197"/>
      <c r="F166" s="207">
        <f>C166*E166</f>
        <v>0</v>
      </c>
      <c r="G166" s="277"/>
      <c r="H166" s="295"/>
      <c r="I166" s="37"/>
      <c r="J166" s="37"/>
      <c r="K166" s="50">
        <f>F166/3</f>
        <v>0</v>
      </c>
      <c r="L166" s="50">
        <f>F166/3</f>
        <v>0</v>
      </c>
      <c r="M166" s="50">
        <f>F166/3</f>
        <v>0</v>
      </c>
      <c r="N166" s="113"/>
    </row>
    <row r="167" spans="1:14" s="38" customFormat="1" ht="28.5">
      <c r="A167" s="35" t="s">
        <v>122</v>
      </c>
      <c r="B167" s="206" t="s">
        <v>239</v>
      </c>
      <c r="C167" s="214">
        <f>C166*0.05</f>
        <v>10.188749999999999</v>
      </c>
      <c r="D167" s="207" t="s">
        <v>123</v>
      </c>
      <c r="E167" s="197"/>
      <c r="F167" s="207">
        <f>C167*E167</f>
        <v>0</v>
      </c>
      <c r="G167" s="277"/>
      <c r="H167" s="295"/>
      <c r="I167" s="37"/>
      <c r="J167" s="37"/>
      <c r="K167" s="50">
        <f>F167/3</f>
        <v>0</v>
      </c>
      <c r="L167" s="50">
        <f>F167/3</f>
        <v>0</v>
      </c>
      <c r="M167" s="50">
        <f>F167/3</f>
        <v>0</v>
      </c>
      <c r="N167" s="113"/>
    </row>
    <row r="168" spans="1:14" s="38" customFormat="1" ht="14.25">
      <c r="A168" s="35" t="s">
        <v>124</v>
      </c>
      <c r="B168" s="206" t="s">
        <v>240</v>
      </c>
      <c r="C168" s="202">
        <f>(((45.9+42.12)+20.87)+28.1)+62.08+208.48</f>
        <v>407.54999999999995</v>
      </c>
      <c r="D168" s="207" t="s">
        <v>22</v>
      </c>
      <c r="E168" s="197"/>
      <c r="F168" s="207">
        <f>E168*C168</f>
        <v>0</v>
      </c>
      <c r="G168" s="277"/>
      <c r="H168" s="295"/>
      <c r="I168" s="37"/>
      <c r="J168" s="37"/>
      <c r="K168" s="50">
        <f>F168/3</f>
        <v>0</v>
      </c>
      <c r="L168" s="50">
        <f>F168/3</f>
        <v>0</v>
      </c>
      <c r="M168" s="50">
        <f>F168/3</f>
        <v>0</v>
      </c>
      <c r="N168" s="113"/>
    </row>
    <row r="169" spans="1:14" s="10" customFormat="1" ht="15">
      <c r="A169" s="101" t="s">
        <v>125</v>
      </c>
      <c r="B169" s="136" t="s">
        <v>353</v>
      </c>
      <c r="C169" s="97"/>
      <c r="D169" s="109"/>
      <c r="E169" s="109"/>
      <c r="F169" s="98">
        <f>SUM(F170:F171)</f>
        <v>0</v>
      </c>
      <c r="G169" s="275"/>
      <c r="H169" s="300"/>
      <c r="I169" s="109"/>
      <c r="J169" s="97"/>
      <c r="K169" s="119"/>
      <c r="L169" s="119"/>
      <c r="M169" s="97"/>
      <c r="N169" s="120"/>
    </row>
    <row r="170" spans="1:14" s="38" customFormat="1" ht="14.25">
      <c r="A170" s="35" t="s">
        <v>126</v>
      </c>
      <c r="B170" s="206" t="s">
        <v>354</v>
      </c>
      <c r="C170" s="214">
        <v>5</v>
      </c>
      <c r="D170" s="207" t="s">
        <v>22</v>
      </c>
      <c r="E170" s="197"/>
      <c r="F170" s="207">
        <f>C170*E170</f>
        <v>0</v>
      </c>
      <c r="G170" s="277"/>
      <c r="H170" s="295"/>
      <c r="I170" s="37"/>
      <c r="J170" s="37"/>
      <c r="K170" s="50">
        <f>F170/3</f>
        <v>0</v>
      </c>
      <c r="L170" s="50">
        <f>F170/3</f>
        <v>0</v>
      </c>
      <c r="M170" s="50">
        <f>F170/3</f>
        <v>0</v>
      </c>
      <c r="N170" s="113"/>
    </row>
    <row r="171" spans="1:14" s="10" customFormat="1" ht="14.25">
      <c r="A171" s="35" t="s">
        <v>369</v>
      </c>
      <c r="B171" s="194" t="s">
        <v>371</v>
      </c>
      <c r="C171" s="219">
        <f>C170*0.5</f>
        <v>2.5</v>
      </c>
      <c r="D171" s="212" t="s">
        <v>22</v>
      </c>
      <c r="E171" s="197"/>
      <c r="F171" s="197">
        <f>C171*E171</f>
        <v>0</v>
      </c>
      <c r="G171" s="273"/>
      <c r="H171" s="298"/>
      <c r="I171" s="40"/>
      <c r="J171" s="40"/>
      <c r="K171" s="40"/>
      <c r="L171" s="106"/>
      <c r="M171" s="112">
        <f>F171</f>
        <v>0</v>
      </c>
      <c r="N171" s="113"/>
    </row>
    <row r="172" spans="1:14" s="10" customFormat="1" ht="15">
      <c r="A172" s="104" t="s">
        <v>127</v>
      </c>
      <c r="B172" s="136" t="s">
        <v>365</v>
      </c>
      <c r="C172" s="97"/>
      <c r="D172" s="109"/>
      <c r="E172" s="109"/>
      <c r="F172" s="98">
        <f>SUM(F173:F174)</f>
        <v>0</v>
      </c>
      <c r="G172" s="275"/>
      <c r="H172" s="300"/>
      <c r="I172" s="109"/>
      <c r="J172" s="97"/>
      <c r="K172" s="119"/>
      <c r="L172" s="119"/>
      <c r="M172" s="97"/>
      <c r="N172" s="120"/>
    </row>
    <row r="173" spans="1:14" s="38" customFormat="1" ht="14.25">
      <c r="A173" s="338" t="s">
        <v>128</v>
      </c>
      <c r="B173" s="339" t="s">
        <v>367</v>
      </c>
      <c r="C173" s="340">
        <v>134</v>
      </c>
      <c r="D173" s="155" t="s">
        <v>368</v>
      </c>
      <c r="E173" s="28"/>
      <c r="F173" s="155">
        <f>C173*E173</f>
        <v>0</v>
      </c>
      <c r="G173" s="277"/>
      <c r="H173" s="295"/>
      <c r="I173" s="37"/>
      <c r="J173" s="37"/>
      <c r="K173" s="160"/>
      <c r="L173" s="337">
        <f>F173/2</f>
        <v>0</v>
      </c>
      <c r="M173" s="50">
        <f>F173/2</f>
        <v>0</v>
      </c>
      <c r="N173" s="113"/>
    </row>
    <row r="174" spans="1:14" s="38" customFormat="1" ht="14.25">
      <c r="A174" s="338" t="s">
        <v>130</v>
      </c>
      <c r="B174" s="339" t="s">
        <v>370</v>
      </c>
      <c r="C174" s="340">
        <v>134</v>
      </c>
      <c r="D174" s="155" t="s">
        <v>368</v>
      </c>
      <c r="E174" s="28"/>
      <c r="F174" s="155">
        <f>C174*E174</f>
        <v>0</v>
      </c>
      <c r="G174" s="277"/>
      <c r="H174" s="295"/>
      <c r="I174" s="37"/>
      <c r="J174" s="37"/>
      <c r="K174" s="160"/>
      <c r="L174" s="337">
        <f>F174/2</f>
        <v>0</v>
      </c>
      <c r="M174" s="50">
        <f>F174/2</f>
        <v>0</v>
      </c>
      <c r="N174" s="113"/>
    </row>
    <row r="175" spans="1:14" s="10" customFormat="1" ht="15">
      <c r="A175" s="190" t="s">
        <v>366</v>
      </c>
      <c r="B175" s="266" t="s">
        <v>571</v>
      </c>
      <c r="C175" s="191"/>
      <c r="D175" s="192"/>
      <c r="E175" s="109"/>
      <c r="F175" s="98">
        <f>SUM(F176:F178)</f>
        <v>0</v>
      </c>
      <c r="G175" s="275"/>
      <c r="H175" s="300"/>
      <c r="I175" s="109"/>
      <c r="J175" s="97"/>
      <c r="K175" s="119"/>
      <c r="L175" s="119"/>
      <c r="M175" s="119"/>
      <c r="N175" s="120"/>
    </row>
    <row r="176" spans="1:14" s="25" customFormat="1" ht="14.25">
      <c r="A176" s="193" t="s">
        <v>128</v>
      </c>
      <c r="B176" s="194" t="s">
        <v>129</v>
      </c>
      <c r="C176" s="195">
        <f>C178/2</f>
        <v>237.15</v>
      </c>
      <c r="D176" s="196" t="s">
        <v>22</v>
      </c>
      <c r="E176" s="197"/>
      <c r="F176" s="196">
        <f>C176*E176</f>
        <v>0</v>
      </c>
      <c r="G176" s="271"/>
      <c r="H176" s="301"/>
      <c r="I176" s="33"/>
      <c r="J176" s="37"/>
      <c r="K176" s="37"/>
      <c r="L176" s="37"/>
      <c r="M176" s="50">
        <f>F176/2</f>
        <v>0</v>
      </c>
      <c r="N176" s="325">
        <f>F176/2</f>
        <v>0</v>
      </c>
    </row>
    <row r="177" spans="1:18" s="25" customFormat="1" ht="28.5">
      <c r="A177" s="193" t="s">
        <v>130</v>
      </c>
      <c r="B177" s="217" t="s">
        <v>239</v>
      </c>
      <c r="C177" s="195">
        <f>C176*0.05</f>
        <v>11.857500000000002</v>
      </c>
      <c r="D177" s="196" t="s">
        <v>22</v>
      </c>
      <c r="E177" s="197"/>
      <c r="F177" s="196">
        <f>C177*E177</f>
        <v>0</v>
      </c>
      <c r="G177" s="271"/>
      <c r="H177" s="301"/>
      <c r="I177" s="33"/>
      <c r="J177" s="37"/>
      <c r="K177" s="37"/>
      <c r="L177" s="37"/>
      <c r="M177" s="50">
        <f>F177/2</f>
        <v>0</v>
      </c>
      <c r="N177" s="325">
        <f>F177/2</f>
        <v>0</v>
      </c>
    </row>
    <row r="178" spans="1:18" s="25" customFormat="1" ht="14.25">
      <c r="A178" s="193" t="s">
        <v>122</v>
      </c>
      <c r="B178" s="194" t="s">
        <v>240</v>
      </c>
      <c r="C178" s="195">
        <v>474.3</v>
      </c>
      <c r="D178" s="196" t="s">
        <v>22</v>
      </c>
      <c r="E178" s="197"/>
      <c r="F178" s="196">
        <f>E178*C178</f>
        <v>0</v>
      </c>
      <c r="G178" s="271"/>
      <c r="H178" s="301"/>
      <c r="I178" s="33"/>
      <c r="J178" s="37"/>
      <c r="K178" s="37"/>
      <c r="L178" s="37"/>
      <c r="M178" s="50">
        <f>F178/2</f>
        <v>0</v>
      </c>
      <c r="N178" s="325">
        <f>F178/2</f>
        <v>0</v>
      </c>
    </row>
    <row r="179" spans="1:18" s="365" customFormat="1" ht="15">
      <c r="A179" s="464" t="s">
        <v>297</v>
      </c>
      <c r="B179" s="357"/>
      <c r="C179" s="358"/>
      <c r="D179" s="360"/>
      <c r="E179" s="360"/>
      <c r="F179" s="360"/>
      <c r="G179" s="361">
        <f>SUM(F180:F191)</f>
        <v>0</v>
      </c>
      <c r="H179" s="384">
        <f>SUM(H180:H191)</f>
        <v>0</v>
      </c>
      <c r="I179" s="385">
        <f t="shared" ref="I179:N179" si="32">SUM(I180:I191)</f>
        <v>0</v>
      </c>
      <c r="J179" s="385">
        <f t="shared" si="32"/>
        <v>0</v>
      </c>
      <c r="K179" s="385">
        <f t="shared" si="32"/>
        <v>0</v>
      </c>
      <c r="L179" s="385">
        <f t="shared" si="32"/>
        <v>0</v>
      </c>
      <c r="M179" s="385">
        <f t="shared" si="32"/>
        <v>0</v>
      </c>
      <c r="N179" s="386">
        <f t="shared" si="32"/>
        <v>0</v>
      </c>
    </row>
    <row r="180" spans="1:18" s="10" customFormat="1" ht="14.25">
      <c r="A180" s="193" t="s">
        <v>131</v>
      </c>
      <c r="B180" s="227" t="s">
        <v>144</v>
      </c>
      <c r="C180" s="210">
        <v>10</v>
      </c>
      <c r="D180" s="197" t="s">
        <v>20</v>
      </c>
      <c r="E180" s="197"/>
      <c r="F180" s="197">
        <f t="shared" ref="F180:F188" si="33">E180*C180</f>
        <v>0</v>
      </c>
      <c r="G180" s="273"/>
      <c r="H180" s="298"/>
      <c r="I180" s="180"/>
      <c r="J180" s="180"/>
      <c r="K180" s="92">
        <f t="shared" ref="K180:K189" si="34">F180/4</f>
        <v>0</v>
      </c>
      <c r="L180" s="31">
        <f>F180/2</f>
        <v>0</v>
      </c>
      <c r="M180" s="31">
        <f t="shared" ref="M180:M189" si="35">F180/4</f>
        <v>0</v>
      </c>
      <c r="N180" s="326"/>
    </row>
    <row r="181" spans="1:18" s="10" customFormat="1" ht="14.25">
      <c r="A181" s="193" t="s">
        <v>133</v>
      </c>
      <c r="B181" s="228" t="s">
        <v>304</v>
      </c>
      <c r="C181" s="210">
        <v>5</v>
      </c>
      <c r="D181" s="196" t="s">
        <v>20</v>
      </c>
      <c r="E181" s="197"/>
      <c r="F181" s="197">
        <f t="shared" si="33"/>
        <v>0</v>
      </c>
      <c r="G181" s="273"/>
      <c r="H181" s="298"/>
      <c r="I181" s="180"/>
      <c r="J181" s="180"/>
      <c r="K181" s="92">
        <f t="shared" si="34"/>
        <v>0</v>
      </c>
      <c r="L181" s="31">
        <f t="shared" ref="L181:L191" si="36">F181/2</f>
        <v>0</v>
      </c>
      <c r="M181" s="31">
        <f t="shared" si="35"/>
        <v>0</v>
      </c>
      <c r="N181" s="326"/>
    </row>
    <row r="182" spans="1:18" s="10" customFormat="1" ht="14.25">
      <c r="A182" s="193" t="s">
        <v>135</v>
      </c>
      <c r="B182" s="228" t="s">
        <v>302</v>
      </c>
      <c r="C182" s="210">
        <v>30</v>
      </c>
      <c r="D182" s="196" t="s">
        <v>20</v>
      </c>
      <c r="E182" s="197"/>
      <c r="F182" s="197">
        <f t="shared" si="33"/>
        <v>0</v>
      </c>
      <c r="G182" s="273"/>
      <c r="H182" s="298"/>
      <c r="I182" s="180"/>
      <c r="J182" s="180"/>
      <c r="K182" s="92">
        <f t="shared" si="34"/>
        <v>0</v>
      </c>
      <c r="L182" s="31">
        <f t="shared" si="36"/>
        <v>0</v>
      </c>
      <c r="M182" s="31">
        <f t="shared" si="35"/>
        <v>0</v>
      </c>
      <c r="N182" s="326"/>
    </row>
    <row r="183" spans="1:18" s="10" customFormat="1" ht="14.25">
      <c r="A183" s="39" t="s">
        <v>137</v>
      </c>
      <c r="B183" s="224" t="s">
        <v>419</v>
      </c>
      <c r="C183" s="202">
        <v>20</v>
      </c>
      <c r="D183" s="207" t="s">
        <v>20</v>
      </c>
      <c r="E183" s="207"/>
      <c r="F183" s="30">
        <f t="shared" si="33"/>
        <v>0</v>
      </c>
      <c r="G183" s="273"/>
      <c r="H183" s="298"/>
      <c r="I183" s="180"/>
      <c r="J183" s="180"/>
      <c r="K183" s="92">
        <f t="shared" si="34"/>
        <v>0</v>
      </c>
      <c r="L183" s="31">
        <f t="shared" si="36"/>
        <v>0</v>
      </c>
      <c r="M183" s="31">
        <f t="shared" si="35"/>
        <v>0</v>
      </c>
      <c r="N183" s="326"/>
    </row>
    <row r="184" spans="1:18" s="10" customFormat="1" ht="14.25">
      <c r="A184" s="39" t="s">
        <v>138</v>
      </c>
      <c r="B184" s="224" t="s">
        <v>420</v>
      </c>
      <c r="C184" s="202">
        <v>60</v>
      </c>
      <c r="D184" s="207" t="s">
        <v>20</v>
      </c>
      <c r="E184" s="207"/>
      <c r="F184" s="30">
        <f t="shared" si="33"/>
        <v>0</v>
      </c>
      <c r="G184" s="273"/>
      <c r="H184" s="298"/>
      <c r="I184" s="180"/>
      <c r="J184" s="180"/>
      <c r="K184" s="92">
        <f t="shared" si="34"/>
        <v>0</v>
      </c>
      <c r="L184" s="31">
        <f t="shared" si="36"/>
        <v>0</v>
      </c>
      <c r="M184" s="31">
        <f t="shared" si="35"/>
        <v>0</v>
      </c>
      <c r="N184" s="326"/>
    </row>
    <row r="185" spans="1:18" s="10" customFormat="1" ht="14.25">
      <c r="A185" s="193" t="s">
        <v>139</v>
      </c>
      <c r="B185" s="227" t="s">
        <v>157</v>
      </c>
      <c r="C185" s="210">
        <f>(8*0.3)*1.15</f>
        <v>2.76</v>
      </c>
      <c r="D185" s="197" t="s">
        <v>22</v>
      </c>
      <c r="E185" s="197"/>
      <c r="F185" s="197">
        <f t="shared" si="33"/>
        <v>0</v>
      </c>
      <c r="G185" s="274"/>
      <c r="H185" s="298"/>
      <c r="I185" s="180"/>
      <c r="J185" s="180"/>
      <c r="K185" s="92">
        <f t="shared" si="34"/>
        <v>0</v>
      </c>
      <c r="L185" s="31">
        <f t="shared" si="36"/>
        <v>0</v>
      </c>
      <c r="M185" s="31">
        <f t="shared" si="35"/>
        <v>0</v>
      </c>
      <c r="N185" s="326"/>
    </row>
    <row r="186" spans="1:18" s="10" customFormat="1" ht="14.25">
      <c r="A186" s="39" t="s">
        <v>140</v>
      </c>
      <c r="B186" s="194" t="s">
        <v>357</v>
      </c>
      <c r="C186" s="210">
        <v>1</v>
      </c>
      <c r="D186" s="197" t="s">
        <v>20</v>
      </c>
      <c r="E186" s="197"/>
      <c r="F186" s="197">
        <f t="shared" si="33"/>
        <v>0</v>
      </c>
      <c r="G186" s="273"/>
      <c r="H186" s="298"/>
      <c r="I186" s="180"/>
      <c r="J186" s="180"/>
      <c r="K186" s="92">
        <f t="shared" si="34"/>
        <v>0</v>
      </c>
      <c r="L186" s="31">
        <f t="shared" si="36"/>
        <v>0</v>
      </c>
      <c r="M186" s="31">
        <f t="shared" si="35"/>
        <v>0</v>
      </c>
      <c r="N186" s="326"/>
    </row>
    <row r="187" spans="1:18" s="10" customFormat="1" ht="14.25">
      <c r="A187" s="193" t="s">
        <v>141</v>
      </c>
      <c r="B187" s="227" t="s">
        <v>160</v>
      </c>
      <c r="C187" s="210">
        <v>10</v>
      </c>
      <c r="D187" s="197" t="s">
        <v>161</v>
      </c>
      <c r="E187" s="197"/>
      <c r="F187" s="197">
        <f t="shared" si="33"/>
        <v>0</v>
      </c>
      <c r="G187" s="273"/>
      <c r="H187" s="298"/>
      <c r="I187" s="180"/>
      <c r="J187" s="180"/>
      <c r="K187" s="92">
        <f t="shared" si="34"/>
        <v>0</v>
      </c>
      <c r="L187" s="31">
        <f t="shared" si="36"/>
        <v>0</v>
      </c>
      <c r="M187" s="31">
        <f t="shared" si="35"/>
        <v>0</v>
      </c>
      <c r="N187" s="326"/>
    </row>
    <row r="188" spans="1:18" s="10" customFormat="1" ht="14.25">
      <c r="A188" s="193" t="s">
        <v>142</v>
      </c>
      <c r="B188" s="224" t="s">
        <v>163</v>
      </c>
      <c r="C188" s="202">
        <f>7</f>
        <v>7</v>
      </c>
      <c r="D188" s="207" t="s">
        <v>35</v>
      </c>
      <c r="E188" s="207"/>
      <c r="F188" s="197">
        <f t="shared" si="33"/>
        <v>0</v>
      </c>
      <c r="G188" s="273"/>
      <c r="H188" s="298"/>
      <c r="I188" s="180"/>
      <c r="J188" s="180"/>
      <c r="K188" s="92">
        <f t="shared" si="34"/>
        <v>0</v>
      </c>
      <c r="L188" s="31">
        <f t="shared" si="36"/>
        <v>0</v>
      </c>
      <c r="M188" s="31">
        <f t="shared" si="35"/>
        <v>0</v>
      </c>
      <c r="N188" s="326"/>
    </row>
    <row r="189" spans="1:18" s="10" customFormat="1" ht="14.25">
      <c r="A189" s="193" t="s">
        <v>298</v>
      </c>
      <c r="B189" s="227" t="s">
        <v>197</v>
      </c>
      <c r="C189" s="210">
        <f>((8*2)+(2*2)*34)+((8+2+2)*37)</f>
        <v>596</v>
      </c>
      <c r="D189" s="43" t="s">
        <v>20</v>
      </c>
      <c r="E189" s="197"/>
      <c r="F189" s="197">
        <f>E189*C189</f>
        <v>0</v>
      </c>
      <c r="G189" s="273"/>
      <c r="H189" s="298"/>
      <c r="I189" s="180"/>
      <c r="J189" s="180"/>
      <c r="K189" s="92">
        <f t="shared" si="34"/>
        <v>0</v>
      </c>
      <c r="L189" s="31">
        <f t="shared" si="36"/>
        <v>0</v>
      </c>
      <c r="M189" s="31">
        <f t="shared" si="35"/>
        <v>0</v>
      </c>
      <c r="N189" s="326"/>
      <c r="O189" s="161"/>
      <c r="P189" s="161"/>
      <c r="Q189" s="161"/>
      <c r="R189" s="161"/>
    </row>
    <row r="190" spans="1:18" s="10" customFormat="1" ht="14.25">
      <c r="A190" s="193" t="s">
        <v>299</v>
      </c>
      <c r="B190" s="228" t="s">
        <v>300</v>
      </c>
      <c r="C190" s="210">
        <f>0.63*6</f>
        <v>3.7800000000000002</v>
      </c>
      <c r="D190" s="197" t="s">
        <v>161</v>
      </c>
      <c r="E190" s="197"/>
      <c r="F190" s="197">
        <f>E190*C190</f>
        <v>0</v>
      </c>
      <c r="G190" s="273"/>
      <c r="H190" s="298"/>
      <c r="I190" s="180"/>
      <c r="J190" s="180"/>
      <c r="K190" s="90"/>
      <c r="L190" s="31">
        <f t="shared" si="36"/>
        <v>0</v>
      </c>
      <c r="M190" s="31">
        <f>F190/2</f>
        <v>0</v>
      </c>
      <c r="N190" s="327"/>
      <c r="O190" s="161"/>
      <c r="P190" s="161"/>
      <c r="Q190" s="161"/>
      <c r="R190" s="161"/>
    </row>
    <row r="191" spans="1:18" s="25" customFormat="1" ht="14.25">
      <c r="A191" s="193" t="s">
        <v>306</v>
      </c>
      <c r="B191" s="224" t="s">
        <v>301</v>
      </c>
      <c r="C191" s="195">
        <v>220</v>
      </c>
      <c r="D191" s="203" t="s">
        <v>165</v>
      </c>
      <c r="E191" s="197"/>
      <c r="F191" s="196">
        <f>C191*E191</f>
        <v>0</v>
      </c>
      <c r="G191" s="271"/>
      <c r="H191" s="301"/>
      <c r="I191" s="23"/>
      <c r="J191" s="23"/>
      <c r="K191" s="90"/>
      <c r="L191" s="31">
        <f t="shared" si="36"/>
        <v>0</v>
      </c>
      <c r="M191" s="31">
        <f>F191/2</f>
        <v>0</v>
      </c>
      <c r="N191" s="327"/>
      <c r="O191" s="162"/>
      <c r="P191" s="162"/>
      <c r="Q191" s="162"/>
      <c r="R191" s="162"/>
    </row>
    <row r="192" spans="1:18" s="402" customFormat="1" ht="15">
      <c r="A192" s="391" t="s">
        <v>319</v>
      </c>
      <c r="B192" s="392"/>
      <c r="C192" s="393"/>
      <c r="D192" s="394"/>
      <c r="E192" s="395"/>
      <c r="F192" s="395"/>
      <c r="G192" s="396">
        <f>SUM(F193,F200)</f>
        <v>0</v>
      </c>
      <c r="H192" s="397">
        <f>SUM(H193:H206)</f>
        <v>0</v>
      </c>
      <c r="I192" s="398">
        <f t="shared" ref="I192:N192" si="37">SUM(I193:I206)</f>
        <v>0</v>
      </c>
      <c r="J192" s="398">
        <f t="shared" si="37"/>
        <v>0</v>
      </c>
      <c r="K192" s="398">
        <f t="shared" si="37"/>
        <v>0</v>
      </c>
      <c r="L192" s="398">
        <f t="shared" si="37"/>
        <v>0</v>
      </c>
      <c r="M192" s="398">
        <f t="shared" si="37"/>
        <v>0</v>
      </c>
      <c r="N192" s="399">
        <f t="shared" si="37"/>
        <v>0</v>
      </c>
      <c r="O192" s="400"/>
      <c r="P192" s="400"/>
      <c r="Q192" s="401"/>
      <c r="R192" s="401"/>
    </row>
    <row r="193" spans="1:18" s="51" customFormat="1" ht="15">
      <c r="A193" s="52" t="s">
        <v>143</v>
      </c>
      <c r="B193" s="58" t="s">
        <v>348</v>
      </c>
      <c r="C193" s="53"/>
      <c r="D193" s="54"/>
      <c r="E193" s="55"/>
      <c r="F193" s="56">
        <f>SUM(F194:F199)</f>
        <v>0</v>
      </c>
      <c r="G193" s="278"/>
      <c r="H193" s="302"/>
      <c r="I193" s="57"/>
      <c r="J193" s="57"/>
      <c r="K193" s="57"/>
      <c r="L193" s="57"/>
      <c r="M193" s="57"/>
      <c r="N193" s="121"/>
      <c r="O193" s="163"/>
      <c r="P193" s="163"/>
      <c r="Q193" s="164"/>
      <c r="R193" s="164"/>
    </row>
    <row r="194" spans="1:18" s="61" customFormat="1" ht="15">
      <c r="A194" s="42" t="s">
        <v>320</v>
      </c>
      <c r="B194" s="206" t="s">
        <v>321</v>
      </c>
      <c r="C194" s="222">
        <v>5</v>
      </c>
      <c r="D194" s="203" t="s">
        <v>35</v>
      </c>
      <c r="E194" s="197"/>
      <c r="F194" s="43">
        <f t="shared" ref="F194:F199" si="38">E194*C194</f>
        <v>0</v>
      </c>
      <c r="G194" s="279"/>
      <c r="H194" s="303"/>
      <c r="I194" s="60"/>
      <c r="J194" s="60"/>
      <c r="K194" s="68">
        <f t="shared" ref="K194:K199" si="39">F194/2</f>
        <v>0</v>
      </c>
      <c r="L194" s="68">
        <f t="shared" ref="L194:L199" si="40">F194/2</f>
        <v>0</v>
      </c>
      <c r="M194" s="60"/>
      <c r="N194" s="122"/>
      <c r="O194" s="165"/>
      <c r="P194" s="165"/>
      <c r="Q194" s="166"/>
      <c r="R194" s="166"/>
    </row>
    <row r="195" spans="1:18" s="61" customFormat="1" ht="15">
      <c r="A195" s="42" t="s">
        <v>320</v>
      </c>
      <c r="B195" s="206" t="s">
        <v>362</v>
      </c>
      <c r="C195" s="222">
        <v>220</v>
      </c>
      <c r="D195" s="203" t="s">
        <v>165</v>
      </c>
      <c r="E195" s="197"/>
      <c r="F195" s="43">
        <f>E195*C195</f>
        <v>0</v>
      </c>
      <c r="G195" s="279"/>
      <c r="H195" s="303"/>
      <c r="I195" s="60"/>
      <c r="J195" s="60"/>
      <c r="K195" s="68">
        <f t="shared" si="39"/>
        <v>0</v>
      </c>
      <c r="L195" s="68">
        <f t="shared" si="40"/>
        <v>0</v>
      </c>
      <c r="M195" s="60"/>
      <c r="N195" s="122"/>
      <c r="O195" s="165"/>
      <c r="P195" s="165"/>
      <c r="Q195" s="166"/>
      <c r="R195" s="166"/>
    </row>
    <row r="196" spans="1:18" s="61" customFormat="1" ht="15">
      <c r="A196" s="42" t="s">
        <v>322</v>
      </c>
      <c r="B196" s="206" t="s">
        <v>323</v>
      </c>
      <c r="C196" s="202">
        <v>16</v>
      </c>
      <c r="D196" s="216" t="s">
        <v>20</v>
      </c>
      <c r="E196" s="197"/>
      <c r="F196" s="43">
        <f t="shared" si="38"/>
        <v>0</v>
      </c>
      <c r="G196" s="279"/>
      <c r="H196" s="303"/>
      <c r="I196" s="60"/>
      <c r="J196" s="60"/>
      <c r="K196" s="68">
        <f t="shared" si="39"/>
        <v>0</v>
      </c>
      <c r="L196" s="68">
        <f t="shared" si="40"/>
        <v>0</v>
      </c>
      <c r="M196" s="60"/>
      <c r="N196" s="122"/>
      <c r="O196" s="165"/>
      <c r="P196" s="165"/>
      <c r="Q196" s="166"/>
      <c r="R196" s="166"/>
    </row>
    <row r="197" spans="1:18" s="61" customFormat="1" ht="15">
      <c r="A197" s="42" t="s">
        <v>324</v>
      </c>
      <c r="B197" s="206" t="s">
        <v>325</v>
      </c>
      <c r="C197" s="222">
        <v>7</v>
      </c>
      <c r="D197" s="216" t="s">
        <v>59</v>
      </c>
      <c r="E197" s="197"/>
      <c r="F197" s="43">
        <f t="shared" si="38"/>
        <v>0</v>
      </c>
      <c r="G197" s="279"/>
      <c r="H197" s="303"/>
      <c r="I197" s="60"/>
      <c r="J197" s="60"/>
      <c r="K197" s="68">
        <f t="shared" si="39"/>
        <v>0</v>
      </c>
      <c r="L197" s="68">
        <f t="shared" si="40"/>
        <v>0</v>
      </c>
      <c r="M197" s="60"/>
      <c r="N197" s="122"/>
      <c r="O197" s="165"/>
      <c r="P197" s="165"/>
      <c r="Q197" s="166"/>
      <c r="R197" s="166"/>
    </row>
    <row r="198" spans="1:18" s="61" customFormat="1" ht="15">
      <c r="A198" s="42" t="s">
        <v>326</v>
      </c>
      <c r="B198" s="206" t="s">
        <v>327</v>
      </c>
      <c r="C198" s="222">
        <v>20</v>
      </c>
      <c r="D198" s="216" t="s">
        <v>22</v>
      </c>
      <c r="E198" s="197"/>
      <c r="F198" s="43">
        <f t="shared" si="38"/>
        <v>0</v>
      </c>
      <c r="G198" s="279"/>
      <c r="H198" s="303"/>
      <c r="I198" s="60"/>
      <c r="J198" s="60"/>
      <c r="K198" s="68">
        <f t="shared" si="39"/>
        <v>0</v>
      </c>
      <c r="L198" s="68">
        <f t="shared" si="40"/>
        <v>0</v>
      </c>
      <c r="M198" s="60"/>
      <c r="N198" s="122"/>
      <c r="O198" s="165"/>
      <c r="P198" s="165"/>
      <c r="Q198" s="166"/>
      <c r="R198" s="166"/>
    </row>
    <row r="199" spans="1:18" s="61" customFormat="1" ht="15">
      <c r="A199" s="42" t="s">
        <v>328</v>
      </c>
      <c r="B199" s="206" t="s">
        <v>329</v>
      </c>
      <c r="C199" s="222">
        <v>3</v>
      </c>
      <c r="D199" s="216" t="s">
        <v>59</v>
      </c>
      <c r="E199" s="197"/>
      <c r="F199" s="43">
        <f t="shared" si="38"/>
        <v>0</v>
      </c>
      <c r="G199" s="279"/>
      <c r="H199" s="303"/>
      <c r="I199" s="60"/>
      <c r="J199" s="60"/>
      <c r="K199" s="68">
        <f t="shared" si="39"/>
        <v>0</v>
      </c>
      <c r="L199" s="68">
        <f t="shared" si="40"/>
        <v>0</v>
      </c>
      <c r="M199" s="60"/>
      <c r="N199" s="122"/>
      <c r="O199" s="165"/>
      <c r="P199" s="165"/>
      <c r="Q199" s="166"/>
      <c r="R199" s="166"/>
    </row>
    <row r="200" spans="1:18" s="51" customFormat="1" ht="15">
      <c r="A200" s="52" t="s">
        <v>145</v>
      </c>
      <c r="B200" s="58" t="s">
        <v>349</v>
      </c>
      <c r="C200" s="53"/>
      <c r="D200" s="54"/>
      <c r="E200" s="55"/>
      <c r="F200" s="56">
        <f>SUM(F201:F206)</f>
        <v>0</v>
      </c>
      <c r="G200" s="278"/>
      <c r="H200" s="302"/>
      <c r="I200" s="57"/>
      <c r="J200" s="57"/>
      <c r="K200" s="57"/>
      <c r="L200" s="57"/>
      <c r="M200" s="57"/>
      <c r="N200" s="121"/>
      <c r="O200" s="163"/>
      <c r="P200" s="163"/>
      <c r="Q200" s="164"/>
      <c r="R200" s="164"/>
    </row>
    <row r="201" spans="1:18" s="61" customFormat="1" ht="15">
      <c r="A201" s="42" t="s">
        <v>330</v>
      </c>
      <c r="B201" s="206" t="s">
        <v>333</v>
      </c>
      <c r="C201" s="222">
        <v>20</v>
      </c>
      <c r="D201" s="203" t="s">
        <v>35</v>
      </c>
      <c r="E201" s="197"/>
      <c r="F201" s="43">
        <f t="shared" ref="F201:F206" si="41">E201*C201</f>
        <v>0</v>
      </c>
      <c r="G201" s="280"/>
      <c r="H201" s="303"/>
      <c r="I201" s="60"/>
      <c r="J201" s="60"/>
      <c r="K201" s="68">
        <f t="shared" ref="K201:K206" si="42">F201/2</f>
        <v>0</v>
      </c>
      <c r="L201" s="68">
        <f t="shared" ref="L201:L206" si="43">F201/2</f>
        <v>0</v>
      </c>
      <c r="M201" s="60"/>
      <c r="N201" s="122"/>
      <c r="O201" s="165"/>
      <c r="P201" s="165"/>
      <c r="Q201" s="166"/>
      <c r="R201" s="166"/>
    </row>
    <row r="202" spans="1:18" s="61" customFormat="1" ht="15">
      <c r="A202" s="42" t="s">
        <v>332</v>
      </c>
      <c r="B202" s="206" t="s">
        <v>331</v>
      </c>
      <c r="C202" s="222">
        <v>20</v>
      </c>
      <c r="D202" s="203" t="s">
        <v>35</v>
      </c>
      <c r="E202" s="197"/>
      <c r="F202" s="43">
        <f t="shared" si="41"/>
        <v>0</v>
      </c>
      <c r="G202" s="280"/>
      <c r="H202" s="303"/>
      <c r="I202" s="60"/>
      <c r="J202" s="60"/>
      <c r="K202" s="68">
        <f t="shared" si="42"/>
        <v>0</v>
      </c>
      <c r="L202" s="68">
        <f t="shared" si="43"/>
        <v>0</v>
      </c>
      <c r="M202" s="60"/>
      <c r="N202" s="122"/>
      <c r="O202" s="165"/>
      <c r="P202" s="165"/>
      <c r="Q202" s="166"/>
      <c r="R202" s="166"/>
    </row>
    <row r="203" spans="1:18" s="61" customFormat="1" ht="15">
      <c r="A203" s="42" t="s">
        <v>336</v>
      </c>
      <c r="B203" s="206" t="s">
        <v>334</v>
      </c>
      <c r="C203" s="222">
        <v>20</v>
      </c>
      <c r="D203" s="216" t="s">
        <v>22</v>
      </c>
      <c r="E203" s="197"/>
      <c r="F203" s="43">
        <f t="shared" si="41"/>
        <v>0</v>
      </c>
      <c r="G203" s="280"/>
      <c r="H203" s="303"/>
      <c r="I203" s="60"/>
      <c r="J203" s="60"/>
      <c r="K203" s="68">
        <f t="shared" si="42"/>
        <v>0</v>
      </c>
      <c r="L203" s="68">
        <f t="shared" si="43"/>
        <v>0</v>
      </c>
      <c r="M203" s="60"/>
      <c r="N203" s="122"/>
      <c r="O203" s="165"/>
      <c r="P203" s="165"/>
      <c r="Q203" s="166"/>
      <c r="R203" s="166"/>
    </row>
    <row r="204" spans="1:18" s="61" customFormat="1" ht="15">
      <c r="A204" s="42" t="s">
        <v>338</v>
      </c>
      <c r="B204" s="206" t="s">
        <v>335</v>
      </c>
      <c r="C204" s="222">
        <v>20</v>
      </c>
      <c r="D204" s="216" t="s">
        <v>22</v>
      </c>
      <c r="E204" s="197"/>
      <c r="F204" s="43">
        <f t="shared" si="41"/>
        <v>0</v>
      </c>
      <c r="G204" s="279"/>
      <c r="H204" s="303"/>
      <c r="I204" s="60"/>
      <c r="J204" s="60"/>
      <c r="K204" s="68">
        <f t="shared" si="42"/>
        <v>0</v>
      </c>
      <c r="L204" s="68">
        <f t="shared" si="43"/>
        <v>0</v>
      </c>
      <c r="M204" s="60"/>
      <c r="N204" s="122"/>
      <c r="O204" s="165"/>
      <c r="P204" s="165"/>
      <c r="Q204" s="166"/>
      <c r="R204" s="166"/>
    </row>
    <row r="205" spans="1:18" s="61" customFormat="1" ht="15">
      <c r="A205" s="42" t="s">
        <v>355</v>
      </c>
      <c r="B205" s="206" t="s">
        <v>337</v>
      </c>
      <c r="C205" s="222">
        <v>12</v>
      </c>
      <c r="D205" s="216" t="s">
        <v>22</v>
      </c>
      <c r="E205" s="197"/>
      <c r="F205" s="43">
        <f t="shared" si="41"/>
        <v>0</v>
      </c>
      <c r="G205" s="279"/>
      <c r="H205" s="303"/>
      <c r="I205" s="60"/>
      <c r="J205" s="60"/>
      <c r="K205" s="68">
        <f t="shared" si="42"/>
        <v>0</v>
      </c>
      <c r="L205" s="68">
        <f t="shared" si="43"/>
        <v>0</v>
      </c>
      <c r="M205" s="60"/>
      <c r="N205" s="122"/>
      <c r="O205" s="165"/>
      <c r="P205" s="165"/>
      <c r="Q205" s="166"/>
      <c r="R205" s="166"/>
    </row>
    <row r="206" spans="1:18" s="61" customFormat="1" ht="15">
      <c r="A206" s="42" t="s">
        <v>356</v>
      </c>
      <c r="B206" s="206" t="s">
        <v>329</v>
      </c>
      <c r="C206" s="222">
        <v>6</v>
      </c>
      <c r="D206" s="216" t="s">
        <v>59</v>
      </c>
      <c r="E206" s="197"/>
      <c r="F206" s="43">
        <f t="shared" si="41"/>
        <v>0</v>
      </c>
      <c r="G206" s="279"/>
      <c r="H206" s="303"/>
      <c r="I206" s="60"/>
      <c r="J206" s="60"/>
      <c r="K206" s="68">
        <f t="shared" si="42"/>
        <v>0</v>
      </c>
      <c r="L206" s="68">
        <f t="shared" si="43"/>
        <v>0</v>
      </c>
      <c r="M206" s="60"/>
      <c r="N206" s="122"/>
      <c r="O206" s="165"/>
      <c r="P206" s="165"/>
      <c r="Q206" s="166"/>
      <c r="R206" s="166"/>
    </row>
    <row r="207" spans="1:18" s="365" customFormat="1" ht="15">
      <c r="A207" s="464" t="s">
        <v>359</v>
      </c>
      <c r="B207" s="357"/>
      <c r="C207" s="358"/>
      <c r="D207" s="360"/>
      <c r="E207" s="360"/>
      <c r="F207" s="360"/>
      <c r="G207" s="361">
        <f>SUM(F208:F216)</f>
        <v>0</v>
      </c>
      <c r="H207" s="384">
        <f>SUM(H208:H216)</f>
        <v>0</v>
      </c>
      <c r="I207" s="385">
        <f t="shared" ref="I207:N207" si="44">SUM(I208:I216)</f>
        <v>0</v>
      </c>
      <c r="J207" s="385">
        <f t="shared" si="44"/>
        <v>0</v>
      </c>
      <c r="K207" s="385">
        <f t="shared" si="44"/>
        <v>0</v>
      </c>
      <c r="L207" s="385">
        <f t="shared" si="44"/>
        <v>0</v>
      </c>
      <c r="M207" s="385">
        <f t="shared" si="44"/>
        <v>0</v>
      </c>
      <c r="N207" s="386">
        <f t="shared" si="44"/>
        <v>0</v>
      </c>
      <c r="O207" s="403"/>
      <c r="P207" s="403"/>
      <c r="Q207" s="403"/>
      <c r="R207" s="403"/>
    </row>
    <row r="208" spans="1:18" s="10" customFormat="1" ht="14.25">
      <c r="A208" s="193" t="s">
        <v>151</v>
      </c>
      <c r="B208" s="224" t="s">
        <v>144</v>
      </c>
      <c r="C208" s="202">
        <v>30</v>
      </c>
      <c r="D208" s="207" t="s">
        <v>20</v>
      </c>
      <c r="E208" s="207"/>
      <c r="F208" s="197">
        <f t="shared" ref="F208:F216" si="45">E208*C208</f>
        <v>0</v>
      </c>
      <c r="G208" s="273"/>
      <c r="H208" s="298"/>
      <c r="I208" s="90"/>
      <c r="J208" s="40"/>
      <c r="K208" s="40"/>
      <c r="L208" s="180"/>
      <c r="M208" s="92">
        <f t="shared" ref="M208:M216" si="46">F208/2</f>
        <v>0</v>
      </c>
      <c r="N208" s="88">
        <f t="shared" ref="N208:N216" si="47">F208/2</f>
        <v>0</v>
      </c>
      <c r="O208" s="161"/>
      <c r="P208" s="161"/>
      <c r="Q208" s="161"/>
      <c r="R208" s="161"/>
    </row>
    <row r="209" spans="1:19" s="10" customFormat="1" ht="14.25">
      <c r="A209" s="193" t="s">
        <v>152</v>
      </c>
      <c r="B209" s="228" t="s">
        <v>304</v>
      </c>
      <c r="C209" s="210">
        <v>2</v>
      </c>
      <c r="D209" s="196" t="s">
        <v>20</v>
      </c>
      <c r="E209" s="197"/>
      <c r="F209" s="197">
        <f t="shared" si="45"/>
        <v>0</v>
      </c>
      <c r="G209" s="273"/>
      <c r="H209" s="298"/>
      <c r="I209" s="90"/>
      <c r="J209" s="40"/>
      <c r="K209" s="40"/>
      <c r="L209" s="180"/>
      <c r="M209" s="92">
        <f t="shared" si="46"/>
        <v>0</v>
      </c>
      <c r="N209" s="88">
        <f t="shared" si="47"/>
        <v>0</v>
      </c>
      <c r="O209" s="161"/>
      <c r="P209" s="161"/>
      <c r="Q209" s="161"/>
      <c r="R209" s="161"/>
    </row>
    <row r="210" spans="1:19" s="10" customFormat="1" ht="14.25">
      <c r="A210" s="193" t="s">
        <v>153</v>
      </c>
      <c r="B210" s="228" t="s">
        <v>358</v>
      </c>
      <c r="C210" s="229">
        <f>3.78*2</f>
        <v>7.56</v>
      </c>
      <c r="D210" s="231" t="s">
        <v>161</v>
      </c>
      <c r="E210" s="197"/>
      <c r="F210" s="197">
        <f t="shared" si="45"/>
        <v>0</v>
      </c>
      <c r="G210" s="273"/>
      <c r="H210" s="298"/>
      <c r="I210" s="90"/>
      <c r="J210" s="40"/>
      <c r="K210" s="40"/>
      <c r="L210" s="180"/>
      <c r="M210" s="92">
        <f t="shared" si="46"/>
        <v>0</v>
      </c>
      <c r="N210" s="88">
        <f t="shared" si="47"/>
        <v>0</v>
      </c>
      <c r="O210" s="161"/>
      <c r="P210" s="161"/>
      <c r="Q210" s="161"/>
      <c r="R210" s="161"/>
    </row>
    <row r="211" spans="1:19" s="10" customFormat="1" ht="14.25">
      <c r="A211" s="39" t="s">
        <v>154</v>
      </c>
      <c r="B211" s="228" t="s">
        <v>360</v>
      </c>
      <c r="C211" s="229">
        <v>220</v>
      </c>
      <c r="D211" s="203" t="s">
        <v>165</v>
      </c>
      <c r="E211" s="197"/>
      <c r="F211" s="30">
        <f t="shared" si="45"/>
        <v>0</v>
      </c>
      <c r="G211" s="273"/>
      <c r="H211" s="298"/>
      <c r="I211" s="90"/>
      <c r="J211" s="40"/>
      <c r="K211" s="40"/>
      <c r="L211" s="180"/>
      <c r="M211" s="92">
        <f t="shared" si="46"/>
        <v>0</v>
      </c>
      <c r="N211" s="88">
        <f t="shared" si="47"/>
        <v>0</v>
      </c>
      <c r="O211" s="161"/>
      <c r="P211" s="161"/>
      <c r="Q211" s="161"/>
      <c r="R211" s="161"/>
    </row>
    <row r="212" spans="1:19" s="10" customFormat="1" ht="14.25">
      <c r="A212" s="39" t="s">
        <v>155</v>
      </c>
      <c r="B212" s="230" t="s">
        <v>146</v>
      </c>
      <c r="C212" s="229">
        <v>2</v>
      </c>
      <c r="D212" s="231" t="s">
        <v>20</v>
      </c>
      <c r="E212" s="197"/>
      <c r="F212" s="30">
        <f t="shared" si="45"/>
        <v>0</v>
      </c>
      <c r="G212" s="273"/>
      <c r="H212" s="298"/>
      <c r="I212" s="90"/>
      <c r="J212" s="40"/>
      <c r="K212" s="40"/>
      <c r="L212" s="180"/>
      <c r="M212" s="92">
        <f t="shared" si="46"/>
        <v>0</v>
      </c>
      <c r="N212" s="88">
        <f t="shared" si="47"/>
        <v>0</v>
      </c>
      <c r="O212" s="161"/>
      <c r="P212" s="161"/>
      <c r="Q212" s="161"/>
      <c r="R212" s="161"/>
    </row>
    <row r="213" spans="1:19" s="10" customFormat="1" ht="14.25">
      <c r="A213" s="193" t="s">
        <v>156</v>
      </c>
      <c r="B213" s="230" t="s">
        <v>147</v>
      </c>
      <c r="C213" s="229">
        <v>4</v>
      </c>
      <c r="D213" s="231" t="s">
        <v>20</v>
      </c>
      <c r="E213" s="197"/>
      <c r="F213" s="197">
        <f t="shared" si="45"/>
        <v>0</v>
      </c>
      <c r="G213" s="273"/>
      <c r="H213" s="298"/>
      <c r="I213" s="90"/>
      <c r="J213" s="40"/>
      <c r="K213" s="40"/>
      <c r="L213" s="180"/>
      <c r="M213" s="92">
        <f t="shared" si="46"/>
        <v>0</v>
      </c>
      <c r="N213" s="88">
        <f t="shared" si="47"/>
        <v>0</v>
      </c>
      <c r="O213" s="161"/>
      <c r="P213" s="161"/>
      <c r="Q213" s="161"/>
      <c r="R213" s="161"/>
    </row>
    <row r="214" spans="1:19" s="10" customFormat="1" ht="14.25">
      <c r="A214" s="193" t="s">
        <v>158</v>
      </c>
      <c r="B214" s="230" t="s">
        <v>148</v>
      </c>
      <c r="C214" s="229">
        <v>1</v>
      </c>
      <c r="D214" s="231" t="s">
        <v>20</v>
      </c>
      <c r="E214" s="197"/>
      <c r="F214" s="197">
        <f t="shared" si="45"/>
        <v>0</v>
      </c>
      <c r="G214" s="273"/>
      <c r="H214" s="298"/>
      <c r="I214" s="90"/>
      <c r="J214" s="40"/>
      <c r="K214" s="40"/>
      <c r="L214" s="180"/>
      <c r="M214" s="92">
        <f t="shared" si="46"/>
        <v>0</v>
      </c>
      <c r="N214" s="88">
        <f t="shared" si="47"/>
        <v>0</v>
      </c>
      <c r="O214" s="161"/>
      <c r="P214" s="161"/>
      <c r="Q214" s="161"/>
      <c r="R214" s="161"/>
    </row>
    <row r="215" spans="1:19" s="10" customFormat="1" ht="14.25">
      <c r="A215" s="193" t="s">
        <v>159</v>
      </c>
      <c r="B215" s="224" t="s">
        <v>149</v>
      </c>
      <c r="C215" s="202">
        <v>1</v>
      </c>
      <c r="D215" s="207" t="s">
        <v>20</v>
      </c>
      <c r="E215" s="207"/>
      <c r="F215" s="197">
        <f t="shared" si="45"/>
        <v>0</v>
      </c>
      <c r="G215" s="273"/>
      <c r="H215" s="298"/>
      <c r="I215" s="90"/>
      <c r="J215" s="40"/>
      <c r="K215" s="40"/>
      <c r="L215" s="180"/>
      <c r="M215" s="92">
        <f t="shared" si="46"/>
        <v>0</v>
      </c>
      <c r="N215" s="88">
        <f t="shared" si="47"/>
        <v>0</v>
      </c>
      <c r="O215" s="161"/>
      <c r="P215" s="161"/>
      <c r="Q215" s="161"/>
      <c r="R215" s="161"/>
    </row>
    <row r="216" spans="1:19" s="10" customFormat="1" ht="14.25">
      <c r="A216" s="193" t="s">
        <v>162</v>
      </c>
      <c r="B216" s="232" t="s">
        <v>150</v>
      </c>
      <c r="C216" s="229">
        <v>2</v>
      </c>
      <c r="D216" s="231" t="s">
        <v>35</v>
      </c>
      <c r="E216" s="197"/>
      <c r="F216" s="197">
        <f t="shared" si="45"/>
        <v>0</v>
      </c>
      <c r="G216" s="273"/>
      <c r="H216" s="298"/>
      <c r="I216" s="90"/>
      <c r="J216" s="40"/>
      <c r="K216" s="40"/>
      <c r="L216" s="180"/>
      <c r="M216" s="92">
        <f t="shared" si="46"/>
        <v>0</v>
      </c>
      <c r="N216" s="88">
        <f t="shared" si="47"/>
        <v>0</v>
      </c>
      <c r="O216" s="161"/>
      <c r="P216" s="161"/>
      <c r="Q216" s="161"/>
      <c r="R216" s="161"/>
    </row>
    <row r="217" spans="1:19" s="365" customFormat="1" ht="15">
      <c r="A217" s="464" t="s">
        <v>439</v>
      </c>
      <c r="B217" s="357"/>
      <c r="C217" s="358"/>
      <c r="D217" s="360"/>
      <c r="E217" s="360"/>
      <c r="F217" s="360"/>
      <c r="G217" s="361">
        <f>SUM(F218:F222)</f>
        <v>0</v>
      </c>
      <c r="H217" s="384">
        <f>SUM(H218:H222)</f>
        <v>0</v>
      </c>
      <c r="I217" s="385">
        <f t="shared" ref="I217:N217" si="48">SUM(I218:I222)</f>
        <v>0</v>
      </c>
      <c r="J217" s="385">
        <f>SUM(J218:J222)</f>
        <v>0</v>
      </c>
      <c r="K217" s="385">
        <f t="shared" si="48"/>
        <v>0</v>
      </c>
      <c r="L217" s="385">
        <f t="shared" si="48"/>
        <v>0</v>
      </c>
      <c r="M217" s="385">
        <f t="shared" si="48"/>
        <v>0</v>
      </c>
      <c r="N217" s="386">
        <f t="shared" si="48"/>
        <v>0</v>
      </c>
      <c r="O217" s="403"/>
      <c r="P217" s="403"/>
      <c r="Q217" s="403"/>
      <c r="R217" s="403"/>
    </row>
    <row r="218" spans="1:19" s="10" customFormat="1" ht="14.25">
      <c r="A218" s="193" t="s">
        <v>164</v>
      </c>
      <c r="B218" s="217" t="s">
        <v>132</v>
      </c>
      <c r="C218" s="222">
        <v>165</v>
      </c>
      <c r="D218" s="43" t="s">
        <v>123</v>
      </c>
      <c r="E218" s="197"/>
      <c r="F218" s="43">
        <f>E218*C218</f>
        <v>0</v>
      </c>
      <c r="G218" s="274"/>
      <c r="H218" s="294"/>
      <c r="I218" s="112">
        <f>F218/2</f>
        <v>0</v>
      </c>
      <c r="J218" s="133">
        <f>F218/2</f>
        <v>0</v>
      </c>
      <c r="K218" s="40"/>
      <c r="L218" s="90"/>
      <c r="M218" s="29"/>
      <c r="N218" s="327"/>
      <c r="O218" s="161"/>
      <c r="P218" s="161"/>
      <c r="Q218" s="161"/>
      <c r="R218" s="161"/>
    </row>
    <row r="219" spans="1:19" s="10" customFormat="1" ht="28.5">
      <c r="A219" s="193" t="s">
        <v>374</v>
      </c>
      <c r="B219" s="217" t="s">
        <v>136</v>
      </c>
      <c r="C219" s="222">
        <v>83.54</v>
      </c>
      <c r="D219" s="43" t="s">
        <v>22</v>
      </c>
      <c r="E219" s="197"/>
      <c r="F219" s="43">
        <f>E219*C219</f>
        <v>0</v>
      </c>
      <c r="G219" s="274"/>
      <c r="H219" s="298"/>
      <c r="I219" s="90"/>
      <c r="J219" s="40"/>
      <c r="K219" s="105">
        <f>F219/2</f>
        <v>0</v>
      </c>
      <c r="L219" s="92">
        <f>F219/2</f>
        <v>0</v>
      </c>
      <c r="M219" s="29"/>
      <c r="N219" s="327"/>
      <c r="O219" s="161"/>
      <c r="P219" s="161"/>
      <c r="Q219" s="161"/>
      <c r="R219" s="161"/>
    </row>
    <row r="220" spans="1:19" s="10" customFormat="1" ht="14.25">
      <c r="A220" s="193" t="s">
        <v>440</v>
      </c>
      <c r="B220" s="206" t="s">
        <v>350</v>
      </c>
      <c r="C220" s="214">
        <f>83.54*0.1</f>
        <v>8.354000000000001</v>
      </c>
      <c r="D220" s="207" t="s">
        <v>123</v>
      </c>
      <c r="E220" s="207"/>
      <c r="F220" s="207">
        <f>E220*C220</f>
        <v>0</v>
      </c>
      <c r="G220" s="273"/>
      <c r="H220" s="298"/>
      <c r="I220" s="90"/>
      <c r="J220" s="40"/>
      <c r="K220" s="105">
        <f>F220/2</f>
        <v>0</v>
      </c>
      <c r="L220" s="92">
        <f>F220/2</f>
        <v>0</v>
      </c>
      <c r="M220" s="29"/>
      <c r="N220" s="327"/>
      <c r="O220" s="161"/>
      <c r="P220" s="161"/>
      <c r="Q220" s="161"/>
      <c r="R220" s="161"/>
    </row>
    <row r="221" spans="1:19" s="10" customFormat="1" ht="14.25">
      <c r="A221" s="193" t="s">
        <v>441</v>
      </c>
      <c r="B221" s="206" t="s">
        <v>134</v>
      </c>
      <c r="C221" s="202">
        <v>185.64</v>
      </c>
      <c r="D221" s="207" t="s">
        <v>22</v>
      </c>
      <c r="E221" s="207"/>
      <c r="F221" s="207">
        <f>E221*C221</f>
        <v>0</v>
      </c>
      <c r="G221" s="273"/>
      <c r="H221" s="298"/>
      <c r="I221" s="90"/>
      <c r="J221" s="40"/>
      <c r="K221" s="105">
        <f>F221/2</f>
        <v>0</v>
      </c>
      <c r="L221" s="92">
        <f>F221/2</f>
        <v>0</v>
      </c>
      <c r="M221" s="29"/>
      <c r="N221" s="327"/>
      <c r="O221" s="161"/>
      <c r="P221" s="161"/>
      <c r="Q221" s="161"/>
      <c r="R221" s="161"/>
    </row>
    <row r="222" spans="1:19" s="10" customFormat="1" ht="14.25">
      <c r="A222" s="193" t="s">
        <v>442</v>
      </c>
      <c r="B222" s="206" t="s">
        <v>372</v>
      </c>
      <c r="C222" s="202">
        <v>185.64</v>
      </c>
      <c r="D222" s="207" t="s">
        <v>22</v>
      </c>
      <c r="E222" s="207"/>
      <c r="F222" s="207">
        <f>E222*C222</f>
        <v>0</v>
      </c>
      <c r="G222" s="273"/>
      <c r="H222" s="298"/>
      <c r="I222" s="90"/>
      <c r="J222" s="40"/>
      <c r="K222" s="105">
        <f>F222/2</f>
        <v>0</v>
      </c>
      <c r="L222" s="92">
        <f>F222/2</f>
        <v>0</v>
      </c>
      <c r="M222" s="29"/>
      <c r="N222" s="327"/>
      <c r="O222" s="161"/>
      <c r="P222" s="161"/>
      <c r="Q222" s="161"/>
      <c r="R222" s="161"/>
    </row>
    <row r="223" spans="1:19" s="415" customFormat="1" ht="15">
      <c r="A223" s="464" t="s">
        <v>443</v>
      </c>
      <c r="B223" s="404"/>
      <c r="C223" s="405"/>
      <c r="D223" s="406"/>
      <c r="E223" s="407"/>
      <c r="F223" s="407"/>
      <c r="G223" s="408">
        <f>SUM(F224:F226)</f>
        <v>0</v>
      </c>
      <c r="H223" s="409">
        <f>SUM(H224:H226)</f>
        <v>0</v>
      </c>
      <c r="I223" s="410">
        <f t="shared" ref="I223:N223" si="49">SUM(I224:I226)</f>
        <v>0</v>
      </c>
      <c r="J223" s="410">
        <f t="shared" si="49"/>
        <v>0</v>
      </c>
      <c r="K223" s="410">
        <f t="shared" si="49"/>
        <v>0</v>
      </c>
      <c r="L223" s="410">
        <f t="shared" si="49"/>
        <v>0</v>
      </c>
      <c r="M223" s="410">
        <f t="shared" si="49"/>
        <v>0</v>
      </c>
      <c r="N223" s="411">
        <f t="shared" si="49"/>
        <v>0</v>
      </c>
      <c r="O223" s="412"/>
      <c r="P223" s="412"/>
      <c r="Q223" s="412"/>
      <c r="R223" s="413"/>
      <c r="S223" s="414"/>
    </row>
    <row r="224" spans="1:19" s="25" customFormat="1" ht="28.5">
      <c r="A224" s="208" t="s">
        <v>588</v>
      </c>
      <c r="B224" s="206" t="s">
        <v>638</v>
      </c>
      <c r="C224" s="202">
        <v>280</v>
      </c>
      <c r="D224" s="213" t="s">
        <v>165</v>
      </c>
      <c r="E224" s="207"/>
      <c r="F224" s="207">
        <f>C224*E224</f>
        <v>0</v>
      </c>
      <c r="G224" s="281"/>
      <c r="H224" s="304"/>
      <c r="I224" s="181"/>
      <c r="J224" s="181"/>
      <c r="K224" s="23"/>
      <c r="L224" s="34">
        <f>F224/2</f>
        <v>0</v>
      </c>
      <c r="M224" s="147">
        <f>F224/2</f>
        <v>0</v>
      </c>
      <c r="N224" s="328"/>
      <c r="O224" s="156"/>
      <c r="P224" s="156"/>
      <c r="Q224" s="156"/>
      <c r="R224" s="167"/>
      <c r="S224" s="24"/>
    </row>
    <row r="225" spans="1:19" s="25" customFormat="1" ht="15">
      <c r="A225" s="208" t="s">
        <v>635</v>
      </c>
      <c r="B225" s="224" t="s">
        <v>521</v>
      </c>
      <c r="C225" s="202">
        <v>120</v>
      </c>
      <c r="D225" s="213" t="s">
        <v>165</v>
      </c>
      <c r="E225" s="207"/>
      <c r="F225" s="207">
        <f>C225*E225</f>
        <v>0</v>
      </c>
      <c r="G225" s="281"/>
      <c r="H225" s="304"/>
      <c r="I225" s="181"/>
      <c r="J225" s="181"/>
      <c r="K225" s="23"/>
      <c r="L225" s="34">
        <f>F225/2</f>
        <v>0</v>
      </c>
      <c r="M225" s="147">
        <f>F225/2</f>
        <v>0</v>
      </c>
      <c r="N225" s="328"/>
      <c r="O225" s="156"/>
      <c r="P225" s="156"/>
      <c r="Q225" s="156"/>
      <c r="R225" s="167"/>
      <c r="S225" s="24"/>
    </row>
    <row r="226" spans="1:19" s="25" customFormat="1" ht="15">
      <c r="A226" s="208" t="s">
        <v>636</v>
      </c>
      <c r="B226" s="224" t="s">
        <v>637</v>
      </c>
      <c r="C226" s="202">
        <v>60</v>
      </c>
      <c r="D226" s="213" t="s">
        <v>165</v>
      </c>
      <c r="E226" s="207"/>
      <c r="F226" s="207">
        <f>C226*E226</f>
        <v>0</v>
      </c>
      <c r="G226" s="281"/>
      <c r="H226" s="304"/>
      <c r="I226" s="181"/>
      <c r="J226" s="181"/>
      <c r="K226" s="23"/>
      <c r="L226" s="34">
        <f>F226/2</f>
        <v>0</v>
      </c>
      <c r="M226" s="147">
        <f>F226/2</f>
        <v>0</v>
      </c>
      <c r="N226" s="328"/>
      <c r="O226" s="156"/>
      <c r="P226" s="156"/>
      <c r="Q226" s="156"/>
      <c r="R226" s="167"/>
      <c r="S226" s="24"/>
    </row>
    <row r="227" spans="1:19" s="415" customFormat="1" ht="15">
      <c r="A227" s="464" t="s">
        <v>444</v>
      </c>
      <c r="B227" s="404"/>
      <c r="C227" s="407"/>
      <c r="D227" s="416"/>
      <c r="E227" s="416"/>
      <c r="F227" s="416"/>
      <c r="G227" s="408">
        <f>SUM(F228:F241)</f>
        <v>0</v>
      </c>
      <c r="H227" s="417">
        <f t="shared" ref="H227:N227" si="50">SUM(H228:H241)</f>
        <v>0</v>
      </c>
      <c r="I227" s="418">
        <f t="shared" si="50"/>
        <v>0</v>
      </c>
      <c r="J227" s="418">
        <f t="shared" si="50"/>
        <v>0</v>
      </c>
      <c r="K227" s="418">
        <f t="shared" si="50"/>
        <v>0</v>
      </c>
      <c r="L227" s="418">
        <f t="shared" si="50"/>
        <v>0</v>
      </c>
      <c r="M227" s="418">
        <f t="shared" si="50"/>
        <v>0</v>
      </c>
      <c r="N227" s="419">
        <f t="shared" si="50"/>
        <v>0</v>
      </c>
      <c r="O227" s="420"/>
      <c r="P227" s="420"/>
      <c r="Q227" s="420"/>
      <c r="R227" s="413"/>
      <c r="S227" s="414"/>
    </row>
    <row r="228" spans="1:19" s="25" customFormat="1" ht="28.5">
      <c r="A228" s="141" t="s">
        <v>445</v>
      </c>
      <c r="B228" s="206" t="s">
        <v>423</v>
      </c>
      <c r="C228" s="202">
        <v>1</v>
      </c>
      <c r="D228" s="207" t="s">
        <v>20</v>
      </c>
      <c r="E228" s="207"/>
      <c r="F228" s="196">
        <f t="shared" ref="F228:F241" si="51">C228*E228</f>
        <v>0</v>
      </c>
      <c r="G228" s="271"/>
      <c r="H228" s="301"/>
      <c r="I228" s="23"/>
      <c r="J228" s="34">
        <f t="shared" ref="J228:J241" si="52">F228/3</f>
        <v>0</v>
      </c>
      <c r="K228" s="34">
        <f t="shared" ref="K228:K241" si="53">F228/3</f>
        <v>0</v>
      </c>
      <c r="L228" s="34">
        <f t="shared" ref="L228:L241" si="54">F228/3</f>
        <v>0</v>
      </c>
      <c r="M228" s="33"/>
      <c r="N228" s="329"/>
      <c r="O228" s="156"/>
      <c r="P228" s="156"/>
      <c r="Q228" s="156"/>
      <c r="R228" s="167"/>
      <c r="S228" s="24"/>
    </row>
    <row r="229" spans="1:19" s="25" customFormat="1" ht="15">
      <c r="A229" s="141" t="s">
        <v>446</v>
      </c>
      <c r="B229" s="228" t="s">
        <v>424</v>
      </c>
      <c r="C229" s="195">
        <v>1</v>
      </c>
      <c r="D229" s="196" t="s">
        <v>20</v>
      </c>
      <c r="E229" s="197"/>
      <c r="F229" s="196">
        <f t="shared" si="51"/>
        <v>0</v>
      </c>
      <c r="G229" s="271"/>
      <c r="H229" s="301"/>
      <c r="I229" s="23"/>
      <c r="J229" s="34">
        <f t="shared" si="52"/>
        <v>0</v>
      </c>
      <c r="K229" s="34">
        <f t="shared" si="53"/>
        <v>0</v>
      </c>
      <c r="L229" s="34">
        <f t="shared" si="54"/>
        <v>0</v>
      </c>
      <c r="M229" s="33"/>
      <c r="N229" s="329"/>
      <c r="O229" s="156"/>
      <c r="P229" s="156"/>
      <c r="Q229" s="156"/>
      <c r="R229" s="167"/>
      <c r="S229" s="24"/>
    </row>
    <row r="230" spans="1:19" s="25" customFormat="1" ht="15">
      <c r="A230" s="141" t="s">
        <v>447</v>
      </c>
      <c r="B230" s="228" t="s">
        <v>425</v>
      </c>
      <c r="C230" s="195">
        <v>7</v>
      </c>
      <c r="D230" s="196" t="s">
        <v>20</v>
      </c>
      <c r="E230" s="197"/>
      <c r="F230" s="196">
        <f t="shared" si="51"/>
        <v>0</v>
      </c>
      <c r="G230" s="271"/>
      <c r="H230" s="301"/>
      <c r="I230" s="23"/>
      <c r="J230" s="34">
        <f t="shared" si="52"/>
        <v>0</v>
      </c>
      <c r="K230" s="34">
        <f t="shared" si="53"/>
        <v>0</v>
      </c>
      <c r="L230" s="34">
        <f t="shared" si="54"/>
        <v>0</v>
      </c>
      <c r="M230" s="33"/>
      <c r="N230" s="329"/>
      <c r="O230" s="156"/>
      <c r="P230" s="156"/>
      <c r="Q230" s="156"/>
      <c r="R230" s="167"/>
      <c r="S230" s="24"/>
    </row>
    <row r="231" spans="1:19" s="25" customFormat="1" ht="15">
      <c r="A231" s="141" t="s">
        <v>448</v>
      </c>
      <c r="B231" s="228" t="s">
        <v>426</v>
      </c>
      <c r="C231" s="195">
        <v>16</v>
      </c>
      <c r="D231" s="196" t="s">
        <v>20</v>
      </c>
      <c r="E231" s="197"/>
      <c r="F231" s="196">
        <f t="shared" si="51"/>
        <v>0</v>
      </c>
      <c r="G231" s="271"/>
      <c r="H231" s="301"/>
      <c r="I231" s="23"/>
      <c r="J231" s="34">
        <f t="shared" si="52"/>
        <v>0</v>
      </c>
      <c r="K231" s="34">
        <f t="shared" si="53"/>
        <v>0</v>
      </c>
      <c r="L231" s="34">
        <f t="shared" si="54"/>
        <v>0</v>
      </c>
      <c r="M231" s="33"/>
      <c r="N231" s="329"/>
      <c r="O231" s="156"/>
      <c r="P231" s="156"/>
      <c r="Q231" s="156"/>
      <c r="R231" s="167"/>
      <c r="S231" s="24"/>
    </row>
    <row r="232" spans="1:19" s="25" customFormat="1" ht="15">
      <c r="A232" s="141" t="s">
        <v>449</v>
      </c>
      <c r="B232" s="228" t="s">
        <v>427</v>
      </c>
      <c r="C232" s="195">
        <v>1</v>
      </c>
      <c r="D232" s="196" t="s">
        <v>20</v>
      </c>
      <c r="E232" s="197"/>
      <c r="F232" s="196">
        <f t="shared" si="51"/>
        <v>0</v>
      </c>
      <c r="G232" s="271"/>
      <c r="H232" s="305"/>
      <c r="I232" s="23"/>
      <c r="J232" s="34">
        <f t="shared" si="52"/>
        <v>0</v>
      </c>
      <c r="K232" s="34">
        <f t="shared" si="53"/>
        <v>0</v>
      </c>
      <c r="L232" s="34">
        <f t="shared" si="54"/>
        <v>0</v>
      </c>
      <c r="M232" s="148"/>
      <c r="N232" s="330"/>
      <c r="O232" s="169"/>
      <c r="P232" s="170"/>
      <c r="Q232" s="170"/>
      <c r="R232" s="167"/>
      <c r="S232" s="24"/>
    </row>
    <row r="233" spans="1:19" s="25" customFormat="1" ht="15">
      <c r="A233" s="141" t="s">
        <v>450</v>
      </c>
      <c r="B233" s="206" t="s">
        <v>428</v>
      </c>
      <c r="C233" s="202">
        <v>3</v>
      </c>
      <c r="D233" s="207" t="s">
        <v>20</v>
      </c>
      <c r="E233" s="207"/>
      <c r="F233" s="196">
        <f t="shared" si="51"/>
        <v>0</v>
      </c>
      <c r="G233" s="271"/>
      <c r="H233" s="301"/>
      <c r="I233" s="23"/>
      <c r="J233" s="34">
        <f t="shared" si="52"/>
        <v>0</v>
      </c>
      <c r="K233" s="34">
        <f t="shared" si="53"/>
        <v>0</v>
      </c>
      <c r="L233" s="34">
        <f t="shared" si="54"/>
        <v>0</v>
      </c>
      <c r="M233" s="33"/>
      <c r="N233" s="329"/>
      <c r="O233" s="156"/>
      <c r="P233" s="156"/>
      <c r="Q233" s="156"/>
      <c r="R233" s="167"/>
      <c r="S233" s="24"/>
    </row>
    <row r="234" spans="1:19" s="25" customFormat="1" ht="15">
      <c r="A234" s="141" t="s">
        <v>451</v>
      </c>
      <c r="B234" s="228" t="s">
        <v>429</v>
      </c>
      <c r="C234" s="195">
        <v>60</v>
      </c>
      <c r="D234" s="196" t="s">
        <v>20</v>
      </c>
      <c r="E234" s="197"/>
      <c r="F234" s="196">
        <f t="shared" si="51"/>
        <v>0</v>
      </c>
      <c r="G234" s="271"/>
      <c r="H234" s="301"/>
      <c r="I234" s="23"/>
      <c r="J234" s="34">
        <f t="shared" si="52"/>
        <v>0</v>
      </c>
      <c r="K234" s="34">
        <f t="shared" si="53"/>
        <v>0</v>
      </c>
      <c r="L234" s="34">
        <f t="shared" si="54"/>
        <v>0</v>
      </c>
      <c r="M234" s="33"/>
      <c r="N234" s="329"/>
      <c r="O234" s="156"/>
      <c r="P234" s="156"/>
      <c r="Q234" s="156"/>
      <c r="R234" s="167"/>
      <c r="S234" s="24"/>
    </row>
    <row r="235" spans="1:19" s="25" customFormat="1" ht="15">
      <c r="A235" s="141" t="s">
        <v>452</v>
      </c>
      <c r="B235" s="228" t="s">
        <v>430</v>
      </c>
      <c r="C235" s="195">
        <v>5</v>
      </c>
      <c r="D235" s="196" t="s">
        <v>20</v>
      </c>
      <c r="E235" s="197"/>
      <c r="F235" s="196">
        <f t="shared" si="51"/>
        <v>0</v>
      </c>
      <c r="G235" s="271"/>
      <c r="H235" s="301"/>
      <c r="I235" s="23"/>
      <c r="J235" s="34">
        <f t="shared" si="52"/>
        <v>0</v>
      </c>
      <c r="K235" s="34">
        <f t="shared" si="53"/>
        <v>0</v>
      </c>
      <c r="L235" s="34">
        <f t="shared" si="54"/>
        <v>0</v>
      </c>
      <c r="M235" s="33"/>
      <c r="N235" s="329"/>
      <c r="O235" s="156"/>
      <c r="P235" s="156"/>
      <c r="Q235" s="156"/>
      <c r="R235" s="167"/>
      <c r="S235" s="24"/>
    </row>
    <row r="236" spans="1:19" s="25" customFormat="1" ht="15">
      <c r="A236" s="141" t="s">
        <v>453</v>
      </c>
      <c r="B236" s="228" t="s">
        <v>431</v>
      </c>
      <c r="C236" s="195">
        <v>65</v>
      </c>
      <c r="D236" s="196" t="s">
        <v>20</v>
      </c>
      <c r="E236" s="197"/>
      <c r="F236" s="196">
        <f t="shared" si="51"/>
        <v>0</v>
      </c>
      <c r="G236" s="271"/>
      <c r="H236" s="301"/>
      <c r="I236" s="23"/>
      <c r="J236" s="34">
        <f t="shared" si="52"/>
        <v>0</v>
      </c>
      <c r="K236" s="34">
        <f t="shared" si="53"/>
        <v>0</v>
      </c>
      <c r="L236" s="34">
        <f t="shared" si="54"/>
        <v>0</v>
      </c>
      <c r="M236" s="33"/>
      <c r="N236" s="329"/>
      <c r="O236" s="156"/>
      <c r="P236" s="156"/>
      <c r="Q236" s="156"/>
      <c r="R236" s="167"/>
      <c r="S236" s="24"/>
    </row>
    <row r="237" spans="1:19" s="25" customFormat="1" ht="15">
      <c r="A237" s="141" t="s">
        <v>454</v>
      </c>
      <c r="B237" s="234" t="s">
        <v>432</v>
      </c>
      <c r="C237" s="235">
        <v>15</v>
      </c>
      <c r="D237" s="196" t="s">
        <v>35</v>
      </c>
      <c r="E237" s="197"/>
      <c r="F237" s="196">
        <f t="shared" si="51"/>
        <v>0</v>
      </c>
      <c r="G237" s="271"/>
      <c r="H237" s="305"/>
      <c r="I237" s="23"/>
      <c r="J237" s="34">
        <f t="shared" si="52"/>
        <v>0</v>
      </c>
      <c r="K237" s="34">
        <f t="shared" si="53"/>
        <v>0</v>
      </c>
      <c r="L237" s="34">
        <f t="shared" si="54"/>
        <v>0</v>
      </c>
      <c r="M237" s="148"/>
      <c r="N237" s="330"/>
      <c r="O237" s="169"/>
      <c r="P237" s="170"/>
      <c r="Q237" s="170"/>
      <c r="R237" s="167"/>
      <c r="S237" s="24"/>
    </row>
    <row r="238" spans="1:19" s="25" customFormat="1" ht="15">
      <c r="A238" s="141" t="s">
        <v>455</v>
      </c>
      <c r="B238" s="234" t="s">
        <v>433</v>
      </c>
      <c r="C238" s="235">
        <v>130</v>
      </c>
      <c r="D238" s="196" t="s">
        <v>35</v>
      </c>
      <c r="E238" s="197"/>
      <c r="F238" s="196">
        <f t="shared" si="51"/>
        <v>0</v>
      </c>
      <c r="G238" s="271"/>
      <c r="H238" s="305"/>
      <c r="I238" s="23"/>
      <c r="J238" s="34">
        <f t="shared" si="52"/>
        <v>0</v>
      </c>
      <c r="K238" s="34">
        <f t="shared" si="53"/>
        <v>0</v>
      </c>
      <c r="L238" s="34">
        <f t="shared" si="54"/>
        <v>0</v>
      </c>
      <c r="M238" s="148"/>
      <c r="N238" s="330"/>
      <c r="O238" s="169"/>
      <c r="P238" s="170"/>
      <c r="Q238" s="170"/>
      <c r="R238" s="167"/>
      <c r="S238" s="24"/>
    </row>
    <row r="239" spans="1:19" s="25" customFormat="1" ht="15">
      <c r="A239" s="141" t="s">
        <v>456</v>
      </c>
      <c r="B239" s="234" t="s">
        <v>434</v>
      </c>
      <c r="C239" s="235">
        <v>600</v>
      </c>
      <c r="D239" s="196" t="s">
        <v>35</v>
      </c>
      <c r="E239" s="197"/>
      <c r="F239" s="196">
        <f t="shared" si="51"/>
        <v>0</v>
      </c>
      <c r="G239" s="271"/>
      <c r="H239" s="305"/>
      <c r="I239" s="23"/>
      <c r="J239" s="34">
        <f t="shared" si="52"/>
        <v>0</v>
      </c>
      <c r="K239" s="34">
        <f t="shared" si="53"/>
        <v>0</v>
      </c>
      <c r="L239" s="34">
        <f t="shared" si="54"/>
        <v>0</v>
      </c>
      <c r="M239" s="148"/>
      <c r="N239" s="330"/>
      <c r="O239" s="169"/>
      <c r="P239" s="170"/>
      <c r="Q239" s="170"/>
      <c r="R239" s="167"/>
      <c r="S239" s="24"/>
    </row>
    <row r="240" spans="1:19" s="25" customFormat="1" ht="15">
      <c r="A240" s="141" t="s">
        <v>457</v>
      </c>
      <c r="B240" s="234" t="s">
        <v>435</v>
      </c>
      <c r="C240" s="236">
        <v>10</v>
      </c>
      <c r="D240" s="196" t="s">
        <v>35</v>
      </c>
      <c r="E240" s="197"/>
      <c r="F240" s="196">
        <f t="shared" si="51"/>
        <v>0</v>
      </c>
      <c r="G240" s="271"/>
      <c r="H240" s="305"/>
      <c r="I240" s="23"/>
      <c r="J240" s="34">
        <f t="shared" si="52"/>
        <v>0</v>
      </c>
      <c r="K240" s="34">
        <f t="shared" si="53"/>
        <v>0</v>
      </c>
      <c r="L240" s="34">
        <f t="shared" si="54"/>
        <v>0</v>
      </c>
      <c r="M240" s="148"/>
      <c r="N240" s="330"/>
      <c r="O240" s="169"/>
      <c r="P240" s="170"/>
      <c r="Q240" s="170"/>
      <c r="R240" s="167"/>
      <c r="S240" s="24"/>
    </row>
    <row r="241" spans="1:19" s="25" customFormat="1" ht="15">
      <c r="A241" s="141" t="s">
        <v>459</v>
      </c>
      <c r="B241" s="234" t="s">
        <v>644</v>
      </c>
      <c r="C241" s="236">
        <v>31</v>
      </c>
      <c r="D241" s="196" t="s">
        <v>20</v>
      </c>
      <c r="E241" s="197"/>
      <c r="F241" s="196">
        <f t="shared" si="51"/>
        <v>0</v>
      </c>
      <c r="G241" s="271"/>
      <c r="H241" s="305"/>
      <c r="I241" s="23"/>
      <c r="J241" s="34">
        <f t="shared" si="52"/>
        <v>0</v>
      </c>
      <c r="K241" s="34">
        <f t="shared" si="53"/>
        <v>0</v>
      </c>
      <c r="L241" s="34">
        <f t="shared" si="54"/>
        <v>0</v>
      </c>
      <c r="M241" s="148"/>
      <c r="N241" s="330"/>
      <c r="O241" s="169"/>
      <c r="P241" s="170"/>
      <c r="Q241" s="170"/>
      <c r="R241" s="167"/>
      <c r="S241" s="24"/>
    </row>
    <row r="242" spans="1:19" s="415" customFormat="1" ht="15">
      <c r="A242" s="464" t="s">
        <v>458</v>
      </c>
      <c r="B242" s="404"/>
      <c r="C242" s="407"/>
      <c r="D242" s="416"/>
      <c r="E242" s="416"/>
      <c r="F242" s="416"/>
      <c r="G242" s="408">
        <f>SUM(F243:F245)</f>
        <v>0</v>
      </c>
      <c r="H242" s="417">
        <f>SUM(H243:H245)</f>
        <v>0</v>
      </c>
      <c r="I242" s="418">
        <f t="shared" ref="I242:N242" si="55">SUM(I243:I245)</f>
        <v>0</v>
      </c>
      <c r="J242" s="418">
        <f t="shared" si="55"/>
        <v>0</v>
      </c>
      <c r="K242" s="418">
        <f t="shared" si="55"/>
        <v>0</v>
      </c>
      <c r="L242" s="418">
        <f t="shared" si="55"/>
        <v>0</v>
      </c>
      <c r="M242" s="418">
        <f t="shared" si="55"/>
        <v>0</v>
      </c>
      <c r="N242" s="419">
        <f t="shared" si="55"/>
        <v>0</v>
      </c>
      <c r="O242" s="420"/>
      <c r="P242" s="420"/>
      <c r="Q242" s="420"/>
      <c r="R242" s="413"/>
      <c r="S242" s="414"/>
    </row>
    <row r="243" spans="1:19" s="25" customFormat="1" ht="15">
      <c r="A243" s="141" t="s">
        <v>376</v>
      </c>
      <c r="B243" s="238" t="s">
        <v>436</v>
      </c>
      <c r="C243" s="202">
        <v>8</v>
      </c>
      <c r="D243" s="207" t="s">
        <v>20</v>
      </c>
      <c r="E243" s="237"/>
      <c r="F243" s="196">
        <f>C243*E243</f>
        <v>0</v>
      </c>
      <c r="G243" s="271"/>
      <c r="H243" s="301"/>
      <c r="I243" s="34">
        <f>F243/3</f>
        <v>0</v>
      </c>
      <c r="J243" s="34">
        <f>F243/3</f>
        <v>0</v>
      </c>
      <c r="K243" s="34">
        <f>F243/3</f>
        <v>0</v>
      </c>
      <c r="L243" s="142"/>
      <c r="M243" s="33"/>
      <c r="N243" s="329"/>
      <c r="O243" s="156"/>
      <c r="P243" s="156"/>
      <c r="Q243" s="156"/>
      <c r="R243" s="167"/>
      <c r="S243" s="24"/>
    </row>
    <row r="244" spans="1:19" s="25" customFormat="1" ht="15">
      <c r="A244" s="141" t="s">
        <v>377</v>
      </c>
      <c r="B244" s="238" t="s">
        <v>437</v>
      </c>
      <c r="C244" s="195">
        <v>9</v>
      </c>
      <c r="D244" s="196" t="s">
        <v>20</v>
      </c>
      <c r="E244" s="237"/>
      <c r="F244" s="196">
        <f>C244*E244</f>
        <v>0</v>
      </c>
      <c r="G244" s="271"/>
      <c r="H244" s="301"/>
      <c r="I244" s="34">
        <f>F244/3</f>
        <v>0</v>
      </c>
      <c r="J244" s="34">
        <f>F244/3</f>
        <v>0</v>
      </c>
      <c r="K244" s="34">
        <f>F244/3</f>
        <v>0</v>
      </c>
      <c r="L244" s="142"/>
      <c r="M244" s="33"/>
      <c r="N244" s="329"/>
      <c r="O244" s="156"/>
      <c r="P244" s="156"/>
      <c r="Q244" s="156"/>
      <c r="R244" s="167"/>
      <c r="S244" s="24"/>
    </row>
    <row r="245" spans="1:19" s="25" customFormat="1" ht="15">
      <c r="A245" s="141" t="s">
        <v>378</v>
      </c>
      <c r="B245" s="239" t="s">
        <v>438</v>
      </c>
      <c r="C245" s="195">
        <v>10</v>
      </c>
      <c r="D245" s="196" t="s">
        <v>22</v>
      </c>
      <c r="E245" s="237"/>
      <c r="F245" s="196">
        <f>C245*E245</f>
        <v>0</v>
      </c>
      <c r="G245" s="271"/>
      <c r="H245" s="301"/>
      <c r="I245" s="34">
        <f>F245/3</f>
        <v>0</v>
      </c>
      <c r="J245" s="34">
        <f>F245/3</f>
        <v>0</v>
      </c>
      <c r="K245" s="34">
        <f>F245/3</f>
        <v>0</v>
      </c>
      <c r="L245" s="142"/>
      <c r="M245" s="33"/>
      <c r="N245" s="329"/>
      <c r="O245" s="156"/>
      <c r="P245" s="156"/>
      <c r="Q245" s="156"/>
      <c r="R245" s="167"/>
      <c r="S245" s="24"/>
    </row>
    <row r="246" spans="1:19" s="154" customFormat="1" ht="27" customHeight="1">
      <c r="A246" s="483" t="s">
        <v>375</v>
      </c>
      <c r="B246" s="484"/>
      <c r="C246" s="149"/>
      <c r="D246" s="150"/>
      <c r="E246" s="151"/>
      <c r="F246" s="151"/>
      <c r="G246" s="283"/>
      <c r="H246" s="306"/>
      <c r="I246" s="152"/>
      <c r="J246" s="152"/>
      <c r="K246" s="152"/>
      <c r="L246" s="152"/>
      <c r="M246" s="152"/>
      <c r="N246" s="153"/>
      <c r="O246" s="262"/>
      <c r="P246" s="262"/>
      <c r="Q246" s="262"/>
      <c r="R246" s="260"/>
      <c r="S246" s="24"/>
    </row>
    <row r="247" spans="1:19" s="424" customFormat="1" ht="15">
      <c r="A247" s="485" t="s">
        <v>512</v>
      </c>
      <c r="B247" s="486"/>
      <c r="C247" s="421"/>
      <c r="D247" s="422"/>
      <c r="E247" s="423"/>
      <c r="F247" s="423"/>
      <c r="G247" s="408">
        <f>SUM(F248,F253,F268,F285)</f>
        <v>0</v>
      </c>
      <c r="H247" s="417">
        <f>SUM(H248:H291)</f>
        <v>0</v>
      </c>
      <c r="I247" s="418">
        <f t="shared" ref="I247:M247" si="56">SUM(I248:I291)</f>
        <v>0</v>
      </c>
      <c r="J247" s="418">
        <f t="shared" si="56"/>
        <v>0</v>
      </c>
      <c r="K247" s="418">
        <f>SUM(K248:K291)</f>
        <v>0</v>
      </c>
      <c r="L247" s="418">
        <f>SUM(L248:L291)</f>
        <v>0</v>
      </c>
      <c r="M247" s="418">
        <f t="shared" si="56"/>
        <v>0</v>
      </c>
      <c r="N247" s="419">
        <f>SUM(N248:N291)</f>
        <v>0</v>
      </c>
      <c r="O247" s="420"/>
      <c r="P247" s="420"/>
      <c r="Q247" s="420"/>
      <c r="R247" s="413"/>
      <c r="S247" s="414"/>
    </row>
    <row r="248" spans="1:19" s="10" customFormat="1" ht="15">
      <c r="A248" s="104" t="s">
        <v>467</v>
      </c>
      <c r="B248" s="94" t="s">
        <v>28</v>
      </c>
      <c r="C248" s="95"/>
      <c r="D248" s="96"/>
      <c r="E248" s="97"/>
      <c r="F248" s="98">
        <f>SUM(F249:F252)</f>
        <v>0</v>
      </c>
      <c r="G248" s="269"/>
      <c r="H248" s="290"/>
      <c r="I248" s="98"/>
      <c r="J248" s="98"/>
      <c r="K248" s="99"/>
      <c r="L248" s="99"/>
      <c r="M248" s="98"/>
      <c r="N248" s="319"/>
      <c r="O248" s="263"/>
      <c r="P248" s="263"/>
      <c r="Q248" s="263"/>
      <c r="R248" s="263"/>
    </row>
    <row r="249" spans="1:19" s="10" customFormat="1" ht="14.25">
      <c r="A249" s="39" t="s">
        <v>468</v>
      </c>
      <c r="B249" s="194" t="s">
        <v>411</v>
      </c>
      <c r="C249" s="210">
        <v>300</v>
      </c>
      <c r="D249" s="203" t="s">
        <v>22</v>
      </c>
      <c r="E249" s="197"/>
      <c r="F249" s="197">
        <f>C249*E249</f>
        <v>0</v>
      </c>
      <c r="G249" s="273"/>
      <c r="H249" s="294"/>
      <c r="I249" s="30"/>
      <c r="J249" s="29"/>
      <c r="K249" s="49">
        <f>F249</f>
        <v>0</v>
      </c>
      <c r="L249" s="180"/>
      <c r="M249" s="59"/>
      <c r="N249" s="89"/>
      <c r="O249" s="263"/>
      <c r="P249" s="263"/>
      <c r="Q249" s="263"/>
      <c r="R249" s="263"/>
    </row>
    <row r="250" spans="1:19" s="10" customFormat="1" ht="14.25">
      <c r="A250" s="39" t="s">
        <v>469</v>
      </c>
      <c r="B250" s="194" t="s">
        <v>413</v>
      </c>
      <c r="C250" s="210">
        <v>3</v>
      </c>
      <c r="D250" s="216" t="s">
        <v>20</v>
      </c>
      <c r="E250" s="197"/>
      <c r="F250" s="197">
        <f>C250*E250</f>
        <v>0</v>
      </c>
      <c r="G250" s="273"/>
      <c r="H250" s="294"/>
      <c r="I250" s="29"/>
      <c r="J250" s="29"/>
      <c r="K250" s="49">
        <f>F250</f>
        <v>0</v>
      </c>
      <c r="L250" s="180"/>
      <c r="M250" s="29"/>
      <c r="N250" s="89"/>
      <c r="O250" s="263"/>
      <c r="P250" s="263"/>
      <c r="Q250" s="263"/>
      <c r="R250" s="263"/>
    </row>
    <row r="251" spans="1:19" s="10" customFormat="1" ht="14.25">
      <c r="A251" s="39" t="s">
        <v>470</v>
      </c>
      <c r="B251" s="194" t="s">
        <v>192</v>
      </c>
      <c r="C251" s="210">
        <v>300</v>
      </c>
      <c r="D251" s="197" t="s">
        <v>22</v>
      </c>
      <c r="E251" s="197"/>
      <c r="F251" s="197">
        <f>E251*C251</f>
        <v>0</v>
      </c>
      <c r="G251" s="270"/>
      <c r="H251" s="294"/>
      <c r="I251" s="29"/>
      <c r="J251" s="29"/>
      <c r="K251" s="49">
        <f>F251</f>
        <v>0</v>
      </c>
      <c r="L251" s="180"/>
      <c r="M251" s="59"/>
      <c r="N251" s="89"/>
      <c r="O251" s="161"/>
      <c r="P251" s="161"/>
      <c r="Q251" s="161"/>
      <c r="R251" s="161"/>
    </row>
    <row r="252" spans="1:19" s="10" customFormat="1" ht="14.25">
      <c r="A252" s="39" t="s">
        <v>471</v>
      </c>
      <c r="B252" s="217" t="s">
        <v>213</v>
      </c>
      <c r="C252" s="210">
        <v>50</v>
      </c>
      <c r="D252" s="197" t="s">
        <v>22</v>
      </c>
      <c r="E252" s="197"/>
      <c r="F252" s="197">
        <f>E252*C252</f>
        <v>0</v>
      </c>
      <c r="G252" s="270"/>
      <c r="H252" s="294"/>
      <c r="I252" s="29"/>
      <c r="J252" s="29"/>
      <c r="K252" s="49">
        <f>F252</f>
        <v>0</v>
      </c>
      <c r="L252" s="180"/>
      <c r="M252" s="59"/>
      <c r="N252" s="89"/>
      <c r="O252" s="161"/>
      <c r="P252" s="161"/>
      <c r="Q252" s="161"/>
      <c r="R252" s="161"/>
    </row>
    <row r="253" spans="1:19" s="25" customFormat="1" ht="15">
      <c r="A253" s="137" t="s">
        <v>472</v>
      </c>
      <c r="B253" s="138" t="s">
        <v>32</v>
      </c>
      <c r="C253" s="143"/>
      <c r="D253" s="144"/>
      <c r="E253" s="139"/>
      <c r="F253" s="140">
        <f>SUM(F254:F267)</f>
        <v>0</v>
      </c>
      <c r="G253" s="284"/>
      <c r="H253" s="307"/>
      <c r="I253" s="140"/>
      <c r="J253" s="140"/>
      <c r="K253" s="258"/>
      <c r="L253" s="140"/>
      <c r="M253" s="145"/>
      <c r="N253" s="146"/>
      <c r="O253" s="168"/>
      <c r="P253" s="168"/>
      <c r="Q253" s="168"/>
      <c r="R253" s="167"/>
      <c r="S253" s="24"/>
    </row>
    <row r="254" spans="1:19" s="25" customFormat="1" ht="15">
      <c r="A254" s="141" t="s">
        <v>473</v>
      </c>
      <c r="B254" s="218" t="s">
        <v>178</v>
      </c>
      <c r="C254" s="195">
        <v>268</v>
      </c>
      <c r="D254" s="203" t="s">
        <v>22</v>
      </c>
      <c r="E254" s="197"/>
      <c r="F254" s="32">
        <f t="shared" ref="F254:F267" si="57">C254*E254</f>
        <v>0</v>
      </c>
      <c r="G254" s="271"/>
      <c r="H254" s="301"/>
      <c r="I254" s="33"/>
      <c r="J254" s="33"/>
      <c r="K254" s="147">
        <f t="shared" ref="K254:K267" si="58">F254/3</f>
        <v>0</v>
      </c>
      <c r="L254" s="34">
        <f t="shared" ref="L254:L267" si="59">F254/3</f>
        <v>0</v>
      </c>
      <c r="M254" s="34">
        <f t="shared" ref="M254:M267" si="60">F254/3</f>
        <v>0</v>
      </c>
      <c r="N254" s="184"/>
      <c r="O254" s="156"/>
      <c r="P254" s="156"/>
      <c r="Q254" s="156"/>
      <c r="R254" s="167"/>
      <c r="S254" s="24"/>
    </row>
    <row r="255" spans="1:19" s="25" customFormat="1" ht="15">
      <c r="A255" s="141" t="s">
        <v>474</v>
      </c>
      <c r="B255" s="211" t="s">
        <v>196</v>
      </c>
      <c r="C255" s="195">
        <v>79.430000000000007</v>
      </c>
      <c r="D255" s="203" t="s">
        <v>35</v>
      </c>
      <c r="E255" s="197"/>
      <c r="F255" s="32">
        <f t="shared" si="57"/>
        <v>0</v>
      </c>
      <c r="G255" s="271"/>
      <c r="H255" s="301"/>
      <c r="I255" s="33"/>
      <c r="J255" s="33"/>
      <c r="K255" s="147">
        <f t="shared" si="58"/>
        <v>0</v>
      </c>
      <c r="L255" s="34">
        <f t="shared" si="59"/>
        <v>0</v>
      </c>
      <c r="M255" s="34">
        <f t="shared" si="60"/>
        <v>0</v>
      </c>
      <c r="N255" s="184"/>
      <c r="O255" s="156"/>
      <c r="P255" s="156"/>
      <c r="Q255" s="156"/>
      <c r="R255" s="167"/>
      <c r="S255" s="24"/>
    </row>
    <row r="256" spans="1:19" s="25" customFormat="1" ht="15">
      <c r="A256" s="141" t="s">
        <v>475</v>
      </c>
      <c r="B256" s="206" t="s">
        <v>180</v>
      </c>
      <c r="C256" s="195">
        <v>268</v>
      </c>
      <c r="D256" s="203" t="s">
        <v>22</v>
      </c>
      <c r="E256" s="207"/>
      <c r="F256" s="196">
        <f t="shared" si="57"/>
        <v>0</v>
      </c>
      <c r="G256" s="271"/>
      <c r="H256" s="301"/>
      <c r="I256" s="33"/>
      <c r="J256" s="33"/>
      <c r="K256" s="147">
        <f t="shared" si="58"/>
        <v>0</v>
      </c>
      <c r="L256" s="34">
        <f t="shared" si="59"/>
        <v>0</v>
      </c>
      <c r="M256" s="34">
        <f t="shared" si="60"/>
        <v>0</v>
      </c>
      <c r="N256" s="184"/>
      <c r="O256" s="156"/>
      <c r="P256" s="156"/>
      <c r="Q256" s="156"/>
      <c r="R256" s="167"/>
      <c r="S256" s="24"/>
    </row>
    <row r="257" spans="1:19" s="25" customFormat="1" ht="15">
      <c r="A257" s="141" t="s">
        <v>476</v>
      </c>
      <c r="B257" s="194" t="s">
        <v>379</v>
      </c>
      <c r="C257" s="195">
        <v>8844</v>
      </c>
      <c r="D257" s="203" t="s">
        <v>380</v>
      </c>
      <c r="E257" s="197"/>
      <c r="F257" s="196">
        <f t="shared" si="57"/>
        <v>0</v>
      </c>
      <c r="G257" s="271"/>
      <c r="H257" s="301"/>
      <c r="I257" s="33"/>
      <c r="J257" s="33"/>
      <c r="K257" s="147">
        <f t="shared" si="58"/>
        <v>0</v>
      </c>
      <c r="L257" s="34">
        <f t="shared" si="59"/>
        <v>0</v>
      </c>
      <c r="M257" s="34">
        <f t="shared" si="60"/>
        <v>0</v>
      </c>
      <c r="N257" s="184"/>
      <c r="O257" s="156"/>
      <c r="P257" s="156"/>
      <c r="Q257" s="156"/>
      <c r="R257" s="167"/>
      <c r="S257" s="24"/>
    </row>
    <row r="258" spans="1:19" s="25" customFormat="1" ht="15">
      <c r="A258" s="141" t="s">
        <v>477</v>
      </c>
      <c r="B258" s="194" t="s">
        <v>381</v>
      </c>
      <c r="C258" s="195">
        <v>268</v>
      </c>
      <c r="D258" s="203" t="s">
        <v>22</v>
      </c>
      <c r="E258" s="197"/>
      <c r="F258" s="196">
        <f t="shared" si="57"/>
        <v>0</v>
      </c>
      <c r="G258" s="271"/>
      <c r="H258" s="301"/>
      <c r="I258" s="33"/>
      <c r="J258" s="33"/>
      <c r="K258" s="147">
        <f t="shared" si="58"/>
        <v>0</v>
      </c>
      <c r="L258" s="34">
        <f t="shared" si="59"/>
        <v>0</v>
      </c>
      <c r="M258" s="34">
        <f t="shared" si="60"/>
        <v>0</v>
      </c>
      <c r="N258" s="184"/>
      <c r="O258" s="156"/>
      <c r="P258" s="156"/>
      <c r="Q258" s="156"/>
      <c r="R258" s="167"/>
      <c r="S258" s="24"/>
    </row>
    <row r="259" spans="1:19" s="25" customFormat="1" ht="15">
      <c r="A259" s="141" t="s">
        <v>478</v>
      </c>
      <c r="B259" s="194" t="s">
        <v>43</v>
      </c>
      <c r="C259" s="210">
        <v>4</v>
      </c>
      <c r="D259" s="212" t="s">
        <v>35</v>
      </c>
      <c r="E259" s="197"/>
      <c r="F259" s="32">
        <f t="shared" si="57"/>
        <v>0</v>
      </c>
      <c r="G259" s="271"/>
      <c r="H259" s="301"/>
      <c r="I259" s="33"/>
      <c r="J259" s="33"/>
      <c r="K259" s="147">
        <f t="shared" si="58"/>
        <v>0</v>
      </c>
      <c r="L259" s="34">
        <f t="shared" si="59"/>
        <v>0</v>
      </c>
      <c r="M259" s="34">
        <f t="shared" si="60"/>
        <v>0</v>
      </c>
      <c r="N259" s="184"/>
      <c r="O259" s="156"/>
      <c r="P259" s="156"/>
      <c r="Q259" s="156"/>
      <c r="R259" s="167"/>
      <c r="S259" s="24"/>
    </row>
    <row r="260" spans="1:19" s="25" customFormat="1" ht="15">
      <c r="A260" s="141" t="s">
        <v>479</v>
      </c>
      <c r="B260" s="194" t="s">
        <v>460</v>
      </c>
      <c r="C260" s="210">
        <v>4</v>
      </c>
      <c r="D260" s="212" t="s">
        <v>35</v>
      </c>
      <c r="E260" s="197"/>
      <c r="F260" s="32">
        <f t="shared" si="57"/>
        <v>0</v>
      </c>
      <c r="G260" s="271"/>
      <c r="H260" s="301"/>
      <c r="I260" s="33"/>
      <c r="J260" s="33"/>
      <c r="K260" s="147">
        <f t="shared" si="58"/>
        <v>0</v>
      </c>
      <c r="L260" s="34">
        <f t="shared" si="59"/>
        <v>0</v>
      </c>
      <c r="M260" s="34">
        <f t="shared" si="60"/>
        <v>0</v>
      </c>
      <c r="N260" s="184"/>
      <c r="O260" s="156"/>
      <c r="P260" s="156"/>
      <c r="Q260" s="156"/>
      <c r="R260" s="167"/>
      <c r="S260" s="24"/>
    </row>
    <row r="261" spans="1:19" s="25" customFormat="1" ht="15">
      <c r="A261" s="141" t="s">
        <v>480</v>
      </c>
      <c r="B261" s="217" t="s">
        <v>203</v>
      </c>
      <c r="C261" s="210">
        <v>79.430000000000007</v>
      </c>
      <c r="D261" s="212" t="s">
        <v>35</v>
      </c>
      <c r="E261" s="197"/>
      <c r="F261" s="32">
        <f t="shared" si="57"/>
        <v>0</v>
      </c>
      <c r="G261" s="271"/>
      <c r="H261" s="301"/>
      <c r="I261" s="33"/>
      <c r="J261" s="33"/>
      <c r="K261" s="147">
        <f t="shared" si="58"/>
        <v>0</v>
      </c>
      <c r="L261" s="34">
        <f t="shared" si="59"/>
        <v>0</v>
      </c>
      <c r="M261" s="34">
        <f t="shared" si="60"/>
        <v>0</v>
      </c>
      <c r="N261" s="184"/>
      <c r="O261" s="156"/>
      <c r="P261" s="156"/>
      <c r="Q261" s="156"/>
      <c r="R261" s="167"/>
      <c r="S261" s="24"/>
    </row>
    <row r="262" spans="1:19" s="25" customFormat="1" ht="15">
      <c r="A262" s="141" t="s">
        <v>481</v>
      </c>
      <c r="B262" s="194" t="s">
        <v>49</v>
      </c>
      <c r="C262" s="195">
        <v>117</v>
      </c>
      <c r="D262" s="203" t="s">
        <v>35</v>
      </c>
      <c r="E262" s="197"/>
      <c r="F262" s="32">
        <f t="shared" si="57"/>
        <v>0</v>
      </c>
      <c r="G262" s="271"/>
      <c r="H262" s="301"/>
      <c r="I262" s="33"/>
      <c r="J262" s="33"/>
      <c r="K262" s="147">
        <f t="shared" si="58"/>
        <v>0</v>
      </c>
      <c r="L262" s="34">
        <f t="shared" si="59"/>
        <v>0</v>
      </c>
      <c r="M262" s="34">
        <f t="shared" si="60"/>
        <v>0</v>
      </c>
      <c r="N262" s="184"/>
      <c r="O262" s="156"/>
      <c r="P262" s="156"/>
      <c r="Q262" s="156"/>
      <c r="R262" s="167"/>
      <c r="S262" s="24"/>
    </row>
    <row r="263" spans="1:19" s="25" customFormat="1" ht="15">
      <c r="A263" s="141" t="s">
        <v>481</v>
      </c>
      <c r="B263" s="248" t="s">
        <v>634</v>
      </c>
      <c r="C263" s="247">
        <v>12</v>
      </c>
      <c r="D263" s="249" t="s">
        <v>20</v>
      </c>
      <c r="E263" s="36"/>
      <c r="F263" s="32">
        <f t="shared" si="57"/>
        <v>0</v>
      </c>
      <c r="G263" s="271"/>
      <c r="H263" s="301"/>
      <c r="I263" s="33"/>
      <c r="J263" s="33"/>
      <c r="K263" s="147">
        <f t="shared" si="58"/>
        <v>0</v>
      </c>
      <c r="L263" s="34">
        <f t="shared" si="59"/>
        <v>0</v>
      </c>
      <c r="M263" s="34">
        <f t="shared" si="60"/>
        <v>0</v>
      </c>
      <c r="N263" s="184"/>
      <c r="O263" s="156"/>
      <c r="P263" s="156"/>
      <c r="Q263" s="156"/>
      <c r="R263" s="167"/>
      <c r="S263" s="24"/>
    </row>
    <row r="264" spans="1:19" s="25" customFormat="1" ht="15">
      <c r="A264" s="141" t="s">
        <v>482</v>
      </c>
      <c r="B264" s="217" t="s">
        <v>216</v>
      </c>
      <c r="C264" s="210">
        <v>3</v>
      </c>
      <c r="D264" s="216" t="s">
        <v>20</v>
      </c>
      <c r="E264" s="197"/>
      <c r="F264" s="32">
        <f t="shared" si="57"/>
        <v>0</v>
      </c>
      <c r="G264" s="271"/>
      <c r="H264" s="301"/>
      <c r="I264" s="33"/>
      <c r="J264" s="33"/>
      <c r="K264" s="147">
        <f t="shared" si="58"/>
        <v>0</v>
      </c>
      <c r="L264" s="34">
        <f t="shared" si="59"/>
        <v>0</v>
      </c>
      <c r="M264" s="34">
        <f t="shared" si="60"/>
        <v>0</v>
      </c>
      <c r="N264" s="184"/>
      <c r="O264" s="156"/>
      <c r="P264" s="156"/>
      <c r="Q264" s="156"/>
      <c r="R264" s="167"/>
      <c r="S264" s="24"/>
    </row>
    <row r="265" spans="1:19" s="25" customFormat="1" ht="15">
      <c r="A265" s="141" t="s">
        <v>483</v>
      </c>
      <c r="B265" s="198" t="s">
        <v>422</v>
      </c>
      <c r="C265" s="199">
        <v>20</v>
      </c>
      <c r="D265" s="201" t="s">
        <v>35</v>
      </c>
      <c r="E265" s="200"/>
      <c r="F265" s="32">
        <f t="shared" si="57"/>
        <v>0</v>
      </c>
      <c r="G265" s="271"/>
      <c r="H265" s="301"/>
      <c r="I265" s="33"/>
      <c r="J265" s="33"/>
      <c r="K265" s="147">
        <f t="shared" si="58"/>
        <v>0</v>
      </c>
      <c r="L265" s="34">
        <f t="shared" si="59"/>
        <v>0</v>
      </c>
      <c r="M265" s="34">
        <f t="shared" si="60"/>
        <v>0</v>
      </c>
      <c r="N265" s="184"/>
      <c r="O265" s="156"/>
      <c r="P265" s="156"/>
      <c r="Q265" s="156"/>
      <c r="R265" s="167"/>
      <c r="S265" s="24"/>
    </row>
    <row r="266" spans="1:19" s="25" customFormat="1" ht="15">
      <c r="A266" s="141" t="s">
        <v>484</v>
      </c>
      <c r="B266" s="194" t="s">
        <v>382</v>
      </c>
      <c r="C266" s="195">
        <v>39</v>
      </c>
      <c r="D266" s="203" t="s">
        <v>35</v>
      </c>
      <c r="E266" s="197"/>
      <c r="F266" s="196">
        <f t="shared" si="57"/>
        <v>0</v>
      </c>
      <c r="G266" s="271"/>
      <c r="H266" s="301"/>
      <c r="I266" s="33"/>
      <c r="J266" s="33"/>
      <c r="K266" s="147">
        <f t="shared" si="58"/>
        <v>0</v>
      </c>
      <c r="L266" s="34">
        <f t="shared" si="59"/>
        <v>0</v>
      </c>
      <c r="M266" s="34">
        <f t="shared" si="60"/>
        <v>0</v>
      </c>
      <c r="N266" s="184"/>
      <c r="O266" s="156"/>
      <c r="P266" s="156"/>
      <c r="Q266" s="156"/>
      <c r="R266" s="167"/>
      <c r="S266" s="24"/>
    </row>
    <row r="267" spans="1:19" s="25" customFormat="1" ht="15">
      <c r="A267" s="141" t="s">
        <v>485</v>
      </c>
      <c r="B267" s="194" t="s">
        <v>383</v>
      </c>
      <c r="C267" s="210">
        <v>39</v>
      </c>
      <c r="D267" s="212" t="s">
        <v>22</v>
      </c>
      <c r="E267" s="197"/>
      <c r="F267" s="32">
        <f t="shared" si="57"/>
        <v>0</v>
      </c>
      <c r="G267" s="271"/>
      <c r="H267" s="301"/>
      <c r="I267" s="33"/>
      <c r="J267" s="33"/>
      <c r="K267" s="147">
        <f t="shared" si="58"/>
        <v>0</v>
      </c>
      <c r="L267" s="34">
        <f t="shared" si="59"/>
        <v>0</v>
      </c>
      <c r="M267" s="34">
        <f t="shared" si="60"/>
        <v>0</v>
      </c>
      <c r="N267" s="184"/>
      <c r="O267" s="156"/>
      <c r="P267" s="156"/>
      <c r="Q267" s="156"/>
      <c r="R267" s="167"/>
      <c r="S267" s="24"/>
    </row>
    <row r="268" spans="1:19" s="10" customFormat="1" ht="15">
      <c r="A268" s="104" t="s">
        <v>486</v>
      </c>
      <c r="B268" s="94" t="s">
        <v>62</v>
      </c>
      <c r="C268" s="95"/>
      <c r="D268" s="96"/>
      <c r="E268" s="97"/>
      <c r="F268" s="98">
        <f>SUM(F269:F284)</f>
        <v>0</v>
      </c>
      <c r="G268" s="269"/>
      <c r="H268" s="290"/>
      <c r="I268" s="98"/>
      <c r="J268" s="98"/>
      <c r="K268" s="257"/>
      <c r="L268" s="98"/>
      <c r="M268" s="99"/>
      <c r="N268" s="100"/>
      <c r="O268" s="161"/>
      <c r="P268" s="161"/>
      <c r="Q268" s="161"/>
      <c r="R268" s="161"/>
    </row>
    <row r="269" spans="1:19" s="10" customFormat="1" ht="14.25">
      <c r="A269" s="193" t="s">
        <v>487</v>
      </c>
      <c r="B269" s="217" t="s">
        <v>198</v>
      </c>
      <c r="C269" s="210">
        <v>268</v>
      </c>
      <c r="D269" s="212" t="s">
        <v>22</v>
      </c>
      <c r="E269" s="197"/>
      <c r="F269" s="28">
        <f>E269*C269</f>
        <v>0</v>
      </c>
      <c r="G269" s="273"/>
      <c r="H269" s="294"/>
      <c r="I269" s="180"/>
      <c r="J269" s="180"/>
      <c r="K269" s="49">
        <f t="shared" ref="K269:K284" si="61">F269/4</f>
        <v>0</v>
      </c>
      <c r="L269" s="31">
        <f t="shared" ref="L269:L284" si="62">F269/4</f>
        <v>0</v>
      </c>
      <c r="M269" s="31">
        <f t="shared" ref="M269:M284" si="63">F269/4</f>
        <v>0</v>
      </c>
      <c r="N269" s="325">
        <f t="shared" ref="N269:N284" si="64">F269/4</f>
        <v>0</v>
      </c>
      <c r="O269" s="161"/>
      <c r="P269" s="161"/>
      <c r="Q269" s="161"/>
      <c r="R269" s="161"/>
    </row>
    <row r="270" spans="1:19" s="10" customFormat="1" ht="14.25">
      <c r="A270" s="193" t="s">
        <v>488</v>
      </c>
      <c r="B270" s="217" t="s">
        <v>199</v>
      </c>
      <c r="C270" s="210">
        <v>268</v>
      </c>
      <c r="D270" s="212" t="s">
        <v>22</v>
      </c>
      <c r="E270" s="197"/>
      <c r="F270" s="28">
        <f>E270*C270</f>
        <v>0</v>
      </c>
      <c r="G270" s="273"/>
      <c r="H270" s="294"/>
      <c r="I270" s="180"/>
      <c r="J270" s="180"/>
      <c r="K270" s="49">
        <f t="shared" si="61"/>
        <v>0</v>
      </c>
      <c r="L270" s="31">
        <f t="shared" si="62"/>
        <v>0</v>
      </c>
      <c r="M270" s="31">
        <f t="shared" si="63"/>
        <v>0</v>
      </c>
      <c r="N270" s="325">
        <f t="shared" si="64"/>
        <v>0</v>
      </c>
      <c r="O270" s="161"/>
      <c r="P270" s="161"/>
      <c r="Q270" s="161"/>
      <c r="R270" s="161"/>
    </row>
    <row r="271" spans="1:19" s="10" customFormat="1" ht="14.25">
      <c r="A271" s="193" t="s">
        <v>489</v>
      </c>
      <c r="B271" s="217" t="s">
        <v>253</v>
      </c>
      <c r="C271" s="210">
        <v>5</v>
      </c>
      <c r="D271" s="195" t="s">
        <v>22</v>
      </c>
      <c r="E271" s="197"/>
      <c r="F271" s="28">
        <f>C271*E271</f>
        <v>0</v>
      </c>
      <c r="G271" s="273"/>
      <c r="H271" s="294"/>
      <c r="I271" s="180"/>
      <c r="J271" s="180"/>
      <c r="K271" s="49">
        <f t="shared" si="61"/>
        <v>0</v>
      </c>
      <c r="L271" s="31">
        <f t="shared" si="62"/>
        <v>0</v>
      </c>
      <c r="M271" s="31">
        <f t="shared" si="63"/>
        <v>0</v>
      </c>
      <c r="N271" s="325">
        <f t="shared" si="64"/>
        <v>0</v>
      </c>
      <c r="O271" s="161"/>
      <c r="P271" s="161"/>
      <c r="Q271" s="161"/>
      <c r="R271" s="161"/>
    </row>
    <row r="272" spans="1:19" s="10" customFormat="1" ht="14.25">
      <c r="A272" s="193" t="s">
        <v>490</v>
      </c>
      <c r="B272" s="217" t="s">
        <v>177</v>
      </c>
      <c r="C272" s="210">
        <v>25</v>
      </c>
      <c r="D272" s="210" t="s">
        <v>35</v>
      </c>
      <c r="E272" s="197"/>
      <c r="F272" s="28">
        <f t="shared" ref="F272:F278" si="65">E272*C272</f>
        <v>0</v>
      </c>
      <c r="G272" s="273"/>
      <c r="H272" s="294"/>
      <c r="I272" s="180"/>
      <c r="J272" s="180"/>
      <c r="K272" s="49">
        <f t="shared" si="61"/>
        <v>0</v>
      </c>
      <c r="L272" s="31">
        <f t="shared" si="62"/>
        <v>0</v>
      </c>
      <c r="M272" s="31">
        <f t="shared" si="63"/>
        <v>0</v>
      </c>
      <c r="N272" s="325">
        <f t="shared" si="64"/>
        <v>0</v>
      </c>
      <c r="O272" s="161"/>
      <c r="P272" s="161"/>
      <c r="Q272" s="161"/>
      <c r="R272" s="161"/>
    </row>
    <row r="273" spans="1:19" s="10" customFormat="1" ht="14.25">
      <c r="A273" s="193" t="s">
        <v>491</v>
      </c>
      <c r="B273" s="217" t="s">
        <v>176</v>
      </c>
      <c r="C273" s="210">
        <v>30</v>
      </c>
      <c r="D273" s="210" t="s">
        <v>35</v>
      </c>
      <c r="E273" s="197"/>
      <c r="F273" s="28">
        <f t="shared" si="65"/>
        <v>0</v>
      </c>
      <c r="G273" s="273"/>
      <c r="H273" s="294"/>
      <c r="I273" s="180"/>
      <c r="J273" s="180"/>
      <c r="K273" s="49">
        <f t="shared" si="61"/>
        <v>0</v>
      </c>
      <c r="L273" s="31">
        <f t="shared" si="62"/>
        <v>0</v>
      </c>
      <c r="M273" s="31">
        <f t="shared" si="63"/>
        <v>0</v>
      </c>
      <c r="N273" s="325">
        <f t="shared" si="64"/>
        <v>0</v>
      </c>
      <c r="O273" s="161"/>
      <c r="P273" s="161"/>
      <c r="Q273" s="161"/>
      <c r="R273" s="161"/>
    </row>
    <row r="274" spans="1:19" s="10" customFormat="1" ht="14.25">
      <c r="A274" s="193" t="s">
        <v>492</v>
      </c>
      <c r="B274" s="217" t="s">
        <v>206</v>
      </c>
      <c r="C274" s="210">
        <v>300</v>
      </c>
      <c r="D274" s="210" t="s">
        <v>35</v>
      </c>
      <c r="E274" s="197"/>
      <c r="F274" s="28">
        <f t="shared" si="65"/>
        <v>0</v>
      </c>
      <c r="G274" s="273"/>
      <c r="H274" s="294"/>
      <c r="I274" s="180"/>
      <c r="J274" s="180"/>
      <c r="K274" s="49">
        <f t="shared" si="61"/>
        <v>0</v>
      </c>
      <c r="L274" s="31">
        <f t="shared" si="62"/>
        <v>0</v>
      </c>
      <c r="M274" s="31">
        <f t="shared" si="63"/>
        <v>0</v>
      </c>
      <c r="N274" s="325">
        <f t="shared" si="64"/>
        <v>0</v>
      </c>
      <c r="O274" s="161"/>
      <c r="P274" s="161"/>
      <c r="Q274" s="161"/>
      <c r="R274" s="161"/>
    </row>
    <row r="275" spans="1:19" s="10" customFormat="1" ht="14.25">
      <c r="A275" s="193" t="s">
        <v>493</v>
      </c>
      <c r="B275" s="217" t="s">
        <v>207</v>
      </c>
      <c r="C275" s="210">
        <v>600</v>
      </c>
      <c r="D275" s="210" t="s">
        <v>35</v>
      </c>
      <c r="E275" s="197"/>
      <c r="F275" s="28">
        <f t="shared" si="65"/>
        <v>0</v>
      </c>
      <c r="G275" s="273"/>
      <c r="H275" s="294"/>
      <c r="I275" s="180"/>
      <c r="J275" s="180"/>
      <c r="K275" s="49">
        <f t="shared" si="61"/>
        <v>0</v>
      </c>
      <c r="L275" s="31">
        <f t="shared" si="62"/>
        <v>0</v>
      </c>
      <c r="M275" s="31">
        <f t="shared" si="63"/>
        <v>0</v>
      </c>
      <c r="N275" s="325">
        <f t="shared" si="64"/>
        <v>0</v>
      </c>
      <c r="O275" s="161"/>
      <c r="P275" s="161"/>
      <c r="Q275" s="161"/>
      <c r="R275" s="161"/>
    </row>
    <row r="276" spans="1:19" s="10" customFormat="1" ht="14.25">
      <c r="A276" s="193" t="s">
        <v>494</v>
      </c>
      <c r="B276" s="217" t="s">
        <v>214</v>
      </c>
      <c r="C276" s="210">
        <f>0.65*4*10</f>
        <v>26</v>
      </c>
      <c r="D276" s="222" t="s">
        <v>35</v>
      </c>
      <c r="E276" s="197"/>
      <c r="F276" s="28">
        <f t="shared" si="65"/>
        <v>0</v>
      </c>
      <c r="G276" s="273"/>
      <c r="H276" s="294"/>
      <c r="I276" s="180"/>
      <c r="J276" s="180"/>
      <c r="K276" s="49">
        <f t="shared" si="61"/>
        <v>0</v>
      </c>
      <c r="L276" s="31">
        <f t="shared" si="62"/>
        <v>0</v>
      </c>
      <c r="M276" s="31">
        <f t="shared" si="63"/>
        <v>0</v>
      </c>
      <c r="N276" s="325">
        <f t="shared" si="64"/>
        <v>0</v>
      </c>
      <c r="O276" s="161"/>
      <c r="P276" s="161"/>
      <c r="Q276" s="161"/>
      <c r="R276" s="161"/>
    </row>
    <row r="277" spans="1:19" s="10" customFormat="1" ht="14.25">
      <c r="A277" s="193" t="s">
        <v>495</v>
      </c>
      <c r="B277" s="217" t="s">
        <v>215</v>
      </c>
      <c r="C277" s="210">
        <f>3*4*10</f>
        <v>120</v>
      </c>
      <c r="D277" s="222" t="s">
        <v>20</v>
      </c>
      <c r="E277" s="197"/>
      <c r="F277" s="28">
        <f t="shared" si="65"/>
        <v>0</v>
      </c>
      <c r="G277" s="273"/>
      <c r="H277" s="294"/>
      <c r="I277" s="180"/>
      <c r="J277" s="180"/>
      <c r="K277" s="49">
        <f t="shared" si="61"/>
        <v>0</v>
      </c>
      <c r="L277" s="31">
        <f t="shared" si="62"/>
        <v>0</v>
      </c>
      <c r="M277" s="31">
        <f t="shared" si="63"/>
        <v>0</v>
      </c>
      <c r="N277" s="325">
        <f t="shared" si="64"/>
        <v>0</v>
      </c>
      <c r="O277" s="161"/>
      <c r="P277" s="161"/>
      <c r="Q277" s="161"/>
      <c r="R277" s="161"/>
    </row>
    <row r="278" spans="1:19" s="25" customFormat="1" ht="14.25">
      <c r="A278" s="193" t="s">
        <v>496</v>
      </c>
      <c r="B278" s="194" t="s">
        <v>254</v>
      </c>
      <c r="C278" s="195">
        <v>120</v>
      </c>
      <c r="D278" s="222" t="s">
        <v>35</v>
      </c>
      <c r="E278" s="197"/>
      <c r="F278" s="26">
        <f t="shared" si="65"/>
        <v>0</v>
      </c>
      <c r="G278" s="271"/>
      <c r="H278" s="308"/>
      <c r="I278" s="23"/>
      <c r="J278" s="23"/>
      <c r="K278" s="49">
        <f t="shared" si="61"/>
        <v>0</v>
      </c>
      <c r="L278" s="31">
        <f t="shared" si="62"/>
        <v>0</v>
      </c>
      <c r="M278" s="31">
        <f t="shared" si="63"/>
        <v>0</v>
      </c>
      <c r="N278" s="325">
        <f t="shared" si="64"/>
        <v>0</v>
      </c>
      <c r="O278" s="162"/>
      <c r="P278" s="162"/>
      <c r="Q278" s="162"/>
      <c r="R278" s="162"/>
    </row>
    <row r="279" spans="1:19" s="25" customFormat="1" ht="14.25">
      <c r="A279" s="193" t="s">
        <v>497</v>
      </c>
      <c r="B279" s="194" t="s">
        <v>255</v>
      </c>
      <c r="C279" s="195">
        <v>24</v>
      </c>
      <c r="D279" s="222" t="s">
        <v>20</v>
      </c>
      <c r="E279" s="197"/>
      <c r="F279" s="196">
        <f>E279*C279</f>
        <v>0</v>
      </c>
      <c r="G279" s="271"/>
      <c r="H279" s="308"/>
      <c r="I279" s="23"/>
      <c r="J279" s="23"/>
      <c r="K279" s="49">
        <f t="shared" si="61"/>
        <v>0</v>
      </c>
      <c r="L279" s="31">
        <f t="shared" si="62"/>
        <v>0</v>
      </c>
      <c r="M279" s="31">
        <f t="shared" si="63"/>
        <v>0</v>
      </c>
      <c r="N279" s="325">
        <f t="shared" si="64"/>
        <v>0</v>
      </c>
      <c r="O279" s="162"/>
      <c r="P279" s="162"/>
      <c r="Q279" s="162"/>
      <c r="R279" s="162"/>
    </row>
    <row r="280" spans="1:19" s="25" customFormat="1" ht="14.25">
      <c r="A280" s="193" t="s">
        <v>498</v>
      </c>
      <c r="B280" s="194" t="s">
        <v>256</v>
      </c>
      <c r="C280" s="195">
        <v>24</v>
      </c>
      <c r="D280" s="222" t="s">
        <v>20</v>
      </c>
      <c r="E280" s="197"/>
      <c r="F280" s="196">
        <f t="shared" ref="F280:F281" si="66">E280*C280</f>
        <v>0</v>
      </c>
      <c r="G280" s="271"/>
      <c r="H280" s="308"/>
      <c r="I280" s="23"/>
      <c r="J280" s="23"/>
      <c r="K280" s="49">
        <f t="shared" si="61"/>
        <v>0</v>
      </c>
      <c r="L280" s="31">
        <f t="shared" si="62"/>
        <v>0</v>
      </c>
      <c r="M280" s="31">
        <f t="shared" si="63"/>
        <v>0</v>
      </c>
      <c r="N280" s="325">
        <f t="shared" si="64"/>
        <v>0</v>
      </c>
      <c r="O280" s="162"/>
      <c r="P280" s="162"/>
      <c r="Q280" s="162"/>
      <c r="R280" s="162"/>
    </row>
    <row r="281" spans="1:19" s="25" customFormat="1" ht="14.25">
      <c r="A281" s="193" t="s">
        <v>499</v>
      </c>
      <c r="B281" s="194" t="s">
        <v>257</v>
      </c>
      <c r="C281" s="195">
        <v>24</v>
      </c>
      <c r="D281" s="222" t="s">
        <v>20</v>
      </c>
      <c r="E281" s="197"/>
      <c r="F281" s="196">
        <f t="shared" si="66"/>
        <v>0</v>
      </c>
      <c r="G281" s="271"/>
      <c r="H281" s="308"/>
      <c r="I281" s="23"/>
      <c r="J281" s="23"/>
      <c r="K281" s="49">
        <f t="shared" si="61"/>
        <v>0</v>
      </c>
      <c r="L281" s="31">
        <f t="shared" si="62"/>
        <v>0</v>
      </c>
      <c r="M281" s="31">
        <f t="shared" si="63"/>
        <v>0</v>
      </c>
      <c r="N281" s="325">
        <f t="shared" si="64"/>
        <v>0</v>
      </c>
      <c r="O281" s="162"/>
      <c r="P281" s="162"/>
      <c r="Q281" s="162"/>
      <c r="R281" s="162"/>
    </row>
    <row r="282" spans="1:19" s="10" customFormat="1" ht="14.25">
      <c r="A282" s="193" t="s">
        <v>500</v>
      </c>
      <c r="B282" s="211" t="s">
        <v>70</v>
      </c>
      <c r="C282" s="210">
        <v>10</v>
      </c>
      <c r="D282" s="212" t="s">
        <v>59</v>
      </c>
      <c r="E282" s="197"/>
      <c r="F282" s="197">
        <f>C282*E282</f>
        <v>0</v>
      </c>
      <c r="G282" s="273"/>
      <c r="H282" s="294"/>
      <c r="I282" s="180"/>
      <c r="J282" s="180"/>
      <c r="K282" s="49">
        <f t="shared" si="61"/>
        <v>0</v>
      </c>
      <c r="L282" s="31">
        <f t="shared" si="62"/>
        <v>0</v>
      </c>
      <c r="M282" s="31">
        <f t="shared" si="63"/>
        <v>0</v>
      </c>
      <c r="N282" s="325">
        <f t="shared" si="64"/>
        <v>0</v>
      </c>
      <c r="O282" s="161"/>
      <c r="P282" s="161"/>
      <c r="Q282" s="161"/>
      <c r="R282" s="161"/>
    </row>
    <row r="283" spans="1:19" s="10" customFormat="1" ht="14.25">
      <c r="A283" s="193" t="s">
        <v>501</v>
      </c>
      <c r="B283" s="211" t="s">
        <v>72</v>
      </c>
      <c r="C283" s="210">
        <v>7</v>
      </c>
      <c r="D283" s="212" t="s">
        <v>59</v>
      </c>
      <c r="E283" s="197"/>
      <c r="F283" s="197">
        <f>C283*E283</f>
        <v>0</v>
      </c>
      <c r="G283" s="273"/>
      <c r="H283" s="294"/>
      <c r="I283" s="180"/>
      <c r="J283" s="180"/>
      <c r="K283" s="49">
        <f t="shared" si="61"/>
        <v>0</v>
      </c>
      <c r="L283" s="31">
        <f t="shared" si="62"/>
        <v>0</v>
      </c>
      <c r="M283" s="31">
        <f t="shared" si="63"/>
        <v>0</v>
      </c>
      <c r="N283" s="325">
        <f t="shared" si="64"/>
        <v>0</v>
      </c>
      <c r="O283" s="161"/>
      <c r="P283" s="161"/>
      <c r="Q283" s="161"/>
      <c r="R283" s="161"/>
    </row>
    <row r="284" spans="1:19" s="10" customFormat="1" ht="14.25">
      <c r="A284" s="193" t="s">
        <v>502</v>
      </c>
      <c r="B284" s="211" t="s">
        <v>74</v>
      </c>
      <c r="C284" s="210">
        <v>7</v>
      </c>
      <c r="D284" s="212" t="s">
        <v>59</v>
      </c>
      <c r="E284" s="197"/>
      <c r="F284" s="197">
        <f>C284*E284</f>
        <v>0</v>
      </c>
      <c r="G284" s="273"/>
      <c r="H284" s="294"/>
      <c r="I284" s="180"/>
      <c r="J284" s="180"/>
      <c r="K284" s="49">
        <f t="shared" si="61"/>
        <v>0</v>
      </c>
      <c r="L284" s="31">
        <f t="shared" si="62"/>
        <v>0</v>
      </c>
      <c r="M284" s="31">
        <f t="shared" si="63"/>
        <v>0</v>
      </c>
      <c r="N284" s="325">
        <f t="shared" si="64"/>
        <v>0</v>
      </c>
      <c r="O284" s="161"/>
      <c r="P284" s="161"/>
      <c r="Q284" s="161"/>
      <c r="R284" s="161"/>
    </row>
    <row r="285" spans="1:19" s="25" customFormat="1" ht="15">
      <c r="A285" s="137" t="s">
        <v>503</v>
      </c>
      <c r="B285" s="138" t="s">
        <v>384</v>
      </c>
      <c r="C285" s="143"/>
      <c r="D285" s="144"/>
      <c r="E285" s="139"/>
      <c r="F285" s="140">
        <f>SUM(F286:F291)</f>
        <v>0</v>
      </c>
      <c r="G285" s="284"/>
      <c r="H285" s="307"/>
      <c r="I285" s="140"/>
      <c r="J285" s="140"/>
      <c r="K285" s="140"/>
      <c r="L285" s="145"/>
      <c r="M285" s="140"/>
      <c r="N285" s="331"/>
      <c r="O285" s="259"/>
      <c r="P285" s="259"/>
      <c r="Q285" s="259"/>
      <c r="R285" s="260"/>
      <c r="S285" s="261"/>
    </row>
    <row r="286" spans="1:19" s="25" customFormat="1" ht="15">
      <c r="A286" s="141" t="s">
        <v>504</v>
      </c>
      <c r="B286" s="194" t="s">
        <v>77</v>
      </c>
      <c r="C286" s="202">
        <f>90.8</f>
        <v>90.8</v>
      </c>
      <c r="D286" s="213" t="s">
        <v>35</v>
      </c>
      <c r="E286" s="207"/>
      <c r="F286" s="197">
        <f t="shared" ref="F286:F291" si="67">C286*E286</f>
        <v>0</v>
      </c>
      <c r="G286" s="271"/>
      <c r="H286" s="301"/>
      <c r="I286" s="33"/>
      <c r="J286" s="33"/>
      <c r="K286" s="23"/>
      <c r="L286" s="34">
        <f t="shared" ref="L286:L291" si="68">F286/3</f>
        <v>0</v>
      </c>
      <c r="M286" s="147">
        <f t="shared" ref="M286:M291" si="69">F286/3</f>
        <v>0</v>
      </c>
      <c r="N286" s="332">
        <f t="shared" ref="N286:N291" si="70">F286/3</f>
        <v>0</v>
      </c>
      <c r="O286" s="156"/>
      <c r="P286" s="156"/>
      <c r="Q286" s="156"/>
      <c r="R286" s="167"/>
      <c r="S286" s="24"/>
    </row>
    <row r="287" spans="1:19" s="25" customFormat="1" ht="15">
      <c r="A287" s="141" t="s">
        <v>505</v>
      </c>
      <c r="B287" s="194" t="s">
        <v>385</v>
      </c>
      <c r="C287" s="233">
        <f>246.8*20%</f>
        <v>49.360000000000007</v>
      </c>
      <c r="D287" s="203" t="s">
        <v>22</v>
      </c>
      <c r="E287" s="197"/>
      <c r="F287" s="32">
        <f t="shared" si="67"/>
        <v>0</v>
      </c>
      <c r="G287" s="271"/>
      <c r="H287" s="301"/>
      <c r="I287" s="33"/>
      <c r="J287" s="33"/>
      <c r="K287" s="23"/>
      <c r="L287" s="34">
        <f t="shared" si="68"/>
        <v>0</v>
      </c>
      <c r="M287" s="147">
        <f t="shared" si="69"/>
        <v>0</v>
      </c>
      <c r="N287" s="332">
        <f t="shared" si="70"/>
        <v>0</v>
      </c>
      <c r="O287" s="156"/>
      <c r="P287" s="156"/>
      <c r="Q287" s="156"/>
      <c r="R287" s="167"/>
      <c r="S287" s="24"/>
    </row>
    <row r="288" spans="1:19" s="25" customFormat="1" ht="15">
      <c r="A288" s="141" t="s">
        <v>506</v>
      </c>
      <c r="B288" s="194" t="s">
        <v>386</v>
      </c>
      <c r="C288" s="195">
        <v>246.8</v>
      </c>
      <c r="D288" s="203" t="s">
        <v>22</v>
      </c>
      <c r="E288" s="196"/>
      <c r="F288" s="197">
        <f t="shared" si="67"/>
        <v>0</v>
      </c>
      <c r="G288" s="271"/>
      <c r="H288" s="301"/>
      <c r="I288" s="33"/>
      <c r="J288" s="33"/>
      <c r="K288" s="23"/>
      <c r="L288" s="34">
        <f t="shared" si="68"/>
        <v>0</v>
      </c>
      <c r="M288" s="147">
        <f t="shared" si="69"/>
        <v>0</v>
      </c>
      <c r="N288" s="332">
        <f t="shared" si="70"/>
        <v>0</v>
      </c>
      <c r="O288" s="156"/>
      <c r="P288" s="156"/>
      <c r="Q288" s="156"/>
      <c r="R288" s="167"/>
      <c r="S288" s="24"/>
    </row>
    <row r="289" spans="1:19" s="25" customFormat="1" ht="15">
      <c r="A289" s="141" t="s">
        <v>507</v>
      </c>
      <c r="B289" s="217" t="s">
        <v>234</v>
      </c>
      <c r="C289" s="195">
        <v>246.8</v>
      </c>
      <c r="D289" s="212" t="s">
        <v>22</v>
      </c>
      <c r="E289" s="197"/>
      <c r="F289" s="28">
        <f>C289*E289</f>
        <v>0</v>
      </c>
      <c r="G289" s="271"/>
      <c r="H289" s="301"/>
      <c r="I289" s="33"/>
      <c r="J289" s="33"/>
      <c r="K289" s="23"/>
      <c r="L289" s="34">
        <f t="shared" si="68"/>
        <v>0</v>
      </c>
      <c r="M289" s="147">
        <f t="shared" si="69"/>
        <v>0</v>
      </c>
      <c r="N289" s="332">
        <f t="shared" si="70"/>
        <v>0</v>
      </c>
      <c r="O289" s="156"/>
      <c r="P289" s="156"/>
      <c r="Q289" s="156"/>
      <c r="R289" s="167"/>
      <c r="S289" s="24"/>
    </row>
    <row r="290" spans="1:19" s="25" customFormat="1" ht="15">
      <c r="A290" s="141" t="s">
        <v>508</v>
      </c>
      <c r="B290" s="217" t="s">
        <v>205</v>
      </c>
      <c r="C290" s="210">
        <v>246.8</v>
      </c>
      <c r="D290" s="212" t="s">
        <v>22</v>
      </c>
      <c r="E290" s="197"/>
      <c r="F290" s="197">
        <f t="shared" ref="F290" si="71">C290*E290</f>
        <v>0</v>
      </c>
      <c r="G290" s="271"/>
      <c r="H290" s="301"/>
      <c r="I290" s="33"/>
      <c r="J290" s="33"/>
      <c r="K290" s="23"/>
      <c r="L290" s="34">
        <f t="shared" si="68"/>
        <v>0</v>
      </c>
      <c r="M290" s="147">
        <f t="shared" si="69"/>
        <v>0</v>
      </c>
      <c r="N290" s="332">
        <f t="shared" si="70"/>
        <v>0</v>
      </c>
      <c r="O290" s="156"/>
      <c r="P290" s="156"/>
      <c r="Q290" s="156"/>
      <c r="R290" s="167"/>
      <c r="S290" s="24"/>
    </row>
    <row r="291" spans="1:19" s="25" customFormat="1" ht="15">
      <c r="A291" s="141" t="s">
        <v>509</v>
      </c>
      <c r="B291" s="206" t="s">
        <v>80</v>
      </c>
      <c r="C291" s="195">
        <v>246.8</v>
      </c>
      <c r="D291" s="213" t="s">
        <v>22</v>
      </c>
      <c r="E291" s="207"/>
      <c r="F291" s="197">
        <f t="shared" si="67"/>
        <v>0</v>
      </c>
      <c r="G291" s="271"/>
      <c r="H291" s="301"/>
      <c r="I291" s="33"/>
      <c r="J291" s="33"/>
      <c r="K291" s="23"/>
      <c r="L291" s="34">
        <f t="shared" si="68"/>
        <v>0</v>
      </c>
      <c r="M291" s="147">
        <f t="shared" si="69"/>
        <v>0</v>
      </c>
      <c r="N291" s="332">
        <f t="shared" si="70"/>
        <v>0</v>
      </c>
      <c r="O291" s="156"/>
      <c r="P291" s="156"/>
      <c r="Q291" s="156"/>
      <c r="R291" s="167"/>
      <c r="S291" s="24"/>
    </row>
    <row r="292" spans="1:19" s="433" customFormat="1" ht="18" customHeight="1">
      <c r="A292" s="487" t="s">
        <v>589</v>
      </c>
      <c r="B292" s="488"/>
      <c r="C292" s="425"/>
      <c r="D292" s="426"/>
      <c r="E292" s="427"/>
      <c r="F292" s="427"/>
      <c r="G292" s="428">
        <f>SUM(F293:F297)</f>
        <v>0</v>
      </c>
      <c r="H292" s="429">
        <f t="shared" ref="H292:N292" si="72">SUM(H293:H297)</f>
        <v>0</v>
      </c>
      <c r="I292" s="430">
        <f t="shared" si="72"/>
        <v>0</v>
      </c>
      <c r="J292" s="430">
        <f t="shared" si="72"/>
        <v>0</v>
      </c>
      <c r="K292" s="430">
        <f t="shared" si="72"/>
        <v>0</v>
      </c>
      <c r="L292" s="430">
        <f t="shared" si="72"/>
        <v>0</v>
      </c>
      <c r="M292" s="430">
        <f t="shared" si="72"/>
        <v>0</v>
      </c>
      <c r="N292" s="431">
        <f t="shared" si="72"/>
        <v>0</v>
      </c>
      <c r="O292" s="432"/>
      <c r="P292" s="432"/>
    </row>
    <row r="293" spans="1:19" s="242" customFormat="1" ht="14.25">
      <c r="A293" s="183" t="s">
        <v>574</v>
      </c>
      <c r="B293" s="243" t="s">
        <v>513</v>
      </c>
      <c r="C293" s="244">
        <v>4.5</v>
      </c>
      <c r="D293" s="245" t="s">
        <v>123</v>
      </c>
      <c r="E293" s="36"/>
      <c r="F293" s="158">
        <f>E293*C293</f>
        <v>0</v>
      </c>
      <c r="G293" s="282"/>
      <c r="H293" s="304"/>
      <c r="I293" s="181"/>
      <c r="J293" s="181"/>
      <c r="K293" s="256"/>
      <c r="L293" s="182">
        <f>F293/2</f>
        <v>0</v>
      </c>
      <c r="M293" s="246">
        <f>F293/2</f>
        <v>0</v>
      </c>
      <c r="N293" s="333"/>
      <c r="O293" s="240"/>
      <c r="P293" s="241"/>
    </row>
    <row r="294" spans="1:19" s="242" customFormat="1" ht="14.25">
      <c r="A294" s="183" t="s">
        <v>576</v>
      </c>
      <c r="B294" s="243" t="s">
        <v>514</v>
      </c>
      <c r="C294" s="244">
        <v>84.57</v>
      </c>
      <c r="D294" s="245" t="s">
        <v>22</v>
      </c>
      <c r="E294" s="36"/>
      <c r="F294" s="158">
        <f>E294*C294</f>
        <v>0</v>
      </c>
      <c r="G294" s="282"/>
      <c r="H294" s="304"/>
      <c r="I294" s="181"/>
      <c r="J294" s="181"/>
      <c r="K294" s="256"/>
      <c r="L294" s="182">
        <f t="shared" ref="L294:L297" si="73">F294/2</f>
        <v>0</v>
      </c>
      <c r="M294" s="246">
        <f t="shared" ref="M294:M297" si="74">F294/2</f>
        <v>0</v>
      </c>
      <c r="N294" s="333"/>
      <c r="O294" s="240"/>
      <c r="P294" s="241"/>
    </row>
    <row r="295" spans="1:19" s="242" customFormat="1" ht="15" customHeight="1">
      <c r="A295" s="183" t="s">
        <v>590</v>
      </c>
      <c r="B295" s="243" t="s">
        <v>515</v>
      </c>
      <c r="C295" s="244">
        <v>38</v>
      </c>
      <c r="D295" s="245" t="s">
        <v>35</v>
      </c>
      <c r="E295" s="36"/>
      <c r="F295" s="158">
        <f>E295*C295</f>
        <v>0</v>
      </c>
      <c r="G295" s="282"/>
      <c r="H295" s="304"/>
      <c r="I295" s="181"/>
      <c r="J295" s="181"/>
      <c r="K295" s="256"/>
      <c r="L295" s="182">
        <f t="shared" si="73"/>
        <v>0</v>
      </c>
      <c r="M295" s="246">
        <f t="shared" si="74"/>
        <v>0</v>
      </c>
      <c r="N295" s="333"/>
      <c r="O295" s="240"/>
      <c r="P295" s="241"/>
    </row>
    <row r="296" spans="1:19" s="242" customFormat="1" ht="15" customHeight="1">
      <c r="A296" s="183" t="s">
        <v>591</v>
      </c>
      <c r="B296" s="243" t="s">
        <v>516</v>
      </c>
      <c r="C296" s="244">
        <v>14.3</v>
      </c>
      <c r="D296" s="245" t="s">
        <v>22</v>
      </c>
      <c r="E296" s="36"/>
      <c r="F296" s="158">
        <f>E296*C296</f>
        <v>0</v>
      </c>
      <c r="G296" s="282"/>
      <c r="H296" s="304"/>
      <c r="I296" s="181"/>
      <c r="J296" s="181"/>
      <c r="K296" s="256"/>
      <c r="L296" s="182">
        <f t="shared" si="73"/>
        <v>0</v>
      </c>
      <c r="M296" s="246">
        <f t="shared" si="74"/>
        <v>0</v>
      </c>
      <c r="N296" s="333"/>
      <c r="O296" s="240"/>
      <c r="P296" s="241"/>
    </row>
    <row r="297" spans="1:19" s="252" customFormat="1" ht="15" customHeight="1">
      <c r="A297" s="183" t="s">
        <v>592</v>
      </c>
      <c r="B297" s="248" t="s">
        <v>517</v>
      </c>
      <c r="C297" s="247">
        <v>5</v>
      </c>
      <c r="D297" s="249" t="s">
        <v>22</v>
      </c>
      <c r="E297" s="36"/>
      <c r="F297" s="158">
        <f>E297*C297</f>
        <v>0</v>
      </c>
      <c r="G297" s="282"/>
      <c r="H297" s="304"/>
      <c r="I297" s="181"/>
      <c r="J297" s="181"/>
      <c r="K297" s="255"/>
      <c r="L297" s="182">
        <f t="shared" si="73"/>
        <v>0</v>
      </c>
      <c r="M297" s="246">
        <f t="shared" si="74"/>
        <v>0</v>
      </c>
      <c r="N297" s="333"/>
      <c r="O297" s="250"/>
      <c r="P297" s="251"/>
    </row>
    <row r="298" spans="1:19" s="441" customFormat="1" ht="15">
      <c r="A298" s="487" t="s">
        <v>593</v>
      </c>
      <c r="B298" s="488"/>
      <c r="C298" s="434"/>
      <c r="D298" s="435"/>
      <c r="E298" s="425"/>
      <c r="F298" s="425"/>
      <c r="G298" s="428">
        <f>SUM(F299:F301)</f>
        <v>0</v>
      </c>
      <c r="H298" s="436">
        <f t="shared" ref="H298:N298" si="75">SUM(H299:H301)</f>
        <v>0</v>
      </c>
      <c r="I298" s="437">
        <f t="shared" si="75"/>
        <v>0</v>
      </c>
      <c r="J298" s="437">
        <f t="shared" si="75"/>
        <v>0</v>
      </c>
      <c r="K298" s="437">
        <f t="shared" si="75"/>
        <v>0</v>
      </c>
      <c r="L298" s="437">
        <f t="shared" si="75"/>
        <v>0</v>
      </c>
      <c r="M298" s="437">
        <f t="shared" si="75"/>
        <v>0</v>
      </c>
      <c r="N298" s="438">
        <f t="shared" si="75"/>
        <v>0</v>
      </c>
      <c r="O298" s="439"/>
      <c r="P298" s="440"/>
    </row>
    <row r="299" spans="1:19" s="252" customFormat="1" ht="14.25">
      <c r="A299" s="183" t="s">
        <v>523</v>
      </c>
      <c r="B299" s="243" t="s">
        <v>518</v>
      </c>
      <c r="C299" s="244">
        <f>573.13</f>
        <v>573.13</v>
      </c>
      <c r="D299" s="245" t="s">
        <v>22</v>
      </c>
      <c r="E299" s="36"/>
      <c r="F299" s="158">
        <f>E299*C299</f>
        <v>0</v>
      </c>
      <c r="G299" s="282"/>
      <c r="H299" s="304"/>
      <c r="I299" s="181"/>
      <c r="J299" s="181"/>
      <c r="K299" s="181"/>
      <c r="L299" s="253"/>
      <c r="M299" s="264">
        <f>F299/2</f>
        <v>0</v>
      </c>
      <c r="N299" s="334">
        <f>F299/2</f>
        <v>0</v>
      </c>
      <c r="O299" s="254"/>
      <c r="P299" s="251"/>
    </row>
    <row r="300" spans="1:19" s="252" customFormat="1" ht="14.25">
      <c r="A300" s="183" t="s">
        <v>524</v>
      </c>
      <c r="B300" s="243" t="s">
        <v>519</v>
      </c>
      <c r="C300" s="244">
        <v>1146.26</v>
      </c>
      <c r="D300" s="245" t="s">
        <v>22</v>
      </c>
      <c r="E300" s="36"/>
      <c r="F300" s="158">
        <f>E300*C300</f>
        <v>0</v>
      </c>
      <c r="G300" s="282"/>
      <c r="H300" s="304"/>
      <c r="I300" s="181"/>
      <c r="J300" s="181"/>
      <c r="K300" s="181"/>
      <c r="L300" s="253"/>
      <c r="M300" s="264">
        <f t="shared" ref="M300:M301" si="76">F300/2</f>
        <v>0</v>
      </c>
      <c r="N300" s="334">
        <f t="shared" ref="N300:N301" si="77">F300/2</f>
        <v>0</v>
      </c>
      <c r="O300" s="254"/>
      <c r="P300" s="251"/>
    </row>
    <row r="301" spans="1:19" s="252" customFormat="1" ht="14.25">
      <c r="A301" s="183" t="s">
        <v>525</v>
      </c>
      <c r="B301" s="243" t="s">
        <v>520</v>
      </c>
      <c r="C301" s="244">
        <v>1146.26</v>
      </c>
      <c r="D301" s="245" t="s">
        <v>22</v>
      </c>
      <c r="E301" s="36"/>
      <c r="F301" s="158">
        <f>E301*C301</f>
        <v>0</v>
      </c>
      <c r="G301" s="282"/>
      <c r="H301" s="304"/>
      <c r="I301" s="181"/>
      <c r="J301" s="181"/>
      <c r="K301" s="181"/>
      <c r="L301" s="253"/>
      <c r="M301" s="264">
        <f t="shared" si="76"/>
        <v>0</v>
      </c>
      <c r="N301" s="334">
        <f t="shared" si="77"/>
        <v>0</v>
      </c>
      <c r="O301" s="254"/>
      <c r="P301" s="251"/>
    </row>
    <row r="302" spans="1:19" s="415" customFormat="1" ht="15">
      <c r="A302" s="464" t="s">
        <v>594</v>
      </c>
      <c r="B302" s="404"/>
      <c r="C302" s="405"/>
      <c r="D302" s="406"/>
      <c r="E302" s="407"/>
      <c r="F302" s="410"/>
      <c r="G302" s="408">
        <f>F303+F308</f>
        <v>0</v>
      </c>
      <c r="H302" s="409">
        <f>SUM(H303:H314)</f>
        <v>0</v>
      </c>
      <c r="I302" s="410">
        <f t="shared" ref="I302:N302" si="78">SUM(I303:I314)</f>
        <v>0</v>
      </c>
      <c r="J302" s="410">
        <f t="shared" si="78"/>
        <v>0</v>
      </c>
      <c r="K302" s="410">
        <f t="shared" si="78"/>
        <v>0</v>
      </c>
      <c r="L302" s="410">
        <f t="shared" si="78"/>
        <v>0</v>
      </c>
      <c r="M302" s="410">
        <f t="shared" si="78"/>
        <v>0</v>
      </c>
      <c r="N302" s="411">
        <f t="shared" si="78"/>
        <v>0</v>
      </c>
      <c r="O302" s="412"/>
      <c r="P302" s="412"/>
      <c r="Q302" s="412"/>
      <c r="R302" s="413"/>
      <c r="S302" s="414"/>
    </row>
    <row r="303" spans="1:19" s="10" customFormat="1" ht="15">
      <c r="A303" s="104" t="s">
        <v>510</v>
      </c>
      <c r="B303" s="267" t="s">
        <v>573</v>
      </c>
      <c r="C303" s="97"/>
      <c r="D303" s="108"/>
      <c r="E303" s="109"/>
      <c r="F303" s="98">
        <f>SUM(F304:F307)</f>
        <v>0</v>
      </c>
      <c r="G303" s="275"/>
      <c r="H303" s="296"/>
      <c r="I303" s="110"/>
      <c r="J303" s="110"/>
      <c r="K303" s="111"/>
      <c r="L303" s="111"/>
      <c r="M303" s="110"/>
      <c r="N303" s="323"/>
    </row>
    <row r="304" spans="1:19" s="10" customFormat="1" ht="14.25">
      <c r="A304" s="39" t="s">
        <v>595</v>
      </c>
      <c r="B304" s="206" t="s">
        <v>99</v>
      </c>
      <c r="C304" s="202">
        <v>58.4</v>
      </c>
      <c r="D304" s="213" t="s">
        <v>22</v>
      </c>
      <c r="E304" s="207"/>
      <c r="F304" s="43">
        <f>E304*C304</f>
        <v>0</v>
      </c>
      <c r="G304" s="273"/>
      <c r="H304" s="298"/>
      <c r="I304" s="40"/>
      <c r="J304" s="40"/>
      <c r="K304" s="40"/>
      <c r="L304" s="180"/>
      <c r="M304" s="180"/>
      <c r="N304" s="88">
        <f>F304</f>
        <v>0</v>
      </c>
    </row>
    <row r="305" spans="1:19" s="10" customFormat="1" ht="14.25">
      <c r="A305" s="39" t="s">
        <v>596</v>
      </c>
      <c r="B305" s="206" t="s">
        <v>315</v>
      </c>
      <c r="C305" s="202">
        <v>58.4</v>
      </c>
      <c r="D305" s="213" t="s">
        <v>22</v>
      </c>
      <c r="E305" s="207"/>
      <c r="F305" s="43">
        <f>E305*C305</f>
        <v>0</v>
      </c>
      <c r="G305" s="273"/>
      <c r="H305" s="298"/>
      <c r="I305" s="40"/>
      <c r="J305" s="40"/>
      <c r="K305" s="40"/>
      <c r="L305" s="180"/>
      <c r="M305" s="180"/>
      <c r="N305" s="88">
        <f>F305</f>
        <v>0</v>
      </c>
    </row>
    <row r="306" spans="1:19" s="10" customFormat="1" ht="14.25">
      <c r="A306" s="39" t="s">
        <v>597</v>
      </c>
      <c r="B306" s="217" t="s">
        <v>351</v>
      </c>
      <c r="C306" s="202">
        <v>58.4</v>
      </c>
      <c r="D306" s="212" t="s">
        <v>22</v>
      </c>
      <c r="E306" s="197"/>
      <c r="F306" s="197">
        <f>C306*E306</f>
        <v>0</v>
      </c>
      <c r="G306" s="273"/>
      <c r="H306" s="298"/>
      <c r="I306" s="40"/>
      <c r="J306" s="40"/>
      <c r="K306" s="40"/>
      <c r="L306" s="180"/>
      <c r="M306" s="180"/>
      <c r="N306" s="88">
        <f>F306</f>
        <v>0</v>
      </c>
    </row>
    <row r="307" spans="1:19" s="10" customFormat="1" ht="14.25">
      <c r="A307" s="39" t="s">
        <v>598</v>
      </c>
      <c r="B307" s="194" t="s">
        <v>577</v>
      </c>
      <c r="C307" s="202">
        <f>58.4*0.5</f>
        <v>29.2</v>
      </c>
      <c r="D307" s="212" t="s">
        <v>22</v>
      </c>
      <c r="E307" s="197"/>
      <c r="F307" s="197">
        <f>C307*E307</f>
        <v>0</v>
      </c>
      <c r="G307" s="273"/>
      <c r="H307" s="298"/>
      <c r="I307" s="40"/>
      <c r="J307" s="40"/>
      <c r="K307" s="40"/>
      <c r="L307" s="180"/>
      <c r="M307" s="180"/>
      <c r="N307" s="88">
        <f>F307</f>
        <v>0</v>
      </c>
    </row>
    <row r="308" spans="1:19" s="10" customFormat="1" ht="15">
      <c r="A308" s="104" t="s">
        <v>511</v>
      </c>
      <c r="B308" s="267" t="s">
        <v>575</v>
      </c>
      <c r="C308" s="97"/>
      <c r="D308" s="108"/>
      <c r="E308" s="109"/>
      <c r="F308" s="98">
        <f>SUM(F309:F314)</f>
        <v>0</v>
      </c>
      <c r="G308" s="275"/>
      <c r="H308" s="296"/>
      <c r="I308" s="110"/>
      <c r="J308" s="110"/>
      <c r="K308" s="111"/>
      <c r="L308" s="111"/>
      <c r="M308" s="110"/>
      <c r="N308" s="323"/>
    </row>
    <row r="309" spans="1:19" s="25" customFormat="1" ht="50.25" customHeight="1">
      <c r="A309" s="193" t="s">
        <v>599</v>
      </c>
      <c r="B309" s="194" t="s">
        <v>373</v>
      </c>
      <c r="C309" s="202">
        <v>410</v>
      </c>
      <c r="D309" s="207" t="s">
        <v>22</v>
      </c>
      <c r="E309" s="207"/>
      <c r="F309" s="196">
        <f t="shared" ref="F309:F314" si="79">E309*C309</f>
        <v>0</v>
      </c>
      <c r="G309" s="271"/>
      <c r="H309" s="301"/>
      <c r="I309" s="33"/>
      <c r="J309" s="33"/>
      <c r="K309" s="33"/>
      <c r="L309" s="34">
        <f>F309/2</f>
        <v>0</v>
      </c>
      <c r="M309" s="34">
        <f>F309/2</f>
        <v>0</v>
      </c>
      <c r="N309" s="335"/>
      <c r="O309" s="162"/>
      <c r="P309" s="162"/>
      <c r="Q309" s="162"/>
      <c r="R309" s="167"/>
      <c r="S309" s="24"/>
    </row>
    <row r="310" spans="1:19" s="25" customFormat="1" ht="15">
      <c r="A310" s="193" t="s">
        <v>600</v>
      </c>
      <c r="B310" s="198" t="s">
        <v>412</v>
      </c>
      <c r="C310" s="202">
        <v>3</v>
      </c>
      <c r="D310" s="207" t="s">
        <v>123</v>
      </c>
      <c r="E310" s="207"/>
      <c r="F310" s="196">
        <f t="shared" si="79"/>
        <v>0</v>
      </c>
      <c r="G310" s="285"/>
      <c r="H310" s="301"/>
      <c r="I310" s="33"/>
      <c r="J310" s="33"/>
      <c r="K310" s="33"/>
      <c r="L310" s="34">
        <f t="shared" ref="L310:L314" si="80">F310/2</f>
        <v>0</v>
      </c>
      <c r="M310" s="34">
        <f t="shared" ref="M310:M314" si="81">F310/2</f>
        <v>0</v>
      </c>
      <c r="N310" s="335"/>
      <c r="O310" s="162"/>
      <c r="P310" s="162"/>
      <c r="Q310" s="162"/>
      <c r="R310" s="167"/>
      <c r="S310" s="24"/>
    </row>
    <row r="311" spans="1:19" s="25" customFormat="1" ht="15">
      <c r="A311" s="193" t="s">
        <v>601</v>
      </c>
      <c r="B311" s="198" t="s">
        <v>526</v>
      </c>
      <c r="C311" s="202">
        <v>10</v>
      </c>
      <c r="D311" s="207" t="s">
        <v>123</v>
      </c>
      <c r="E311" s="207"/>
      <c r="F311" s="196">
        <f t="shared" si="79"/>
        <v>0</v>
      </c>
      <c r="G311" s="285"/>
      <c r="H311" s="301"/>
      <c r="I311" s="33"/>
      <c r="J311" s="33"/>
      <c r="K311" s="33"/>
      <c r="L311" s="34">
        <f t="shared" si="80"/>
        <v>0</v>
      </c>
      <c r="M311" s="34">
        <f t="shared" si="81"/>
        <v>0</v>
      </c>
      <c r="N311" s="335"/>
      <c r="O311" s="162"/>
      <c r="P311" s="162"/>
      <c r="Q311" s="162"/>
      <c r="R311" s="167"/>
      <c r="S311" s="24"/>
    </row>
    <row r="312" spans="1:19" s="25" customFormat="1" ht="15">
      <c r="A312" s="193" t="s">
        <v>602</v>
      </c>
      <c r="B312" s="198" t="s">
        <v>528</v>
      </c>
      <c r="C312" s="202">
        <v>10</v>
      </c>
      <c r="D312" s="207" t="s">
        <v>527</v>
      </c>
      <c r="E312" s="207"/>
      <c r="F312" s="196">
        <f t="shared" si="79"/>
        <v>0</v>
      </c>
      <c r="G312" s="285"/>
      <c r="H312" s="301"/>
      <c r="I312" s="33"/>
      <c r="J312" s="33"/>
      <c r="K312" s="33"/>
      <c r="L312" s="34">
        <f t="shared" si="80"/>
        <v>0</v>
      </c>
      <c r="M312" s="34">
        <f t="shared" si="81"/>
        <v>0</v>
      </c>
      <c r="N312" s="335"/>
      <c r="O312" s="162"/>
      <c r="P312" s="162"/>
      <c r="Q312" s="162"/>
      <c r="R312" s="167"/>
      <c r="S312" s="24"/>
    </row>
    <row r="313" spans="1:19" s="25" customFormat="1" ht="15">
      <c r="A313" s="193" t="s">
        <v>603</v>
      </c>
      <c r="B313" s="198" t="s">
        <v>530</v>
      </c>
      <c r="C313" s="202">
        <v>15</v>
      </c>
      <c r="D313" s="207" t="s">
        <v>35</v>
      </c>
      <c r="E313" s="207"/>
      <c r="F313" s="196">
        <f t="shared" si="79"/>
        <v>0</v>
      </c>
      <c r="G313" s="285"/>
      <c r="H313" s="301"/>
      <c r="I313" s="33"/>
      <c r="J313" s="33"/>
      <c r="K313" s="33"/>
      <c r="L313" s="34">
        <f t="shared" si="80"/>
        <v>0</v>
      </c>
      <c r="M313" s="34">
        <f t="shared" si="81"/>
        <v>0</v>
      </c>
      <c r="N313" s="335"/>
      <c r="O313" s="162"/>
      <c r="P313" s="162"/>
      <c r="Q313" s="162"/>
      <c r="R313" s="167"/>
      <c r="S313" s="24"/>
    </row>
    <row r="314" spans="1:19" s="25" customFormat="1" ht="15">
      <c r="A314" s="193" t="s">
        <v>604</v>
      </c>
      <c r="B314" s="198" t="s">
        <v>529</v>
      </c>
      <c r="C314" s="202">
        <v>20</v>
      </c>
      <c r="D314" s="207" t="s">
        <v>35</v>
      </c>
      <c r="E314" s="207"/>
      <c r="F314" s="196">
        <f t="shared" si="79"/>
        <v>0</v>
      </c>
      <c r="G314" s="285"/>
      <c r="H314" s="301"/>
      <c r="I314" s="33"/>
      <c r="J314" s="33"/>
      <c r="K314" s="33"/>
      <c r="L314" s="34">
        <f t="shared" si="80"/>
        <v>0</v>
      </c>
      <c r="M314" s="34">
        <f t="shared" si="81"/>
        <v>0</v>
      </c>
      <c r="N314" s="335"/>
      <c r="O314" s="162"/>
      <c r="P314" s="162"/>
      <c r="Q314" s="162"/>
      <c r="R314" s="167"/>
      <c r="S314" s="24"/>
    </row>
    <row r="315" spans="1:19" s="365" customFormat="1" ht="15">
      <c r="A315" s="485" t="s">
        <v>605</v>
      </c>
      <c r="B315" s="486"/>
      <c r="C315" s="388"/>
      <c r="D315" s="389"/>
      <c r="E315" s="390"/>
      <c r="F315" s="390"/>
      <c r="G315" s="361">
        <f>SUM(F316:F329)</f>
        <v>0</v>
      </c>
      <c r="H315" s="362">
        <f t="shared" ref="H315:N315" si="82">SUM(H316:H329)</f>
        <v>0</v>
      </c>
      <c r="I315" s="363">
        <f t="shared" si="82"/>
        <v>0</v>
      </c>
      <c r="J315" s="363">
        <f t="shared" si="82"/>
        <v>0</v>
      </c>
      <c r="K315" s="363">
        <f t="shared" si="82"/>
        <v>0</v>
      </c>
      <c r="L315" s="363">
        <f t="shared" si="82"/>
        <v>0</v>
      </c>
      <c r="M315" s="363">
        <f t="shared" si="82"/>
        <v>0</v>
      </c>
      <c r="N315" s="364">
        <f t="shared" si="82"/>
        <v>0</v>
      </c>
      <c r="O315" s="403"/>
      <c r="P315" s="403"/>
      <c r="Q315" s="403"/>
      <c r="R315" s="403"/>
    </row>
    <row r="316" spans="1:19" s="25" customFormat="1" ht="14.25">
      <c r="A316" s="39" t="s">
        <v>606</v>
      </c>
      <c r="B316" s="224" t="s">
        <v>389</v>
      </c>
      <c r="C316" s="202">
        <f>100*12</f>
        <v>1200</v>
      </c>
      <c r="D316" s="213" t="s">
        <v>165</v>
      </c>
      <c r="E316" s="207"/>
      <c r="F316" s="196">
        <f t="shared" ref="F316:F329" si="83">C316*E316</f>
        <v>0</v>
      </c>
      <c r="G316" s="271"/>
      <c r="H316" s="292">
        <f t="shared" ref="H316:H329" si="84">F316/7</f>
        <v>0</v>
      </c>
      <c r="I316" s="49">
        <f t="shared" ref="I316:I329" si="85">F316/7</f>
        <v>0</v>
      </c>
      <c r="J316" s="49">
        <f t="shared" ref="J316:J329" si="86">F316/7</f>
        <v>0</v>
      </c>
      <c r="K316" s="49">
        <f t="shared" ref="K316:K329" si="87">F316/7</f>
        <v>0</v>
      </c>
      <c r="L316" s="49">
        <f t="shared" ref="L316:L329" si="88">F316/7</f>
        <v>0</v>
      </c>
      <c r="M316" s="49">
        <f t="shared" ref="M316:M329" si="89">F316/7</f>
        <v>0</v>
      </c>
      <c r="N316" s="186">
        <f t="shared" ref="N316:N329" si="90">F316/7</f>
        <v>0</v>
      </c>
      <c r="O316" s="162"/>
      <c r="P316" s="162"/>
      <c r="Q316" s="162"/>
      <c r="R316" s="162"/>
    </row>
    <row r="317" spans="1:19" s="25" customFormat="1" ht="14.25">
      <c r="A317" s="39" t="s">
        <v>607</v>
      </c>
      <c r="B317" s="224" t="s">
        <v>522</v>
      </c>
      <c r="C317" s="202">
        <f>100*6</f>
        <v>600</v>
      </c>
      <c r="D317" s="213" t="s">
        <v>165</v>
      </c>
      <c r="E317" s="207"/>
      <c r="F317" s="196">
        <f t="shared" si="83"/>
        <v>0</v>
      </c>
      <c r="G317" s="271"/>
      <c r="H317" s="292">
        <f t="shared" si="84"/>
        <v>0</v>
      </c>
      <c r="I317" s="49">
        <f t="shared" si="85"/>
        <v>0</v>
      </c>
      <c r="J317" s="49">
        <f t="shared" si="86"/>
        <v>0</v>
      </c>
      <c r="K317" s="49">
        <f t="shared" si="87"/>
        <v>0</v>
      </c>
      <c r="L317" s="49">
        <f t="shared" si="88"/>
        <v>0</v>
      </c>
      <c r="M317" s="49">
        <f t="shared" si="89"/>
        <v>0</v>
      </c>
      <c r="N317" s="186">
        <f t="shared" si="90"/>
        <v>0</v>
      </c>
      <c r="O317" s="162"/>
      <c r="P317" s="162"/>
      <c r="Q317" s="162"/>
      <c r="R317" s="162"/>
    </row>
    <row r="318" spans="1:19" s="25" customFormat="1" ht="14.25">
      <c r="A318" s="39" t="s">
        <v>608</v>
      </c>
      <c r="B318" s="224" t="s">
        <v>461</v>
      </c>
      <c r="C318" s="202">
        <f>100*12</f>
        <v>1200</v>
      </c>
      <c r="D318" s="213" t="s">
        <v>165</v>
      </c>
      <c r="E318" s="207"/>
      <c r="F318" s="196">
        <f t="shared" si="83"/>
        <v>0</v>
      </c>
      <c r="G318" s="271"/>
      <c r="H318" s="292">
        <f t="shared" si="84"/>
        <v>0</v>
      </c>
      <c r="I318" s="49">
        <f t="shared" si="85"/>
        <v>0</v>
      </c>
      <c r="J318" s="49">
        <f t="shared" si="86"/>
        <v>0</v>
      </c>
      <c r="K318" s="49">
        <f t="shared" si="87"/>
        <v>0</v>
      </c>
      <c r="L318" s="49">
        <f t="shared" si="88"/>
        <v>0</v>
      </c>
      <c r="M318" s="49">
        <f t="shared" si="89"/>
        <v>0</v>
      </c>
      <c r="N318" s="186">
        <f t="shared" si="90"/>
        <v>0</v>
      </c>
      <c r="O318" s="162"/>
      <c r="P318" s="162"/>
      <c r="Q318" s="162"/>
      <c r="R318" s="162"/>
    </row>
    <row r="319" spans="1:19" s="25" customFormat="1" ht="14.25">
      <c r="A319" s="39" t="s">
        <v>609</v>
      </c>
      <c r="B319" s="228" t="s">
        <v>388</v>
      </c>
      <c r="C319" s="195">
        <f>220*12</f>
        <v>2640</v>
      </c>
      <c r="D319" s="203" t="s">
        <v>165</v>
      </c>
      <c r="E319" s="197"/>
      <c r="F319" s="196">
        <f t="shared" si="83"/>
        <v>0</v>
      </c>
      <c r="G319" s="271"/>
      <c r="H319" s="292">
        <f t="shared" si="84"/>
        <v>0</v>
      </c>
      <c r="I319" s="49">
        <f t="shared" si="85"/>
        <v>0</v>
      </c>
      <c r="J319" s="49">
        <f t="shared" si="86"/>
        <v>0</v>
      </c>
      <c r="K319" s="49">
        <f t="shared" si="87"/>
        <v>0</v>
      </c>
      <c r="L319" s="49">
        <f t="shared" si="88"/>
        <v>0</v>
      </c>
      <c r="M319" s="49">
        <f t="shared" si="89"/>
        <v>0</v>
      </c>
      <c r="N319" s="186">
        <f t="shared" si="90"/>
        <v>0</v>
      </c>
      <c r="O319" s="162"/>
      <c r="P319" s="162"/>
      <c r="Q319" s="162"/>
      <c r="R319" s="162"/>
    </row>
    <row r="320" spans="1:19" s="25" customFormat="1" ht="14.25">
      <c r="A320" s="39" t="s">
        <v>610</v>
      </c>
      <c r="B320" s="228" t="s">
        <v>387</v>
      </c>
      <c r="C320" s="195">
        <f>220*12*4</f>
        <v>10560</v>
      </c>
      <c r="D320" s="203" t="s">
        <v>165</v>
      </c>
      <c r="E320" s="197"/>
      <c r="F320" s="196">
        <f t="shared" si="83"/>
        <v>0</v>
      </c>
      <c r="G320" s="271"/>
      <c r="H320" s="292">
        <f t="shared" si="84"/>
        <v>0</v>
      </c>
      <c r="I320" s="49">
        <f t="shared" si="85"/>
        <v>0</v>
      </c>
      <c r="J320" s="49">
        <f t="shared" si="86"/>
        <v>0</v>
      </c>
      <c r="K320" s="49">
        <f t="shared" si="87"/>
        <v>0</v>
      </c>
      <c r="L320" s="49">
        <f t="shared" si="88"/>
        <v>0</v>
      </c>
      <c r="M320" s="49">
        <f t="shared" si="89"/>
        <v>0</v>
      </c>
      <c r="N320" s="186">
        <f t="shared" si="90"/>
        <v>0</v>
      </c>
      <c r="O320" s="162"/>
      <c r="P320" s="162"/>
      <c r="Q320" s="162"/>
      <c r="R320" s="162"/>
    </row>
    <row r="321" spans="1:18" s="25" customFormat="1" ht="14.25">
      <c r="A321" s="39" t="s">
        <v>611</v>
      </c>
      <c r="B321" s="228" t="s">
        <v>390</v>
      </c>
      <c r="C321" s="222">
        <f>220*6*2</f>
        <v>2640</v>
      </c>
      <c r="D321" s="203" t="s">
        <v>165</v>
      </c>
      <c r="E321" s="197"/>
      <c r="F321" s="196">
        <f t="shared" si="83"/>
        <v>0</v>
      </c>
      <c r="G321" s="271"/>
      <c r="H321" s="292">
        <f t="shared" si="84"/>
        <v>0</v>
      </c>
      <c r="I321" s="49">
        <f t="shared" si="85"/>
        <v>0</v>
      </c>
      <c r="J321" s="49">
        <f t="shared" si="86"/>
        <v>0</v>
      </c>
      <c r="K321" s="49">
        <f t="shared" si="87"/>
        <v>0</v>
      </c>
      <c r="L321" s="49">
        <f t="shared" si="88"/>
        <v>0</v>
      </c>
      <c r="M321" s="49">
        <f t="shared" si="89"/>
        <v>0</v>
      </c>
      <c r="N321" s="186">
        <f t="shared" si="90"/>
        <v>0</v>
      </c>
      <c r="O321" s="162"/>
      <c r="P321" s="162"/>
      <c r="Q321" s="162"/>
      <c r="R321" s="162"/>
    </row>
    <row r="322" spans="1:18" s="25" customFormat="1" ht="14.25">
      <c r="A322" s="39" t="s">
        <v>612</v>
      </c>
      <c r="B322" s="224" t="s">
        <v>391</v>
      </c>
      <c r="C322" s="202">
        <f>220*12</f>
        <v>2640</v>
      </c>
      <c r="D322" s="213" t="s">
        <v>165</v>
      </c>
      <c r="E322" s="207"/>
      <c r="F322" s="196">
        <f t="shared" si="83"/>
        <v>0</v>
      </c>
      <c r="G322" s="286"/>
      <c r="H322" s="292">
        <f t="shared" si="84"/>
        <v>0</v>
      </c>
      <c r="I322" s="49">
        <f t="shared" si="85"/>
        <v>0</v>
      </c>
      <c r="J322" s="49">
        <f t="shared" si="86"/>
        <v>0</v>
      </c>
      <c r="K322" s="49">
        <f t="shared" si="87"/>
        <v>0</v>
      </c>
      <c r="L322" s="49">
        <f t="shared" si="88"/>
        <v>0</v>
      </c>
      <c r="M322" s="49">
        <f t="shared" si="89"/>
        <v>0</v>
      </c>
      <c r="N322" s="186">
        <f t="shared" si="90"/>
        <v>0</v>
      </c>
      <c r="O322" s="162"/>
      <c r="P322" s="162"/>
      <c r="Q322" s="162"/>
      <c r="R322" s="162"/>
    </row>
    <row r="323" spans="1:18" s="25" customFormat="1" ht="14.25">
      <c r="A323" s="39" t="s">
        <v>613</v>
      </c>
      <c r="B323" s="228" t="s">
        <v>392</v>
      </c>
      <c r="C323" s="195">
        <f>220*12</f>
        <v>2640</v>
      </c>
      <c r="D323" s="203" t="s">
        <v>165</v>
      </c>
      <c r="E323" s="197"/>
      <c r="F323" s="196">
        <f t="shared" si="83"/>
        <v>0</v>
      </c>
      <c r="G323" s="286"/>
      <c r="H323" s="292">
        <f t="shared" si="84"/>
        <v>0</v>
      </c>
      <c r="I323" s="49">
        <f t="shared" si="85"/>
        <v>0</v>
      </c>
      <c r="J323" s="49">
        <f t="shared" si="86"/>
        <v>0</v>
      </c>
      <c r="K323" s="49">
        <f t="shared" si="87"/>
        <v>0</v>
      </c>
      <c r="L323" s="49">
        <f t="shared" si="88"/>
        <v>0</v>
      </c>
      <c r="M323" s="49">
        <f t="shared" si="89"/>
        <v>0</v>
      </c>
      <c r="N323" s="186">
        <f t="shared" si="90"/>
        <v>0</v>
      </c>
      <c r="O323" s="162"/>
      <c r="P323" s="162"/>
      <c r="Q323" s="162"/>
      <c r="R323" s="162"/>
    </row>
    <row r="324" spans="1:18" s="25" customFormat="1" ht="14.25">
      <c r="A324" s="39" t="s">
        <v>614</v>
      </c>
      <c r="B324" s="228" t="s">
        <v>393</v>
      </c>
      <c r="C324" s="195">
        <f>220*10*2</f>
        <v>4400</v>
      </c>
      <c r="D324" s="203" t="s">
        <v>165</v>
      </c>
      <c r="E324" s="197"/>
      <c r="F324" s="196">
        <f t="shared" si="83"/>
        <v>0</v>
      </c>
      <c r="G324" s="271"/>
      <c r="H324" s="292">
        <f t="shared" si="84"/>
        <v>0</v>
      </c>
      <c r="I324" s="49">
        <f t="shared" si="85"/>
        <v>0</v>
      </c>
      <c r="J324" s="49">
        <f t="shared" si="86"/>
        <v>0</v>
      </c>
      <c r="K324" s="49">
        <f t="shared" si="87"/>
        <v>0</v>
      </c>
      <c r="L324" s="49">
        <f t="shared" si="88"/>
        <v>0</v>
      </c>
      <c r="M324" s="49">
        <f t="shared" si="89"/>
        <v>0</v>
      </c>
      <c r="N324" s="186">
        <f t="shared" si="90"/>
        <v>0</v>
      </c>
      <c r="O324" s="162"/>
      <c r="P324" s="162"/>
      <c r="Q324" s="162"/>
      <c r="R324" s="162"/>
    </row>
    <row r="325" spans="1:18" s="25" customFormat="1" ht="14.25">
      <c r="A325" s="39" t="s">
        <v>615</v>
      </c>
      <c r="B325" s="228" t="s">
        <v>394</v>
      </c>
      <c r="C325" s="195">
        <f>220*3*1</f>
        <v>660</v>
      </c>
      <c r="D325" s="203" t="s">
        <v>165</v>
      </c>
      <c r="E325" s="197"/>
      <c r="F325" s="196">
        <f t="shared" si="83"/>
        <v>0</v>
      </c>
      <c r="G325" s="271"/>
      <c r="H325" s="292">
        <f t="shared" si="84"/>
        <v>0</v>
      </c>
      <c r="I325" s="49">
        <f t="shared" si="85"/>
        <v>0</v>
      </c>
      <c r="J325" s="49">
        <f t="shared" si="86"/>
        <v>0</v>
      </c>
      <c r="K325" s="49">
        <f t="shared" si="87"/>
        <v>0</v>
      </c>
      <c r="L325" s="49">
        <f t="shared" si="88"/>
        <v>0</v>
      </c>
      <c r="M325" s="49">
        <f t="shared" si="89"/>
        <v>0</v>
      </c>
      <c r="N325" s="186">
        <f t="shared" si="90"/>
        <v>0</v>
      </c>
      <c r="O325" s="162"/>
      <c r="P325" s="162"/>
      <c r="Q325" s="162"/>
      <c r="R325" s="162"/>
    </row>
    <row r="326" spans="1:18" s="25" customFormat="1" ht="14.25">
      <c r="A326" s="39" t="s">
        <v>616</v>
      </c>
      <c r="B326" s="228" t="s">
        <v>241</v>
      </c>
      <c r="C326" s="195">
        <f>220*3</f>
        <v>660</v>
      </c>
      <c r="D326" s="203" t="s">
        <v>165</v>
      </c>
      <c r="E326" s="197"/>
      <c r="F326" s="196">
        <f t="shared" si="83"/>
        <v>0</v>
      </c>
      <c r="G326" s="271"/>
      <c r="H326" s="292">
        <f t="shared" si="84"/>
        <v>0</v>
      </c>
      <c r="I326" s="49">
        <f t="shared" si="85"/>
        <v>0</v>
      </c>
      <c r="J326" s="49">
        <f t="shared" si="86"/>
        <v>0</v>
      </c>
      <c r="K326" s="49">
        <f t="shared" si="87"/>
        <v>0</v>
      </c>
      <c r="L326" s="49">
        <f t="shared" si="88"/>
        <v>0</v>
      </c>
      <c r="M326" s="49">
        <f t="shared" si="89"/>
        <v>0</v>
      </c>
      <c r="N326" s="186">
        <f t="shared" si="90"/>
        <v>0</v>
      </c>
      <c r="O326" s="162"/>
      <c r="P326" s="162"/>
      <c r="Q326" s="162"/>
      <c r="R326" s="162"/>
    </row>
    <row r="327" spans="1:18" s="25" customFormat="1" ht="14.25">
      <c r="A327" s="39" t="s">
        <v>617</v>
      </c>
      <c r="B327" s="228" t="s">
        <v>395</v>
      </c>
      <c r="C327" s="195">
        <f>220*6</f>
        <v>1320</v>
      </c>
      <c r="D327" s="203" t="s">
        <v>165</v>
      </c>
      <c r="E327" s="197"/>
      <c r="F327" s="196">
        <f t="shared" si="83"/>
        <v>0</v>
      </c>
      <c r="G327" s="271"/>
      <c r="H327" s="292">
        <f t="shared" si="84"/>
        <v>0</v>
      </c>
      <c r="I327" s="49">
        <f t="shared" si="85"/>
        <v>0</v>
      </c>
      <c r="J327" s="49">
        <f t="shared" si="86"/>
        <v>0</v>
      </c>
      <c r="K327" s="49">
        <f t="shared" si="87"/>
        <v>0</v>
      </c>
      <c r="L327" s="49">
        <f t="shared" si="88"/>
        <v>0</v>
      </c>
      <c r="M327" s="49">
        <f t="shared" si="89"/>
        <v>0</v>
      </c>
      <c r="N327" s="186">
        <f t="shared" si="90"/>
        <v>0</v>
      </c>
      <c r="O327" s="162"/>
      <c r="P327" s="162"/>
      <c r="Q327" s="162"/>
      <c r="R327" s="162"/>
    </row>
    <row r="328" spans="1:18" s="25" customFormat="1" ht="14.25">
      <c r="A328" s="39" t="s">
        <v>618</v>
      </c>
      <c r="B328" s="228" t="s">
        <v>396</v>
      </c>
      <c r="C328" s="195">
        <f>220*6</f>
        <v>1320</v>
      </c>
      <c r="D328" s="203" t="s">
        <v>165</v>
      </c>
      <c r="E328" s="197"/>
      <c r="F328" s="196">
        <f t="shared" si="83"/>
        <v>0</v>
      </c>
      <c r="G328" s="271"/>
      <c r="H328" s="292">
        <f t="shared" si="84"/>
        <v>0</v>
      </c>
      <c r="I328" s="49">
        <f t="shared" si="85"/>
        <v>0</v>
      </c>
      <c r="J328" s="49">
        <f t="shared" si="86"/>
        <v>0</v>
      </c>
      <c r="K328" s="49">
        <f t="shared" si="87"/>
        <v>0</v>
      </c>
      <c r="L328" s="49">
        <f t="shared" si="88"/>
        <v>0</v>
      </c>
      <c r="M328" s="49">
        <f t="shared" si="89"/>
        <v>0</v>
      </c>
      <c r="N328" s="186">
        <f t="shared" si="90"/>
        <v>0</v>
      </c>
      <c r="O328" s="162"/>
      <c r="P328" s="162"/>
      <c r="Q328" s="162"/>
      <c r="R328" s="162"/>
    </row>
    <row r="329" spans="1:18" s="25" customFormat="1" ht="14.25">
      <c r="A329" s="39" t="s">
        <v>619</v>
      </c>
      <c r="B329" s="228" t="s">
        <v>531</v>
      </c>
      <c r="C329" s="195">
        <f>220*6*2</f>
        <v>2640</v>
      </c>
      <c r="D329" s="203" t="s">
        <v>165</v>
      </c>
      <c r="E329" s="197"/>
      <c r="F329" s="196">
        <f t="shared" si="83"/>
        <v>0</v>
      </c>
      <c r="G329" s="271"/>
      <c r="H329" s="292">
        <f t="shared" si="84"/>
        <v>0</v>
      </c>
      <c r="I329" s="49">
        <f t="shared" si="85"/>
        <v>0</v>
      </c>
      <c r="J329" s="49">
        <f t="shared" si="86"/>
        <v>0</v>
      </c>
      <c r="K329" s="49">
        <f t="shared" si="87"/>
        <v>0</v>
      </c>
      <c r="L329" s="49">
        <f t="shared" si="88"/>
        <v>0</v>
      </c>
      <c r="M329" s="49">
        <f t="shared" si="89"/>
        <v>0</v>
      </c>
      <c r="N329" s="186">
        <f t="shared" si="90"/>
        <v>0</v>
      </c>
      <c r="O329" s="162"/>
      <c r="P329" s="162"/>
      <c r="Q329" s="162"/>
      <c r="R329" s="162"/>
    </row>
    <row r="330" spans="1:18" s="365" customFormat="1" ht="15">
      <c r="A330" s="485" t="s">
        <v>620</v>
      </c>
      <c r="B330" s="486"/>
      <c r="C330" s="388"/>
      <c r="D330" s="389"/>
      <c r="E330" s="390"/>
      <c r="F330" s="390"/>
      <c r="G330" s="371">
        <f>SUM(F331:F343)</f>
        <v>0</v>
      </c>
      <c r="H330" s="409">
        <f>SUM(H331:H343)</f>
        <v>0</v>
      </c>
      <c r="I330" s="410">
        <f t="shared" ref="I330:N330" si="91">SUM(I331:I343)</f>
        <v>0</v>
      </c>
      <c r="J330" s="410">
        <f t="shared" si="91"/>
        <v>0</v>
      </c>
      <c r="K330" s="410">
        <f t="shared" si="91"/>
        <v>0</v>
      </c>
      <c r="L330" s="410">
        <f t="shared" si="91"/>
        <v>0</v>
      </c>
      <c r="M330" s="410">
        <f t="shared" si="91"/>
        <v>0</v>
      </c>
      <c r="N330" s="411">
        <f t="shared" si="91"/>
        <v>0</v>
      </c>
      <c r="O330" s="403"/>
      <c r="P330" s="403"/>
      <c r="Q330" s="403"/>
      <c r="R330" s="403"/>
    </row>
    <row r="331" spans="1:18" s="25" customFormat="1" ht="14.25">
      <c r="A331" s="39" t="s">
        <v>621</v>
      </c>
      <c r="B331" s="194" t="s">
        <v>421</v>
      </c>
      <c r="C331" s="195">
        <v>1</v>
      </c>
      <c r="D331" s="203" t="s">
        <v>20</v>
      </c>
      <c r="E331" s="197"/>
      <c r="F331" s="196">
        <f>E331*C331</f>
        <v>0</v>
      </c>
      <c r="G331" s="271"/>
      <c r="H331" s="311"/>
      <c r="I331" s="34">
        <f>F331/2</f>
        <v>0</v>
      </c>
      <c r="J331" s="132">
        <f>F331/2</f>
        <v>0</v>
      </c>
      <c r="K331" s="90"/>
      <c r="L331" s="90"/>
      <c r="M331" s="40"/>
      <c r="N331" s="91"/>
      <c r="O331" s="162"/>
      <c r="P331" s="162"/>
      <c r="Q331" s="162"/>
      <c r="R331" s="162"/>
    </row>
    <row r="332" spans="1:18" s="25" customFormat="1" ht="15">
      <c r="A332" s="39" t="s">
        <v>622</v>
      </c>
      <c r="B332" s="228" t="s">
        <v>305</v>
      </c>
      <c r="C332" s="195">
        <v>1</v>
      </c>
      <c r="D332" s="203" t="s">
        <v>20</v>
      </c>
      <c r="E332" s="197"/>
      <c r="F332" s="196">
        <f>C332*E332</f>
        <v>0</v>
      </c>
      <c r="G332" s="271"/>
      <c r="H332" s="336"/>
      <c r="I332" s="34">
        <f>F332/2</f>
        <v>0</v>
      </c>
      <c r="J332" s="132">
        <f>F332/2</f>
        <v>0</v>
      </c>
      <c r="K332" s="37"/>
      <c r="L332" s="37"/>
      <c r="M332" s="160"/>
      <c r="N332" s="185"/>
      <c r="O332" s="167"/>
      <c r="P332" s="167"/>
      <c r="Q332" s="162"/>
      <c r="R332" s="162"/>
    </row>
    <row r="333" spans="1:18" s="25" customFormat="1" ht="14.25">
      <c r="A333" s="39" t="s">
        <v>623</v>
      </c>
      <c r="B333" s="194" t="s">
        <v>166</v>
      </c>
      <c r="C333" s="195">
        <v>1</v>
      </c>
      <c r="D333" s="203" t="s">
        <v>20</v>
      </c>
      <c r="E333" s="197"/>
      <c r="F333" s="196">
        <f>E333*C333</f>
        <v>0</v>
      </c>
      <c r="G333" s="271"/>
      <c r="H333" s="311"/>
      <c r="I333" s="34">
        <f>F333/2</f>
        <v>0</v>
      </c>
      <c r="J333" s="132">
        <f>F333/2</f>
        <v>0</v>
      </c>
      <c r="K333" s="90"/>
      <c r="L333" s="90"/>
      <c r="M333" s="40"/>
      <c r="N333" s="91"/>
      <c r="O333" s="162"/>
      <c r="P333" s="162"/>
      <c r="Q333" s="162"/>
      <c r="R333" s="162"/>
    </row>
    <row r="334" spans="1:18" s="25" customFormat="1" ht="14.25">
      <c r="A334" s="39" t="s">
        <v>624</v>
      </c>
      <c r="B334" s="194" t="s">
        <v>401</v>
      </c>
      <c r="C334" s="202">
        <v>12</v>
      </c>
      <c r="D334" s="203" t="s">
        <v>20</v>
      </c>
      <c r="E334" s="197"/>
      <c r="F334" s="196">
        <f t="shared" ref="F334:F343" si="92">E334*C334</f>
        <v>0</v>
      </c>
      <c r="G334" s="271"/>
      <c r="H334" s="292">
        <f>F334/7</f>
        <v>0</v>
      </c>
      <c r="I334" s="49">
        <f>F334/7</f>
        <v>0</v>
      </c>
      <c r="J334" s="49">
        <f>F334/7</f>
        <v>0</v>
      </c>
      <c r="K334" s="49">
        <f>F334/7</f>
        <v>0</v>
      </c>
      <c r="L334" s="49">
        <f>F334/7</f>
        <v>0</v>
      </c>
      <c r="M334" s="49">
        <f>F334/7</f>
        <v>0</v>
      </c>
      <c r="N334" s="186">
        <f>F334/7</f>
        <v>0</v>
      </c>
      <c r="O334" s="162"/>
      <c r="P334" s="162"/>
      <c r="Q334" s="162"/>
      <c r="R334" s="162"/>
    </row>
    <row r="335" spans="1:18" s="25" customFormat="1" ht="14.25">
      <c r="A335" s="39" t="s">
        <v>625</v>
      </c>
      <c r="B335" s="198" t="s">
        <v>167</v>
      </c>
      <c r="C335" s="202">
        <v>1120</v>
      </c>
      <c r="D335" s="201" t="s">
        <v>22</v>
      </c>
      <c r="E335" s="200"/>
      <c r="F335" s="196">
        <f t="shared" si="92"/>
        <v>0</v>
      </c>
      <c r="G335" s="285"/>
      <c r="H335" s="301"/>
      <c r="I335" s="33"/>
      <c r="J335" s="33"/>
      <c r="K335" s="33"/>
      <c r="L335" s="33"/>
      <c r="M335" s="33"/>
      <c r="N335" s="48">
        <f>F335</f>
        <v>0</v>
      </c>
      <c r="O335" s="162"/>
      <c r="P335" s="162"/>
      <c r="Q335" s="162"/>
      <c r="R335" s="162"/>
    </row>
    <row r="336" spans="1:18" s="25" customFormat="1" ht="14.25">
      <c r="A336" s="39" t="s">
        <v>626</v>
      </c>
      <c r="B336" s="198" t="s">
        <v>462</v>
      </c>
      <c r="C336" s="195">
        <v>0.112</v>
      </c>
      <c r="D336" s="203" t="s">
        <v>466</v>
      </c>
      <c r="E336" s="197"/>
      <c r="F336" s="196">
        <f>E336*C336</f>
        <v>0</v>
      </c>
      <c r="G336" s="285"/>
      <c r="H336" s="301"/>
      <c r="I336" s="33"/>
      <c r="J336" s="33"/>
      <c r="K336" s="33"/>
      <c r="L336" s="33"/>
      <c r="M336" s="33"/>
      <c r="N336" s="48">
        <f>F336</f>
        <v>0</v>
      </c>
      <c r="O336" s="162"/>
      <c r="P336" s="162"/>
      <c r="Q336" s="162"/>
      <c r="R336" s="162"/>
    </row>
    <row r="337" spans="1:18" s="25" customFormat="1" ht="14.25">
      <c r="A337" s="39" t="s">
        <v>627</v>
      </c>
      <c r="B337" s="194" t="s">
        <v>242</v>
      </c>
      <c r="C337" s="202">
        <v>12</v>
      </c>
      <c r="D337" s="203" t="s">
        <v>35</v>
      </c>
      <c r="E337" s="197"/>
      <c r="F337" s="196">
        <f t="shared" si="92"/>
        <v>0</v>
      </c>
      <c r="G337" s="285"/>
      <c r="H337" s="292">
        <f t="shared" ref="H337:H341" si="93">F337/7</f>
        <v>0</v>
      </c>
      <c r="I337" s="49">
        <f t="shared" ref="I337:I341" si="94">F337/7</f>
        <v>0</v>
      </c>
      <c r="J337" s="49">
        <f t="shared" ref="J337:J341" si="95">F337/7</f>
        <v>0</v>
      </c>
      <c r="K337" s="49">
        <f t="shared" ref="K337:K341" si="96">F337/7</f>
        <v>0</v>
      </c>
      <c r="L337" s="49">
        <f t="shared" ref="L337:L341" si="97">F337/7</f>
        <v>0</v>
      </c>
      <c r="M337" s="49">
        <f t="shared" ref="M337:M341" si="98">F337/7</f>
        <v>0</v>
      </c>
      <c r="N337" s="186">
        <f t="shared" ref="N337:N341" si="99">F337/7</f>
        <v>0</v>
      </c>
      <c r="O337" s="162"/>
      <c r="P337" s="162"/>
      <c r="Q337" s="162"/>
      <c r="R337" s="162"/>
    </row>
    <row r="338" spans="1:18" s="25" customFormat="1" ht="14.25">
      <c r="A338" s="39" t="s">
        <v>628</v>
      </c>
      <c r="B338" s="198" t="s">
        <v>243</v>
      </c>
      <c r="C338" s="199">
        <v>12</v>
      </c>
      <c r="D338" s="201" t="s">
        <v>464</v>
      </c>
      <c r="E338" s="200"/>
      <c r="F338" s="196">
        <f t="shared" si="92"/>
        <v>0</v>
      </c>
      <c r="G338" s="271"/>
      <c r="H338" s="292">
        <f t="shared" si="93"/>
        <v>0</v>
      </c>
      <c r="I338" s="49">
        <f t="shared" si="94"/>
        <v>0</v>
      </c>
      <c r="J338" s="49">
        <f t="shared" si="95"/>
        <v>0</v>
      </c>
      <c r="K338" s="49">
        <f t="shared" si="96"/>
        <v>0</v>
      </c>
      <c r="L338" s="49">
        <f t="shared" si="97"/>
        <v>0</v>
      </c>
      <c r="M338" s="49">
        <f t="shared" si="98"/>
        <v>0</v>
      </c>
      <c r="N338" s="186">
        <f t="shared" si="99"/>
        <v>0</v>
      </c>
      <c r="O338" s="162"/>
      <c r="P338" s="162"/>
      <c r="Q338" s="162"/>
      <c r="R338" s="162"/>
    </row>
    <row r="339" spans="1:18" s="25" customFormat="1" ht="14.25">
      <c r="A339" s="39" t="s">
        <v>629</v>
      </c>
      <c r="B339" s="194" t="s">
        <v>244</v>
      </c>
      <c r="C339" s="195">
        <v>50</v>
      </c>
      <c r="D339" s="203" t="s">
        <v>123</v>
      </c>
      <c r="E339" s="197"/>
      <c r="F339" s="196">
        <f t="shared" si="92"/>
        <v>0</v>
      </c>
      <c r="G339" s="271"/>
      <c r="H339" s="292">
        <f t="shared" si="93"/>
        <v>0</v>
      </c>
      <c r="I339" s="49">
        <f t="shared" si="94"/>
        <v>0</v>
      </c>
      <c r="J339" s="49">
        <f t="shared" si="95"/>
        <v>0</v>
      </c>
      <c r="K339" s="49">
        <f t="shared" si="96"/>
        <v>0</v>
      </c>
      <c r="L339" s="49">
        <f t="shared" si="97"/>
        <v>0</v>
      </c>
      <c r="M339" s="49">
        <f t="shared" si="98"/>
        <v>0</v>
      </c>
      <c r="N339" s="186">
        <f t="shared" si="99"/>
        <v>0</v>
      </c>
      <c r="O339" s="162"/>
      <c r="P339" s="162"/>
      <c r="Q339" s="162"/>
      <c r="R339" s="162"/>
    </row>
    <row r="340" spans="1:18" s="25" customFormat="1" ht="14.25">
      <c r="A340" s="39" t="s">
        <v>630</v>
      </c>
      <c r="B340" s="194" t="s">
        <v>245</v>
      </c>
      <c r="C340" s="195">
        <v>50</v>
      </c>
      <c r="D340" s="203" t="s">
        <v>123</v>
      </c>
      <c r="E340" s="197"/>
      <c r="F340" s="196">
        <f t="shared" si="92"/>
        <v>0</v>
      </c>
      <c r="G340" s="271"/>
      <c r="H340" s="292">
        <f t="shared" si="93"/>
        <v>0</v>
      </c>
      <c r="I340" s="49">
        <f t="shared" si="94"/>
        <v>0</v>
      </c>
      <c r="J340" s="49">
        <f t="shared" si="95"/>
        <v>0</v>
      </c>
      <c r="K340" s="49">
        <f t="shared" si="96"/>
        <v>0</v>
      </c>
      <c r="L340" s="49">
        <f t="shared" si="97"/>
        <v>0</v>
      </c>
      <c r="M340" s="49">
        <f t="shared" si="98"/>
        <v>0</v>
      </c>
      <c r="N340" s="186">
        <f t="shared" si="99"/>
        <v>0</v>
      </c>
      <c r="O340" s="162"/>
      <c r="P340" s="162"/>
      <c r="Q340" s="162"/>
      <c r="R340" s="162"/>
    </row>
    <row r="341" spans="1:18" s="25" customFormat="1" ht="14.25">
      <c r="A341" s="39" t="s">
        <v>631</v>
      </c>
      <c r="B341" s="194" t="s">
        <v>169</v>
      </c>
      <c r="C341" s="195">
        <v>1500</v>
      </c>
      <c r="D341" s="203" t="s">
        <v>168</v>
      </c>
      <c r="E341" s="197"/>
      <c r="F341" s="196">
        <f t="shared" si="92"/>
        <v>0</v>
      </c>
      <c r="G341" s="271"/>
      <c r="H341" s="292">
        <f t="shared" si="93"/>
        <v>0</v>
      </c>
      <c r="I341" s="49">
        <f t="shared" si="94"/>
        <v>0</v>
      </c>
      <c r="J341" s="49">
        <f t="shared" si="95"/>
        <v>0</v>
      </c>
      <c r="K341" s="49">
        <f t="shared" si="96"/>
        <v>0</v>
      </c>
      <c r="L341" s="49">
        <f t="shared" si="97"/>
        <v>0</v>
      </c>
      <c r="M341" s="49">
        <f t="shared" si="98"/>
        <v>0</v>
      </c>
      <c r="N341" s="186">
        <f t="shared" si="99"/>
        <v>0</v>
      </c>
      <c r="O341" s="162"/>
      <c r="P341" s="162"/>
      <c r="Q341" s="162"/>
      <c r="R341" s="162"/>
    </row>
    <row r="342" spans="1:18" s="25" customFormat="1" ht="14.25">
      <c r="A342" s="39" t="s">
        <v>632</v>
      </c>
      <c r="B342" s="194" t="s">
        <v>463</v>
      </c>
      <c r="C342" s="195">
        <v>50</v>
      </c>
      <c r="D342" s="203" t="s">
        <v>123</v>
      </c>
      <c r="E342" s="197"/>
      <c r="F342" s="196">
        <f t="shared" si="92"/>
        <v>0</v>
      </c>
      <c r="G342" s="271"/>
      <c r="H342" s="301"/>
      <c r="I342" s="33"/>
      <c r="J342" s="33"/>
      <c r="K342" s="33"/>
      <c r="L342" s="33"/>
      <c r="M342" s="33"/>
      <c r="N342" s="48">
        <f>F342</f>
        <v>0</v>
      </c>
    </row>
    <row r="343" spans="1:18" s="25" customFormat="1" ht="14.25">
      <c r="A343" s="39" t="s">
        <v>633</v>
      </c>
      <c r="B343" s="194" t="s">
        <v>170</v>
      </c>
      <c r="C343" s="202">
        <v>1120</v>
      </c>
      <c r="D343" s="203" t="s">
        <v>22</v>
      </c>
      <c r="E343" s="197"/>
      <c r="F343" s="196">
        <f t="shared" si="92"/>
        <v>0</v>
      </c>
      <c r="G343" s="271"/>
      <c r="H343" s="301"/>
      <c r="I343" s="33"/>
      <c r="J343" s="33"/>
      <c r="K343" s="33"/>
      <c r="L343" s="33"/>
      <c r="M343" s="33"/>
      <c r="N343" s="48">
        <f>F343</f>
        <v>0</v>
      </c>
    </row>
    <row r="344" spans="1:18" s="10" customFormat="1" ht="15">
      <c r="A344" s="489" t="s">
        <v>171</v>
      </c>
      <c r="B344" s="490"/>
      <c r="C344" s="176"/>
      <c r="D344" s="177"/>
      <c r="E344" s="178"/>
      <c r="F344" s="179"/>
      <c r="G344" s="287">
        <f>SUM(G9:G343)</f>
        <v>0</v>
      </c>
      <c r="H344" s="317">
        <f t="shared" ref="H344:N344" si="100">H9+H48+H128+H134+H151+H163+H179+H192+H207+H217+H223+H227+H242+H247+H292+H298+H302+H315+H330</f>
        <v>0</v>
      </c>
      <c r="I344" s="313">
        <f t="shared" si="100"/>
        <v>0</v>
      </c>
      <c r="J344" s="313">
        <f t="shared" si="100"/>
        <v>0</v>
      </c>
      <c r="K344" s="313">
        <f t="shared" si="100"/>
        <v>0</v>
      </c>
      <c r="L344" s="313">
        <f t="shared" si="100"/>
        <v>0</v>
      </c>
      <c r="M344" s="313">
        <f t="shared" si="100"/>
        <v>0</v>
      </c>
      <c r="N344" s="318">
        <f t="shared" si="100"/>
        <v>0</v>
      </c>
      <c r="O344" s="134"/>
    </row>
    <row r="345" spans="1:18" s="10" customFormat="1" ht="15">
      <c r="A345" s="157" t="s">
        <v>397</v>
      </c>
      <c r="B345" s="76"/>
      <c r="C345" s="77"/>
      <c r="D345" s="78"/>
      <c r="E345" s="79"/>
      <c r="F345" s="80"/>
      <c r="G345" s="288">
        <f>G344*0.245</f>
        <v>0</v>
      </c>
      <c r="H345" s="309">
        <f>H344*0.245</f>
        <v>0</v>
      </c>
      <c r="I345" s="81">
        <f t="shared" ref="I345:N345" si="101">I344*0.245</f>
        <v>0</v>
      </c>
      <c r="J345" s="81">
        <f t="shared" si="101"/>
        <v>0</v>
      </c>
      <c r="K345" s="81">
        <f t="shared" si="101"/>
        <v>0</v>
      </c>
      <c r="L345" s="81">
        <f t="shared" si="101"/>
        <v>0</v>
      </c>
      <c r="M345" s="81">
        <f t="shared" si="101"/>
        <v>0</v>
      </c>
      <c r="N345" s="187">
        <f t="shared" si="101"/>
        <v>0</v>
      </c>
    </row>
    <row r="346" spans="1:18" s="10" customFormat="1" ht="15.75" thickBot="1">
      <c r="A346" s="82" t="s">
        <v>172</v>
      </c>
      <c r="B346" s="83"/>
      <c r="C346" s="17"/>
      <c r="D346" s="84"/>
      <c r="E346" s="85"/>
      <c r="F346" s="8"/>
      <c r="G346" s="289">
        <f>G345+G344</f>
        <v>0</v>
      </c>
      <c r="H346" s="310">
        <f t="shared" ref="H346:M346" si="102">H345+H344</f>
        <v>0</v>
      </c>
      <c r="I346" s="86">
        <f>I345+I344</f>
        <v>0</v>
      </c>
      <c r="J346" s="86">
        <f t="shared" si="102"/>
        <v>0</v>
      </c>
      <c r="K346" s="86">
        <f t="shared" si="102"/>
        <v>0</v>
      </c>
      <c r="L346" s="86">
        <f t="shared" si="102"/>
        <v>0</v>
      </c>
      <c r="M346" s="86">
        <f t="shared" si="102"/>
        <v>0</v>
      </c>
      <c r="N346" s="188">
        <f>N345+N344</f>
        <v>0</v>
      </c>
      <c r="O346" s="131"/>
    </row>
    <row r="347" spans="1:18" s="444" customFormat="1" ht="18" customHeight="1">
      <c r="A347" s="442" t="s">
        <v>579</v>
      </c>
      <c r="B347" s="443"/>
      <c r="C347" s="443"/>
      <c r="D347" s="443" t="s">
        <v>418</v>
      </c>
      <c r="E347" s="443"/>
      <c r="F347" s="466" t="s">
        <v>640</v>
      </c>
      <c r="G347" s="443"/>
      <c r="H347" s="445"/>
      <c r="I347" s="446"/>
      <c r="J347" s="446"/>
      <c r="K347" s="447"/>
      <c r="L347" s="447"/>
      <c r="M347" s="447"/>
      <c r="N347" s="448"/>
    </row>
    <row r="348" spans="1:18" s="444" customFormat="1" ht="18" customHeight="1">
      <c r="A348" s="445" t="s">
        <v>584</v>
      </c>
      <c r="B348" s="446"/>
      <c r="C348" s="446"/>
      <c r="D348" s="446"/>
      <c r="E348" s="446"/>
      <c r="F348" s="467"/>
      <c r="G348" s="446"/>
      <c r="H348" s="445"/>
      <c r="I348" s="446"/>
      <c r="J348" s="446"/>
      <c r="K348" s="447"/>
      <c r="L348" s="447"/>
      <c r="M348" s="447"/>
      <c r="N348" s="448"/>
    </row>
    <row r="349" spans="1:18" s="444" customFormat="1" ht="18" customHeight="1">
      <c r="A349" s="445" t="s">
        <v>580</v>
      </c>
      <c r="B349" s="446"/>
      <c r="C349" s="446"/>
      <c r="D349" s="446"/>
      <c r="E349" s="446"/>
      <c r="F349" s="467"/>
      <c r="G349" s="446"/>
      <c r="H349" s="445"/>
      <c r="I349" s="446"/>
      <c r="J349" s="463"/>
      <c r="K349" s="447"/>
      <c r="L349" s="447"/>
      <c r="M349" s="447"/>
      <c r="N349" s="448"/>
    </row>
    <row r="350" spans="1:18" s="444" customFormat="1" ht="18" customHeight="1">
      <c r="A350" s="445" t="s">
        <v>583</v>
      </c>
      <c r="B350" s="446"/>
      <c r="C350" s="446"/>
      <c r="D350" s="446"/>
      <c r="E350" s="446"/>
      <c r="F350" s="469" t="s">
        <v>639</v>
      </c>
      <c r="G350" s="446"/>
      <c r="H350" s="445"/>
      <c r="I350" s="491"/>
      <c r="J350" s="491"/>
      <c r="K350" s="447"/>
      <c r="L350" s="447"/>
      <c r="M350" s="447"/>
      <c r="N350" s="448"/>
    </row>
    <row r="351" spans="1:18" s="444" customFormat="1" ht="18" customHeight="1">
      <c r="A351" s="445" t="s">
        <v>585</v>
      </c>
      <c r="B351" s="446"/>
      <c r="C351" s="446"/>
      <c r="D351" s="446"/>
      <c r="E351" s="446"/>
      <c r="F351" s="463" t="s">
        <v>641</v>
      </c>
      <c r="G351" s="465"/>
      <c r="H351" s="445"/>
      <c r="I351" s="491"/>
      <c r="J351" s="491"/>
      <c r="K351" s="447"/>
      <c r="L351" s="447"/>
      <c r="M351" s="447"/>
      <c r="N351" s="448"/>
    </row>
    <row r="352" spans="1:18" s="444" customFormat="1" ht="18" customHeight="1">
      <c r="A352" s="445" t="s">
        <v>582</v>
      </c>
      <c r="B352" s="446"/>
      <c r="C352" s="446"/>
      <c r="D352" s="446"/>
      <c r="E352" s="446"/>
      <c r="F352" s="470" t="s">
        <v>642</v>
      </c>
      <c r="G352" s="465"/>
      <c r="H352" s="449"/>
      <c r="I352" s="491"/>
      <c r="J352" s="491"/>
      <c r="K352" s="447"/>
      <c r="L352" s="447"/>
      <c r="M352" s="447"/>
      <c r="N352" s="448"/>
    </row>
    <row r="353" spans="1:14" s="444" customFormat="1" ht="18" customHeight="1" thickBot="1">
      <c r="A353" s="450" t="s">
        <v>581</v>
      </c>
      <c r="B353" s="451"/>
      <c r="C353" s="451"/>
      <c r="D353" s="451"/>
      <c r="E353" s="451"/>
      <c r="F353" s="471" t="s">
        <v>643</v>
      </c>
      <c r="G353" s="468"/>
      <c r="H353" s="450"/>
      <c r="I353" s="481"/>
      <c r="J353" s="481"/>
      <c r="K353" s="452"/>
      <c r="L353" s="452"/>
      <c r="M353" s="452"/>
      <c r="N353" s="453"/>
    </row>
    <row r="354" spans="1:14" ht="15">
      <c r="A354" s="70"/>
      <c r="B354" s="71"/>
      <c r="C354" s="72"/>
      <c r="D354" s="72"/>
      <c r="E354" s="73"/>
      <c r="F354" s="72"/>
      <c r="G354" s="72"/>
      <c r="H354" s="74"/>
      <c r="I354" s="74"/>
      <c r="J354" s="74"/>
      <c r="K354" s="74"/>
      <c r="L354" s="74"/>
      <c r="M354" s="75"/>
      <c r="N354" s="74"/>
    </row>
    <row r="355" spans="1:14">
      <c r="A355" s="2"/>
      <c r="B355" s="13"/>
      <c r="C355" s="7"/>
      <c r="D355" s="7"/>
      <c r="E355" s="22"/>
      <c r="F355" s="1"/>
      <c r="G355" s="1"/>
      <c r="H355" s="64"/>
      <c r="I355" s="64"/>
      <c r="J355" s="64"/>
      <c r="K355" s="64"/>
      <c r="L355" s="64"/>
      <c r="M355" s="65"/>
      <c r="N355" s="64"/>
    </row>
    <row r="356" spans="1:14">
      <c r="A356" s="2"/>
      <c r="B356" s="18"/>
      <c r="C356" s="9"/>
      <c r="D356" s="7"/>
      <c r="E356" s="22"/>
      <c r="F356" s="1"/>
      <c r="G356" s="1"/>
      <c r="H356" s="64"/>
      <c r="I356" s="64"/>
      <c r="J356" s="64"/>
      <c r="K356" s="64"/>
      <c r="L356" s="64"/>
      <c r="M356" s="65"/>
      <c r="N356" s="64"/>
    </row>
    <row r="357" spans="1:14">
      <c r="A357" s="2"/>
      <c r="B357" s="13"/>
      <c r="C357" s="7"/>
      <c r="D357" s="7"/>
      <c r="E357" s="22"/>
      <c r="F357" s="1"/>
      <c r="G357" s="1"/>
      <c r="H357" s="64"/>
      <c r="I357" s="64"/>
      <c r="J357" s="64"/>
      <c r="K357" s="64"/>
      <c r="L357" s="64"/>
      <c r="M357" s="65"/>
      <c r="N357" s="64"/>
    </row>
    <row r="358" spans="1:14">
      <c r="A358" s="2"/>
      <c r="B358" s="13"/>
      <c r="C358" s="7"/>
      <c r="D358" s="7"/>
      <c r="E358" s="22"/>
      <c r="F358" s="1"/>
      <c r="G358" s="1"/>
      <c r="H358" s="64"/>
      <c r="I358" s="64"/>
      <c r="J358" s="64"/>
      <c r="K358" s="64"/>
      <c r="L358" s="64"/>
      <c r="M358" s="65"/>
      <c r="N358" s="64"/>
    </row>
    <row r="359" spans="1:14">
      <c r="A359" s="4"/>
      <c r="B359" s="13"/>
      <c r="C359" s="7"/>
      <c r="D359" s="7"/>
      <c r="E359" s="22"/>
      <c r="F359" s="1"/>
      <c r="G359" s="1"/>
      <c r="H359" s="64"/>
      <c r="I359" s="64"/>
      <c r="J359" s="64"/>
      <c r="K359" s="64"/>
      <c r="L359" s="64"/>
      <c r="M359" s="65"/>
      <c r="N359" s="64"/>
    </row>
    <row r="360" spans="1:14">
      <c r="A360" s="4"/>
      <c r="B360" s="13"/>
      <c r="C360" s="7"/>
      <c r="D360" s="7"/>
      <c r="E360" s="22"/>
      <c r="F360" s="1"/>
      <c r="G360" s="1"/>
      <c r="H360" s="64"/>
      <c r="I360" s="64"/>
      <c r="J360" s="64"/>
      <c r="K360" s="64"/>
      <c r="L360" s="64"/>
      <c r="M360" s="65"/>
      <c r="N360" s="64"/>
    </row>
    <row r="361" spans="1:14">
      <c r="A361" s="4"/>
      <c r="B361" s="19"/>
      <c r="C361" s="14"/>
      <c r="D361" s="7"/>
      <c r="E361" s="196"/>
      <c r="F361" s="1"/>
      <c r="G361" s="1"/>
      <c r="H361" s="64"/>
      <c r="I361" s="64"/>
      <c r="J361" s="64"/>
      <c r="K361" s="64"/>
      <c r="L361" s="64"/>
      <c r="M361" s="65"/>
      <c r="N361" s="64"/>
    </row>
    <row r="362" spans="1:14">
      <c r="A362" s="4"/>
      <c r="B362" s="13"/>
      <c r="C362" s="7"/>
      <c r="D362" s="7"/>
      <c r="E362" s="22"/>
      <c r="F362" s="1"/>
      <c r="G362" s="1"/>
      <c r="H362" s="64"/>
      <c r="I362" s="64"/>
      <c r="J362" s="64"/>
      <c r="K362" s="64"/>
      <c r="L362" s="64"/>
      <c r="M362" s="65"/>
      <c r="N362" s="64"/>
    </row>
    <row r="363" spans="1:14">
      <c r="A363" s="4"/>
      <c r="B363" s="13"/>
      <c r="C363" s="7"/>
      <c r="D363" s="7"/>
      <c r="E363" s="22"/>
      <c r="F363" s="1"/>
      <c r="G363" s="1"/>
      <c r="H363" s="64"/>
      <c r="I363" s="64"/>
      <c r="J363" s="64"/>
      <c r="K363" s="64"/>
      <c r="L363" s="64"/>
      <c r="M363" s="65"/>
      <c r="N363" s="64"/>
    </row>
    <row r="364" spans="1:14">
      <c r="A364" s="4"/>
      <c r="B364" s="13"/>
      <c r="C364" s="7"/>
      <c r="D364" s="7"/>
      <c r="E364" s="22"/>
      <c r="F364" s="1"/>
      <c r="G364" s="1"/>
      <c r="H364" s="64"/>
      <c r="I364" s="64"/>
      <c r="J364" s="64"/>
      <c r="K364" s="64"/>
      <c r="L364" s="64"/>
      <c r="M364" s="65"/>
      <c r="N364" s="64"/>
    </row>
    <row r="365" spans="1:14">
      <c r="A365" s="4"/>
      <c r="B365" s="13"/>
      <c r="C365" s="7"/>
      <c r="D365" s="7"/>
      <c r="E365" s="22"/>
      <c r="F365" s="1"/>
      <c r="G365" s="1"/>
      <c r="H365" s="64"/>
      <c r="I365" s="64"/>
      <c r="J365" s="64"/>
      <c r="K365" s="64"/>
      <c r="L365" s="64"/>
      <c r="M365" s="65"/>
      <c r="N365" s="64"/>
    </row>
    <row r="366" spans="1:14">
      <c r="A366" s="4"/>
      <c r="B366" s="19"/>
      <c r="C366" s="14"/>
      <c r="D366" s="12"/>
      <c r="E366" s="22"/>
      <c r="F366" s="1"/>
      <c r="G366" s="1"/>
      <c r="H366" s="64"/>
      <c r="I366" s="64"/>
      <c r="J366" s="64"/>
      <c r="K366" s="64"/>
      <c r="L366" s="64"/>
      <c r="M366" s="65"/>
      <c r="N366" s="64"/>
    </row>
    <row r="367" spans="1:14">
      <c r="A367" s="4"/>
      <c r="B367" s="20"/>
      <c r="C367" s="12"/>
      <c r="D367" s="12"/>
      <c r="E367" s="12"/>
      <c r="F367" s="5"/>
      <c r="G367" s="5"/>
      <c r="H367" s="64"/>
      <c r="I367" s="64"/>
      <c r="J367" s="64"/>
      <c r="K367" s="64"/>
      <c r="L367" s="64"/>
      <c r="M367" s="65"/>
      <c r="N367" s="64"/>
    </row>
    <row r="368" spans="1:14">
      <c r="A368" s="4"/>
      <c r="B368" s="20"/>
      <c r="C368" s="12"/>
      <c r="D368" s="12"/>
      <c r="E368" s="12"/>
      <c r="F368" s="5"/>
      <c r="G368" s="5"/>
      <c r="H368" s="2" t="s">
        <v>418</v>
      </c>
      <c r="I368" s="64"/>
      <c r="J368" s="64"/>
      <c r="K368" s="64"/>
      <c r="L368" s="64"/>
      <c r="M368" s="65"/>
      <c r="N368" s="64"/>
    </row>
    <row r="369" spans="1:14">
      <c r="A369" s="4"/>
      <c r="B369" s="20"/>
      <c r="C369" s="12"/>
      <c r="D369" s="12"/>
      <c r="E369" s="12"/>
      <c r="F369" s="5"/>
      <c r="G369" s="5"/>
      <c r="H369" s="64"/>
      <c r="I369" s="64"/>
      <c r="J369" s="64"/>
      <c r="K369" s="64"/>
      <c r="L369" s="64"/>
      <c r="M369" s="65"/>
      <c r="N369" s="64"/>
    </row>
    <row r="370" spans="1:14">
      <c r="A370" s="4"/>
      <c r="B370" s="13"/>
      <c r="C370" s="7"/>
      <c r="D370" s="7"/>
      <c r="E370" s="22"/>
      <c r="F370" s="1"/>
      <c r="G370" s="1"/>
      <c r="H370" s="64"/>
      <c r="I370" s="64"/>
      <c r="J370" s="64"/>
      <c r="K370" s="64"/>
      <c r="L370" s="64"/>
      <c r="M370" s="65"/>
      <c r="N370" s="64"/>
    </row>
    <row r="371" spans="1:14">
      <c r="A371" s="4"/>
      <c r="B371" s="19"/>
      <c r="C371" s="14"/>
      <c r="D371" s="7"/>
      <c r="E371" s="22"/>
      <c r="F371" s="1"/>
      <c r="G371" s="1"/>
      <c r="H371" s="64"/>
      <c r="I371" s="64"/>
      <c r="J371" s="64"/>
      <c r="K371" s="64"/>
      <c r="L371" s="64"/>
      <c r="M371" s="65"/>
      <c r="N371" s="64"/>
    </row>
    <row r="372" spans="1:14">
      <c r="A372" s="4"/>
      <c r="B372" s="19"/>
      <c r="C372" s="14"/>
      <c r="D372" s="7"/>
      <c r="E372" s="22"/>
      <c r="F372" s="1"/>
      <c r="G372" s="1"/>
      <c r="H372" s="64"/>
      <c r="I372" s="64"/>
      <c r="J372" s="64"/>
      <c r="K372" s="64"/>
      <c r="L372" s="64"/>
      <c r="M372" s="65"/>
      <c r="N372" s="64"/>
    </row>
    <row r="373" spans="1:14">
      <c r="A373" s="4"/>
      <c r="B373" s="19"/>
      <c r="C373" s="14"/>
      <c r="D373" s="7"/>
      <c r="E373" s="22"/>
      <c r="F373" s="1"/>
      <c r="G373" s="1"/>
      <c r="H373" s="64"/>
      <c r="I373" s="64"/>
      <c r="J373" s="64"/>
      <c r="K373" s="64"/>
      <c r="L373" s="64"/>
      <c r="M373" s="65"/>
      <c r="N373" s="64"/>
    </row>
    <row r="374" spans="1:14">
      <c r="A374" s="4"/>
      <c r="B374" s="19"/>
      <c r="C374" s="14"/>
      <c r="D374" s="7"/>
      <c r="E374" s="22"/>
      <c r="F374" s="1"/>
      <c r="G374" s="1"/>
      <c r="H374" s="64"/>
      <c r="I374" s="64"/>
      <c r="J374" s="64"/>
      <c r="K374" s="64"/>
      <c r="L374" s="64"/>
      <c r="M374" s="65"/>
      <c r="N374" s="64"/>
    </row>
    <row r="375" spans="1:14">
      <c r="A375" s="4"/>
      <c r="B375" s="19"/>
      <c r="C375" s="14"/>
      <c r="D375" s="12"/>
      <c r="E375" s="22"/>
      <c r="F375" s="1"/>
      <c r="G375" s="1"/>
      <c r="H375" s="64"/>
      <c r="I375" s="64"/>
      <c r="J375" s="64"/>
      <c r="K375" s="64"/>
      <c r="L375" s="64"/>
      <c r="M375" s="65"/>
      <c r="N375" s="64"/>
    </row>
    <row r="376" spans="1:14">
      <c r="A376" s="4"/>
      <c r="B376" s="19"/>
      <c r="C376" s="12"/>
      <c r="D376" s="12"/>
      <c r="E376" s="22"/>
      <c r="F376" s="5"/>
      <c r="G376" s="5"/>
      <c r="H376" s="64"/>
      <c r="I376" s="64"/>
      <c r="J376" s="64"/>
      <c r="K376" s="64"/>
      <c r="L376" s="64"/>
      <c r="M376" s="65"/>
      <c r="N376" s="64"/>
    </row>
    <row r="377" spans="1:14">
      <c r="A377" s="4"/>
      <c r="B377" s="13"/>
      <c r="C377" s="12"/>
      <c r="D377" s="12"/>
      <c r="E377" s="12"/>
      <c r="F377" s="1"/>
      <c r="G377" s="1"/>
      <c r="H377" s="64"/>
      <c r="I377" s="64"/>
      <c r="J377" s="64"/>
      <c r="K377" s="64"/>
      <c r="L377" s="64"/>
      <c r="M377" s="65"/>
      <c r="N377" s="64"/>
    </row>
    <row r="378" spans="1:14">
      <c r="A378" s="4"/>
      <c r="B378" s="19"/>
      <c r="C378" s="12"/>
      <c r="D378" s="12"/>
      <c r="E378" s="12"/>
      <c r="F378" s="5"/>
      <c r="G378" s="5"/>
      <c r="H378" s="64"/>
      <c r="I378" s="64"/>
      <c r="J378" s="64"/>
      <c r="K378" s="64"/>
      <c r="L378" s="64"/>
      <c r="M378" s="65"/>
      <c r="N378" s="64"/>
    </row>
    <row r="379" spans="1:14">
      <c r="A379" s="4"/>
      <c r="B379" s="13"/>
      <c r="C379" s="7"/>
      <c r="D379" s="7"/>
      <c r="E379" s="22"/>
      <c r="F379" s="1"/>
      <c r="G379" s="1"/>
      <c r="H379" s="64"/>
      <c r="I379" s="64"/>
      <c r="J379" s="64"/>
      <c r="K379" s="64"/>
      <c r="L379" s="64"/>
      <c r="M379" s="65"/>
      <c r="N379" s="64"/>
    </row>
    <row r="380" spans="1:14">
      <c r="A380" s="4"/>
      <c r="B380" s="13"/>
      <c r="C380" s="14"/>
      <c r="D380" s="7"/>
      <c r="E380" s="22"/>
      <c r="F380" s="1"/>
      <c r="G380" s="1"/>
      <c r="H380" s="64"/>
      <c r="I380" s="64"/>
      <c r="J380" s="64"/>
      <c r="K380" s="64"/>
      <c r="L380" s="64"/>
      <c r="M380" s="65"/>
      <c r="N380" s="64"/>
    </row>
    <row r="381" spans="1:14">
      <c r="A381" s="4"/>
      <c r="B381" s="13"/>
      <c r="C381" s="7"/>
      <c r="D381" s="7"/>
      <c r="E381" s="22"/>
      <c r="F381" s="1"/>
      <c r="G381" s="1"/>
      <c r="H381" s="64"/>
      <c r="I381" s="64"/>
      <c r="J381" s="64"/>
      <c r="K381" s="64"/>
      <c r="L381" s="64"/>
      <c r="M381" s="65"/>
      <c r="N381" s="64"/>
    </row>
  </sheetData>
  <mergeCells count="12">
    <mergeCell ref="I353:J353"/>
    <mergeCell ref="C5:G5"/>
    <mergeCell ref="A246:B246"/>
    <mergeCell ref="A247:B247"/>
    <mergeCell ref="A292:B292"/>
    <mergeCell ref="A298:B298"/>
    <mergeCell ref="A315:B315"/>
    <mergeCell ref="A330:B330"/>
    <mergeCell ref="A344:B344"/>
    <mergeCell ref="I350:J350"/>
    <mergeCell ref="I351:J351"/>
    <mergeCell ref="I352:J352"/>
  </mergeCells>
  <pageMargins left="0.70866141732283461" right="0.70866141732283461" top="0.70866141732283461" bottom="0.74803149606299213" header="0.31496062992125984" footer="0.31496062992125984"/>
  <pageSetup paperSize="9" scale="54" fitToHeight="0" orientation="landscape" verticalDpi="597" r:id="rId1"/>
  <headerFooter>
    <oddHeader>&amp;L&amp;20ANEXO 2&amp;C&amp;20Rio de Janeiro, 29 de Fevereiro de 2016&amp;R&amp;20NUP 01435.000149/2016-17</oddHeader>
    <oddFooter>&amp;R&amp;16&amp;P</oddFooter>
  </headerFooter>
  <rowBreaks count="4" manualBreakCount="4">
    <brk id="72" max="8" man="1"/>
    <brk id="148" max="8" man="1"/>
    <brk id="221" max="8" man="1"/>
    <brk id="291" max="8" man="1"/>
  </rowBreaks>
  <colBreaks count="1" manualBreakCount="1">
    <brk id="7" min="1" max="350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94"/>
  <sheetViews>
    <sheetView tabSelected="1" topLeftCell="B1" zoomScale="85" zoomScaleNormal="85" zoomScaleSheetLayoutView="100" zoomScalePageLayoutView="40" workbookViewId="0">
      <selection activeCell="B32" sqref="B32"/>
    </sheetView>
  </sheetViews>
  <sheetFormatPr defaultColWidth="10.28515625" defaultRowHeight="18"/>
  <cols>
    <col min="1" max="1" width="12.7109375" style="3" customWidth="1"/>
    <col min="2" max="2" width="125.7109375" style="69" customWidth="1"/>
    <col min="3" max="4" width="12.7109375" style="16" customWidth="1"/>
    <col min="5" max="5" width="25.7109375" style="21" customWidth="1"/>
    <col min="6" max="7" width="25.7109375" style="16" customWidth="1"/>
    <col min="8" max="12" width="25.7109375" style="66" customWidth="1"/>
    <col min="13" max="13" width="25.7109375" style="67" customWidth="1"/>
    <col min="14" max="14" width="25.7109375" style="66" customWidth="1"/>
    <col min="15" max="15" width="28.5703125" customWidth="1"/>
    <col min="16" max="17" width="12.5703125" bestFit="1" customWidth="1"/>
  </cols>
  <sheetData>
    <row r="1" spans="1:18" ht="18.75" thickBot="1">
      <c r="B1" s="135"/>
    </row>
    <row r="2" spans="1:18" s="458" customFormat="1" ht="21" thickBot="1">
      <c r="A2" s="479" t="s">
        <v>683</v>
      </c>
      <c r="B2" s="480"/>
      <c r="C2" s="454" t="s">
        <v>0</v>
      </c>
      <c r="D2" s="454"/>
      <c r="E2" s="455"/>
      <c r="F2" s="454"/>
      <c r="G2" s="454"/>
      <c r="H2" s="455"/>
      <c r="I2" s="455"/>
      <c r="J2" s="455"/>
      <c r="K2" s="455"/>
      <c r="L2" s="455"/>
      <c r="M2" s="456"/>
      <c r="N2" s="457"/>
    </row>
    <row r="3" spans="1:18" s="458" customFormat="1" ht="21" thickBot="1">
      <c r="A3" s="479" t="s">
        <v>682</v>
      </c>
      <c r="B3" s="480"/>
      <c r="C3" s="459" t="s">
        <v>1</v>
      </c>
      <c r="D3" s="459"/>
      <c r="E3" s="460"/>
      <c r="F3" s="459"/>
      <c r="G3" s="459"/>
      <c r="H3" s="460"/>
      <c r="I3" s="460"/>
      <c r="J3" s="460"/>
      <c r="K3" s="460"/>
      <c r="L3" s="460"/>
      <c r="M3" s="461"/>
      <c r="N3" s="462"/>
    </row>
    <row r="4" spans="1:18" s="16" customFormat="1">
      <c r="A4" s="11" t="s">
        <v>2</v>
      </c>
      <c r="B4" s="123"/>
      <c r="C4" s="124" t="s">
        <v>3</v>
      </c>
      <c r="D4" s="124"/>
      <c r="E4" s="125"/>
      <c r="F4" s="124"/>
      <c r="G4" s="124"/>
      <c r="H4" s="125"/>
      <c r="I4" s="125"/>
      <c r="J4" s="125"/>
      <c r="K4" s="125"/>
      <c r="L4" s="125"/>
      <c r="M4" s="126"/>
      <c r="N4" s="347"/>
    </row>
    <row r="5" spans="1:18" s="16" customFormat="1" ht="36.75" customHeight="1">
      <c r="A5" s="127" t="s">
        <v>4</v>
      </c>
      <c r="B5" s="128"/>
      <c r="C5" s="482" t="s">
        <v>303</v>
      </c>
      <c r="D5" s="482"/>
      <c r="E5" s="482"/>
      <c r="F5" s="482"/>
      <c r="G5" s="482"/>
      <c r="H5" s="189"/>
      <c r="I5" s="129"/>
      <c r="J5" s="130"/>
      <c r="K5" s="130"/>
      <c r="L5" s="130"/>
      <c r="M5" s="15"/>
      <c r="N5" s="348"/>
    </row>
    <row r="6" spans="1:18" s="16" customFormat="1" ht="18.75" thickBot="1">
      <c r="A6" s="349" t="s">
        <v>5</v>
      </c>
      <c r="B6" s="350"/>
      <c r="C6" s="351" t="s">
        <v>578</v>
      </c>
      <c r="D6" s="352"/>
      <c r="E6" s="353"/>
      <c r="F6" s="352"/>
      <c r="G6" s="352"/>
      <c r="H6" s="353"/>
      <c r="I6" s="353"/>
      <c r="J6" s="353"/>
      <c r="K6" s="353"/>
      <c r="L6" s="353"/>
      <c r="M6" s="354"/>
      <c r="N6" s="355"/>
    </row>
    <row r="7" spans="1:18" s="6" customFormat="1" ht="18.75" hidden="1" thickBot="1">
      <c r="A7" s="341" t="s">
        <v>6</v>
      </c>
      <c r="B7" s="342"/>
      <c r="C7" s="343"/>
      <c r="D7" s="343"/>
      <c r="E7" s="344"/>
      <c r="F7" s="343"/>
      <c r="G7" s="343"/>
      <c r="H7" s="345"/>
      <c r="I7" s="345"/>
      <c r="J7" s="345"/>
      <c r="K7" s="345"/>
      <c r="L7" s="345"/>
      <c r="M7" s="346"/>
      <c r="N7" s="472"/>
    </row>
    <row r="8" spans="1:18" ht="15.75">
      <c r="A8" s="171" t="s">
        <v>7</v>
      </c>
      <c r="B8" s="172"/>
      <c r="C8" s="173" t="s">
        <v>8</v>
      </c>
      <c r="D8" s="174" t="s">
        <v>9</v>
      </c>
      <c r="E8" s="175" t="s">
        <v>10</v>
      </c>
      <c r="F8" s="175" t="s">
        <v>11</v>
      </c>
      <c r="G8" s="268" t="s">
        <v>12</v>
      </c>
      <c r="H8" s="314" t="s">
        <v>13</v>
      </c>
      <c r="I8" s="315" t="s">
        <v>14</v>
      </c>
      <c r="J8" s="315" t="s">
        <v>15</v>
      </c>
      <c r="K8" s="315" t="s">
        <v>16</v>
      </c>
      <c r="L8" s="315" t="s">
        <v>398</v>
      </c>
      <c r="M8" s="315" t="s">
        <v>399</v>
      </c>
      <c r="N8" s="316" t="s">
        <v>400</v>
      </c>
    </row>
    <row r="9" spans="1:18" s="365" customFormat="1" ht="15">
      <c r="A9" s="375" t="s">
        <v>17</v>
      </c>
      <c r="B9" s="376"/>
      <c r="C9" s="377"/>
      <c r="D9" s="378"/>
      <c r="E9" s="379"/>
      <c r="F9" s="379"/>
      <c r="G9" s="380">
        <f>F10+F30</f>
        <v>0</v>
      </c>
      <c r="H9" s="381">
        <f t="shared" ref="H9:M9" si="0">SUM(H11:H47)</f>
        <v>0</v>
      </c>
      <c r="I9" s="382">
        <f t="shared" si="0"/>
        <v>0</v>
      </c>
      <c r="J9" s="382">
        <f t="shared" si="0"/>
        <v>0</v>
      </c>
      <c r="K9" s="382">
        <f t="shared" si="0"/>
        <v>0</v>
      </c>
      <c r="L9" s="382">
        <f t="shared" si="0"/>
        <v>0</v>
      </c>
      <c r="M9" s="382">
        <f t="shared" si="0"/>
        <v>0</v>
      </c>
      <c r="N9" s="383">
        <f>SUM(N11:N47)</f>
        <v>0</v>
      </c>
    </row>
    <row r="10" spans="1:18" s="10" customFormat="1" ht="15">
      <c r="A10" s="104" t="s">
        <v>18</v>
      </c>
      <c r="B10" s="136" t="s">
        <v>533</v>
      </c>
      <c r="C10" s="95"/>
      <c r="D10" s="96"/>
      <c r="E10" s="97"/>
      <c r="F10" s="98">
        <f>SUM(F11:F29)</f>
        <v>0</v>
      </c>
      <c r="G10" s="269"/>
      <c r="H10" s="290"/>
      <c r="I10" s="98"/>
      <c r="J10" s="98"/>
      <c r="K10" s="99"/>
      <c r="L10" s="99"/>
      <c r="M10" s="98"/>
      <c r="N10" s="319"/>
    </row>
    <row r="11" spans="1:18" s="10" customFormat="1" ht="14.25">
      <c r="A11" s="193" t="s">
        <v>534</v>
      </c>
      <c r="B11" s="204" t="s">
        <v>19</v>
      </c>
      <c r="C11" s="205">
        <v>2</v>
      </c>
      <c r="D11" s="197" t="s">
        <v>20</v>
      </c>
      <c r="E11" s="197"/>
      <c r="F11" s="28">
        <f t="shared" ref="F11:F47" si="1">E11*C11</f>
        <v>0</v>
      </c>
      <c r="G11" s="270"/>
      <c r="H11" s="291">
        <f>F11/2</f>
        <v>0</v>
      </c>
      <c r="I11" s="87"/>
      <c r="J11" s="62"/>
      <c r="K11" s="59"/>
      <c r="L11" s="59"/>
      <c r="M11" s="29"/>
      <c r="N11" s="88">
        <f>F11/2</f>
        <v>0</v>
      </c>
    </row>
    <row r="12" spans="1:18" s="10" customFormat="1" ht="14.25">
      <c r="A12" s="193" t="s">
        <v>535</v>
      </c>
      <c r="B12" s="209" t="s">
        <v>210</v>
      </c>
      <c r="C12" s="210">
        <v>3.36</v>
      </c>
      <c r="D12" s="197" t="s">
        <v>22</v>
      </c>
      <c r="E12" s="197"/>
      <c r="F12" s="28">
        <f t="shared" si="1"/>
        <v>0</v>
      </c>
      <c r="G12" s="270"/>
      <c r="H12" s="292">
        <f t="shared" ref="H12:H21" si="2">F12</f>
        <v>0</v>
      </c>
      <c r="I12" s="29"/>
      <c r="J12" s="29"/>
      <c r="K12" s="59"/>
      <c r="L12" s="59"/>
      <c r="M12" s="29"/>
      <c r="N12" s="89"/>
    </row>
    <row r="13" spans="1:18" s="25" customFormat="1" ht="14.25">
      <c r="A13" s="193" t="s">
        <v>536</v>
      </c>
      <c r="B13" s="194" t="s">
        <v>465</v>
      </c>
      <c r="C13" s="195">
        <v>0.112</v>
      </c>
      <c r="D13" s="203" t="s">
        <v>466</v>
      </c>
      <c r="E13" s="197"/>
      <c r="F13" s="196">
        <f>E13*C13</f>
        <v>0</v>
      </c>
      <c r="G13" s="271"/>
      <c r="H13" s="292">
        <f>F13</f>
        <v>0</v>
      </c>
      <c r="I13" s="196"/>
      <c r="J13" s="265"/>
      <c r="K13" s="90"/>
      <c r="L13" s="90"/>
      <c r="M13" s="40"/>
      <c r="N13" s="91"/>
      <c r="O13" s="162"/>
      <c r="P13" s="162"/>
      <c r="Q13" s="162"/>
      <c r="R13" s="162"/>
    </row>
    <row r="14" spans="1:18" s="10" customFormat="1" ht="14.25">
      <c r="A14" s="193" t="s">
        <v>537</v>
      </c>
      <c r="B14" s="194" t="s">
        <v>224</v>
      </c>
      <c r="C14" s="210">
        <v>4</v>
      </c>
      <c r="D14" s="196" t="s">
        <v>20</v>
      </c>
      <c r="E14" s="197"/>
      <c r="F14" s="28">
        <f t="shared" si="1"/>
        <v>0</v>
      </c>
      <c r="G14" s="270"/>
      <c r="H14" s="292">
        <f t="shared" si="2"/>
        <v>0</v>
      </c>
      <c r="I14" s="29"/>
      <c r="J14" s="29"/>
      <c r="K14" s="59"/>
      <c r="L14" s="59"/>
      <c r="M14" s="29"/>
      <c r="N14" s="89"/>
    </row>
    <row r="15" spans="1:18" s="10" customFormat="1" ht="14.25">
      <c r="A15" s="193" t="s">
        <v>538</v>
      </c>
      <c r="B15" s="194" t="s">
        <v>225</v>
      </c>
      <c r="C15" s="210">
        <v>4</v>
      </c>
      <c r="D15" s="196" t="s">
        <v>20</v>
      </c>
      <c r="E15" s="197"/>
      <c r="F15" s="28">
        <f t="shared" si="1"/>
        <v>0</v>
      </c>
      <c r="G15" s="270"/>
      <c r="H15" s="292">
        <f t="shared" si="2"/>
        <v>0</v>
      </c>
      <c r="I15" s="29"/>
      <c r="J15" s="29"/>
      <c r="K15" s="59"/>
      <c r="L15" s="59"/>
      <c r="M15" s="29"/>
      <c r="N15" s="89"/>
    </row>
    <row r="16" spans="1:18" s="10" customFormat="1" ht="14.25">
      <c r="A16" s="193" t="s">
        <v>539</v>
      </c>
      <c r="B16" s="206" t="s">
        <v>405</v>
      </c>
      <c r="C16" s="202">
        <v>9</v>
      </c>
      <c r="D16" s="207" t="s">
        <v>22</v>
      </c>
      <c r="E16" s="207"/>
      <c r="F16" s="197">
        <f t="shared" si="1"/>
        <v>0</v>
      </c>
      <c r="G16" s="270"/>
      <c r="H16" s="292">
        <f t="shared" si="2"/>
        <v>0</v>
      </c>
      <c r="I16" s="26"/>
      <c r="J16" s="40"/>
      <c r="K16" s="90"/>
      <c r="L16" s="90"/>
      <c r="M16" s="40"/>
      <c r="N16" s="91"/>
    </row>
    <row r="17" spans="1:14" s="10" customFormat="1" ht="14.25">
      <c r="A17" s="193" t="s">
        <v>540</v>
      </c>
      <c r="B17" s="194" t="s">
        <v>404</v>
      </c>
      <c r="C17" s="195">
        <v>12</v>
      </c>
      <c r="D17" s="196" t="s">
        <v>22</v>
      </c>
      <c r="E17" s="197"/>
      <c r="F17" s="28">
        <f t="shared" si="1"/>
        <v>0</v>
      </c>
      <c r="G17" s="270"/>
      <c r="H17" s="292">
        <f t="shared" si="2"/>
        <v>0</v>
      </c>
      <c r="I17" s="29"/>
      <c r="J17" s="29"/>
      <c r="K17" s="59"/>
      <c r="L17" s="59"/>
      <c r="M17" s="29"/>
      <c r="N17" s="89"/>
    </row>
    <row r="18" spans="1:14" s="10" customFormat="1" ht="14.25">
      <c r="A18" s="193" t="s">
        <v>541</v>
      </c>
      <c r="B18" s="206" t="s">
        <v>406</v>
      </c>
      <c r="C18" s="202">
        <v>12</v>
      </c>
      <c r="D18" s="207" t="s">
        <v>22</v>
      </c>
      <c r="E18" s="207"/>
      <c r="F18" s="28">
        <f t="shared" si="1"/>
        <v>0</v>
      </c>
      <c r="G18" s="270"/>
      <c r="H18" s="292">
        <f t="shared" si="2"/>
        <v>0</v>
      </c>
      <c r="I18" s="29"/>
      <c r="J18" s="29"/>
      <c r="K18" s="59"/>
      <c r="L18" s="59"/>
      <c r="M18" s="29"/>
      <c r="N18" s="89"/>
    </row>
    <row r="19" spans="1:14" s="10" customFormat="1" ht="14.25">
      <c r="A19" s="193" t="s">
        <v>542</v>
      </c>
      <c r="B19" s="206" t="s">
        <v>402</v>
      </c>
      <c r="C19" s="202">
        <v>24</v>
      </c>
      <c r="D19" s="207" t="s">
        <v>22</v>
      </c>
      <c r="E19" s="207"/>
      <c r="F19" s="197">
        <f t="shared" ref="F19" si="3">E19*C19</f>
        <v>0</v>
      </c>
      <c r="G19" s="270"/>
      <c r="H19" s="292">
        <f t="shared" ref="H19" si="4">F19</f>
        <v>0</v>
      </c>
      <c r="I19" s="29"/>
      <c r="J19" s="29"/>
      <c r="K19" s="59"/>
      <c r="L19" s="59"/>
      <c r="M19" s="29"/>
      <c r="N19" s="89"/>
    </row>
    <row r="20" spans="1:14" s="10" customFormat="1" ht="14.25">
      <c r="A20" s="193" t="s">
        <v>543</v>
      </c>
      <c r="B20" s="206" t="s">
        <v>403</v>
      </c>
      <c r="C20" s="202">
        <v>2</v>
      </c>
      <c r="D20" s="207" t="s">
        <v>20</v>
      </c>
      <c r="E20" s="207"/>
      <c r="F20" s="197">
        <f t="shared" ref="F20" si="5">E20*C20</f>
        <v>0</v>
      </c>
      <c r="G20" s="270"/>
      <c r="H20" s="294"/>
      <c r="I20" s="29"/>
      <c r="J20" s="29"/>
      <c r="K20" s="59"/>
      <c r="L20" s="59"/>
      <c r="M20" s="29"/>
      <c r="N20" s="186">
        <f>F20</f>
        <v>0</v>
      </c>
    </row>
    <row r="21" spans="1:14" s="10" customFormat="1" ht="14.25">
      <c r="A21" s="193" t="s">
        <v>544</v>
      </c>
      <c r="B21" s="211" t="s">
        <v>23</v>
      </c>
      <c r="C21" s="205">
        <v>4</v>
      </c>
      <c r="D21" s="197" t="s">
        <v>20</v>
      </c>
      <c r="E21" s="197"/>
      <c r="F21" s="197">
        <f t="shared" si="1"/>
        <v>0</v>
      </c>
      <c r="G21" s="270"/>
      <c r="H21" s="292">
        <f t="shared" si="2"/>
        <v>0</v>
      </c>
      <c r="I21" s="62"/>
      <c r="J21" s="62"/>
      <c r="K21" s="63"/>
      <c r="L21" s="63"/>
      <c r="M21" s="62"/>
      <c r="N21" s="320"/>
    </row>
    <row r="22" spans="1:14" s="10" customFormat="1" ht="14.25">
      <c r="A22" s="193" t="s">
        <v>545</v>
      </c>
      <c r="B22" s="206" t="s">
        <v>407</v>
      </c>
      <c r="C22" s="202">
        <f>300*12</f>
        <v>3600</v>
      </c>
      <c r="D22" s="213" t="s">
        <v>22</v>
      </c>
      <c r="E22" s="207"/>
      <c r="F22" s="197">
        <f t="shared" si="1"/>
        <v>0</v>
      </c>
      <c r="G22" s="270"/>
      <c r="H22" s="292">
        <f>F22/6</f>
        <v>0</v>
      </c>
      <c r="I22" s="49">
        <f>F22/6</f>
        <v>0</v>
      </c>
      <c r="J22" s="49">
        <f>F22/6</f>
        <v>0</v>
      </c>
      <c r="K22" s="49">
        <f>F22/6</f>
        <v>0</v>
      </c>
      <c r="L22" s="49">
        <f>F22/6</f>
        <v>0</v>
      </c>
      <c r="M22" s="49">
        <f>F22/6</f>
        <v>0</v>
      </c>
      <c r="N22" s="312"/>
    </row>
    <row r="23" spans="1:14" s="10" customFormat="1" ht="14.25">
      <c r="A23" s="193" t="s">
        <v>546</v>
      </c>
      <c r="B23" s="194" t="s">
        <v>184</v>
      </c>
      <c r="C23" s="210">
        <v>390</v>
      </c>
      <c r="D23" s="197" t="s">
        <v>22</v>
      </c>
      <c r="E23" s="197"/>
      <c r="F23" s="28">
        <f t="shared" si="1"/>
        <v>0</v>
      </c>
      <c r="G23" s="270"/>
      <c r="H23" s="292">
        <f t="shared" ref="H23:H27" si="6">F23</f>
        <v>0</v>
      </c>
      <c r="I23" s="29"/>
      <c r="J23" s="29"/>
      <c r="K23" s="59"/>
      <c r="L23" s="59"/>
      <c r="M23" s="29"/>
      <c r="N23" s="321"/>
    </row>
    <row r="24" spans="1:14" s="10" customFormat="1" ht="14.25">
      <c r="A24" s="193" t="s">
        <v>547</v>
      </c>
      <c r="B24" s="206" t="s">
        <v>179</v>
      </c>
      <c r="C24" s="202">
        <v>5.36</v>
      </c>
      <c r="D24" s="207" t="s">
        <v>22</v>
      </c>
      <c r="E24" s="207"/>
      <c r="F24" s="197">
        <f t="shared" si="1"/>
        <v>0</v>
      </c>
      <c r="G24" s="270"/>
      <c r="H24" s="292">
        <f t="shared" si="6"/>
        <v>0</v>
      </c>
      <c r="I24" s="29"/>
      <c r="J24" s="29"/>
      <c r="K24" s="59"/>
      <c r="L24" s="59"/>
      <c r="M24" s="29"/>
      <c r="N24" s="321"/>
    </row>
    <row r="25" spans="1:14" s="10" customFormat="1" ht="28.5">
      <c r="A25" s="193" t="s">
        <v>548</v>
      </c>
      <c r="B25" s="194" t="s">
        <v>410</v>
      </c>
      <c r="C25" s="210">
        <v>2</v>
      </c>
      <c r="D25" s="196" t="s">
        <v>20</v>
      </c>
      <c r="E25" s="197"/>
      <c r="F25" s="197">
        <f t="shared" si="1"/>
        <v>0</v>
      </c>
      <c r="G25" s="270"/>
      <c r="H25" s="292">
        <f t="shared" si="6"/>
        <v>0</v>
      </c>
      <c r="I25" s="29"/>
      <c r="J25" s="29"/>
      <c r="K25" s="59"/>
      <c r="L25" s="59"/>
      <c r="M25" s="29"/>
      <c r="N25" s="321"/>
    </row>
    <row r="26" spans="1:14" s="10" customFormat="1" ht="14.25">
      <c r="A26" s="193" t="s">
        <v>549</v>
      </c>
      <c r="B26" s="194" t="s">
        <v>182</v>
      </c>
      <c r="C26" s="205">
        <v>10</v>
      </c>
      <c r="D26" s="196" t="s">
        <v>35</v>
      </c>
      <c r="E26" s="197"/>
      <c r="F26" s="197">
        <f t="shared" ref="F26:F36" si="7">E26*C26</f>
        <v>0</v>
      </c>
      <c r="G26" s="272"/>
      <c r="H26" s="292">
        <f t="shared" si="6"/>
        <v>0</v>
      </c>
      <c r="I26" s="62"/>
      <c r="J26" s="62"/>
      <c r="K26" s="63"/>
      <c r="L26" s="63"/>
      <c r="M26" s="62"/>
      <c r="N26" s="320"/>
    </row>
    <row r="27" spans="1:14" s="10" customFormat="1" ht="14.25">
      <c r="A27" s="193" t="s">
        <v>550</v>
      </c>
      <c r="B27" s="194" t="s">
        <v>181</v>
      </c>
      <c r="C27" s="205">
        <f>(10*2.42)+(24*1.21)*2</f>
        <v>82.28</v>
      </c>
      <c r="D27" s="212" t="s">
        <v>22</v>
      </c>
      <c r="E27" s="197"/>
      <c r="F27" s="197">
        <f t="shared" si="7"/>
        <v>0</v>
      </c>
      <c r="G27" s="270"/>
      <c r="H27" s="292">
        <f t="shared" si="6"/>
        <v>0</v>
      </c>
      <c r="I27" s="62"/>
      <c r="J27" s="62"/>
      <c r="K27" s="63"/>
      <c r="L27" s="63"/>
      <c r="M27" s="62"/>
      <c r="N27" s="320"/>
    </row>
    <row r="28" spans="1:14" s="10" customFormat="1" ht="14.25">
      <c r="A28" s="193" t="s">
        <v>551</v>
      </c>
      <c r="B28" s="194" t="s">
        <v>226</v>
      </c>
      <c r="C28" s="205">
        <v>400</v>
      </c>
      <c r="D28" s="197" t="s">
        <v>22</v>
      </c>
      <c r="E28" s="197"/>
      <c r="F28" s="197">
        <f t="shared" si="7"/>
        <v>0</v>
      </c>
      <c r="G28" s="270"/>
      <c r="H28" s="292">
        <f t="shared" ref="H28" si="8">F28/2</f>
        <v>0</v>
      </c>
      <c r="I28" s="49">
        <f t="shared" ref="I28" si="9">F28/2</f>
        <v>0</v>
      </c>
      <c r="J28" s="62"/>
      <c r="K28" s="63"/>
      <c r="L28" s="63"/>
      <c r="M28" s="62"/>
      <c r="N28" s="320"/>
    </row>
    <row r="29" spans="1:14" s="10" customFormat="1" ht="14.25">
      <c r="A29" s="193" t="s">
        <v>552</v>
      </c>
      <c r="B29" s="211" t="s">
        <v>25</v>
      </c>
      <c r="C29" s="210">
        <v>1</v>
      </c>
      <c r="D29" s="196" t="s">
        <v>20</v>
      </c>
      <c r="E29" s="197"/>
      <c r="F29" s="197">
        <f t="shared" si="7"/>
        <v>0</v>
      </c>
      <c r="G29" s="270"/>
      <c r="H29" s="292">
        <f>F29</f>
        <v>0</v>
      </c>
      <c r="I29" s="29"/>
      <c r="J29" s="29"/>
      <c r="K29" s="59"/>
      <c r="L29" s="59"/>
      <c r="M29" s="29"/>
      <c r="N29" s="321"/>
    </row>
    <row r="30" spans="1:14" s="10" customFormat="1" ht="15">
      <c r="A30" s="104" t="s">
        <v>21</v>
      </c>
      <c r="B30" s="136" t="s">
        <v>532</v>
      </c>
      <c r="C30" s="95"/>
      <c r="D30" s="96"/>
      <c r="E30" s="97"/>
      <c r="F30" s="98">
        <f>SUM(F31:F47)</f>
        <v>0</v>
      </c>
      <c r="G30" s="269"/>
      <c r="H30" s="290"/>
      <c r="I30" s="98"/>
      <c r="J30" s="98"/>
      <c r="K30" s="99"/>
      <c r="L30" s="99"/>
      <c r="M30" s="98"/>
      <c r="N30" s="319"/>
    </row>
    <row r="31" spans="1:14" s="10" customFormat="1" ht="28.5">
      <c r="A31" s="39" t="s">
        <v>553</v>
      </c>
      <c r="B31" s="194" t="s">
        <v>408</v>
      </c>
      <c r="C31" s="205">
        <v>106</v>
      </c>
      <c r="D31" s="197" t="s">
        <v>20</v>
      </c>
      <c r="E31" s="197"/>
      <c r="F31" s="197">
        <f t="shared" si="7"/>
        <v>0</v>
      </c>
      <c r="G31" s="270"/>
      <c r="H31" s="292">
        <f>F31/2</f>
        <v>0</v>
      </c>
      <c r="I31" s="49">
        <f>F31/2</f>
        <v>0</v>
      </c>
      <c r="J31" s="62"/>
      <c r="K31" s="63"/>
      <c r="L31" s="63"/>
      <c r="M31" s="62"/>
      <c r="N31" s="320"/>
    </row>
    <row r="32" spans="1:14" s="10" customFormat="1" ht="14.25">
      <c r="A32" s="39" t="s">
        <v>554</v>
      </c>
      <c r="B32" s="194" t="s">
        <v>409</v>
      </c>
      <c r="C32" s="205">
        <f>25*(2.2*1.1)</f>
        <v>60.500000000000007</v>
      </c>
      <c r="D32" s="196" t="s">
        <v>22</v>
      </c>
      <c r="E32" s="197"/>
      <c r="F32" s="197">
        <f t="shared" si="7"/>
        <v>0</v>
      </c>
      <c r="G32" s="270"/>
      <c r="H32" s="292">
        <f t="shared" ref="H32:H47" si="10">F32/2</f>
        <v>0</v>
      </c>
      <c r="I32" s="49">
        <f t="shared" ref="I32:I47" si="11">F32/2</f>
        <v>0</v>
      </c>
      <c r="J32" s="62"/>
      <c r="K32" s="63"/>
      <c r="L32" s="63"/>
      <c r="M32" s="62"/>
      <c r="N32" s="320"/>
    </row>
    <row r="33" spans="1:14" s="10" customFormat="1" ht="14.25">
      <c r="A33" s="39" t="s">
        <v>555</v>
      </c>
      <c r="B33" s="194" t="s">
        <v>223</v>
      </c>
      <c r="C33" s="205">
        <v>260</v>
      </c>
      <c r="D33" s="196" t="s">
        <v>35</v>
      </c>
      <c r="E33" s="197"/>
      <c r="F33" s="28">
        <f t="shared" si="7"/>
        <v>0</v>
      </c>
      <c r="G33" s="270"/>
      <c r="H33" s="292">
        <f t="shared" si="10"/>
        <v>0</v>
      </c>
      <c r="I33" s="49">
        <f t="shared" si="11"/>
        <v>0</v>
      </c>
      <c r="J33" s="62"/>
      <c r="K33" s="63"/>
      <c r="L33" s="63"/>
      <c r="M33" s="62"/>
      <c r="N33" s="320"/>
    </row>
    <row r="34" spans="1:14" s="10" customFormat="1" ht="14.25">
      <c r="A34" s="39" t="s">
        <v>556</v>
      </c>
      <c r="B34" s="206" t="s">
        <v>183</v>
      </c>
      <c r="C34" s="214">
        <v>160</v>
      </c>
      <c r="D34" s="207" t="s">
        <v>35</v>
      </c>
      <c r="E34" s="207"/>
      <c r="F34" s="197">
        <f t="shared" si="7"/>
        <v>0</v>
      </c>
      <c r="G34" s="270"/>
      <c r="H34" s="292">
        <f t="shared" si="10"/>
        <v>0</v>
      </c>
      <c r="I34" s="49">
        <f t="shared" si="11"/>
        <v>0</v>
      </c>
      <c r="J34" s="62"/>
      <c r="K34" s="63"/>
      <c r="L34" s="63"/>
      <c r="M34" s="62"/>
      <c r="N34" s="320"/>
    </row>
    <row r="35" spans="1:14" s="10" customFormat="1" ht="14.25">
      <c r="A35" s="39" t="s">
        <v>557</v>
      </c>
      <c r="B35" s="206" t="s">
        <v>191</v>
      </c>
      <c r="C35" s="214">
        <v>200</v>
      </c>
      <c r="D35" s="207" t="s">
        <v>22</v>
      </c>
      <c r="E35" s="207"/>
      <c r="F35" s="197">
        <f t="shared" si="7"/>
        <v>0</v>
      </c>
      <c r="G35" s="270"/>
      <c r="H35" s="292">
        <f t="shared" si="10"/>
        <v>0</v>
      </c>
      <c r="I35" s="49">
        <f t="shared" si="11"/>
        <v>0</v>
      </c>
      <c r="J35" s="62"/>
      <c r="K35" s="63"/>
      <c r="L35" s="63"/>
      <c r="M35" s="62"/>
      <c r="N35" s="320"/>
    </row>
    <row r="36" spans="1:14" s="10" customFormat="1" ht="14.25">
      <c r="A36" s="39" t="s">
        <v>558</v>
      </c>
      <c r="B36" s="194" t="s">
        <v>186</v>
      </c>
      <c r="C36" s="205">
        <v>3</v>
      </c>
      <c r="D36" s="197" t="s">
        <v>20</v>
      </c>
      <c r="E36" s="197"/>
      <c r="F36" s="197">
        <f t="shared" si="7"/>
        <v>0</v>
      </c>
      <c r="G36" s="270"/>
      <c r="H36" s="292">
        <f t="shared" si="10"/>
        <v>0</v>
      </c>
      <c r="I36" s="49">
        <f t="shared" si="11"/>
        <v>0</v>
      </c>
      <c r="J36" s="62"/>
      <c r="K36" s="63"/>
      <c r="L36" s="63"/>
      <c r="M36" s="62"/>
      <c r="N36" s="320"/>
    </row>
    <row r="37" spans="1:14" s="10" customFormat="1" ht="14.25">
      <c r="A37" s="39" t="s">
        <v>559</v>
      </c>
      <c r="B37" s="194" t="s">
        <v>188</v>
      </c>
      <c r="C37" s="205">
        <v>3</v>
      </c>
      <c r="D37" s="197" t="s">
        <v>20</v>
      </c>
      <c r="E37" s="197"/>
      <c r="F37" s="197">
        <f t="shared" si="1"/>
        <v>0</v>
      </c>
      <c r="G37" s="270"/>
      <c r="H37" s="292">
        <f t="shared" si="10"/>
        <v>0</v>
      </c>
      <c r="I37" s="49">
        <f t="shared" si="11"/>
        <v>0</v>
      </c>
      <c r="J37" s="62"/>
      <c r="K37" s="63"/>
      <c r="L37" s="63"/>
      <c r="M37" s="62"/>
      <c r="N37" s="320"/>
    </row>
    <row r="38" spans="1:14" s="10" customFormat="1" ht="14.25">
      <c r="A38" s="39" t="s">
        <v>560</v>
      </c>
      <c r="B38" s="194" t="s">
        <v>189</v>
      </c>
      <c r="C38" s="205">
        <v>3</v>
      </c>
      <c r="D38" s="197" t="s">
        <v>20</v>
      </c>
      <c r="E38" s="197"/>
      <c r="F38" s="197">
        <f>E38*C38</f>
        <v>0</v>
      </c>
      <c r="G38" s="270"/>
      <c r="H38" s="292">
        <f t="shared" si="10"/>
        <v>0</v>
      </c>
      <c r="I38" s="49">
        <f t="shared" si="11"/>
        <v>0</v>
      </c>
      <c r="J38" s="62"/>
      <c r="K38" s="63"/>
      <c r="L38" s="63"/>
      <c r="M38" s="62"/>
      <c r="N38" s="320"/>
    </row>
    <row r="39" spans="1:14" s="10" customFormat="1" ht="14.25">
      <c r="A39" s="39" t="s">
        <v>561</v>
      </c>
      <c r="B39" s="194" t="s">
        <v>24</v>
      </c>
      <c r="C39" s="205">
        <v>10</v>
      </c>
      <c r="D39" s="197" t="s">
        <v>20</v>
      </c>
      <c r="E39" s="197"/>
      <c r="F39" s="197">
        <f t="shared" si="1"/>
        <v>0</v>
      </c>
      <c r="G39" s="270"/>
      <c r="H39" s="292">
        <f t="shared" si="10"/>
        <v>0</v>
      </c>
      <c r="I39" s="49">
        <f t="shared" si="11"/>
        <v>0</v>
      </c>
      <c r="J39" s="62"/>
      <c r="K39" s="63"/>
      <c r="L39" s="63"/>
      <c r="M39" s="62"/>
      <c r="N39" s="320"/>
    </row>
    <row r="40" spans="1:14" s="10" customFormat="1" ht="14.25">
      <c r="A40" s="39" t="s">
        <v>562</v>
      </c>
      <c r="B40" s="194" t="s">
        <v>185</v>
      </c>
      <c r="C40" s="205">
        <v>3</v>
      </c>
      <c r="D40" s="197" t="s">
        <v>20</v>
      </c>
      <c r="E40" s="197"/>
      <c r="F40" s="197">
        <f>E40*C40</f>
        <v>0</v>
      </c>
      <c r="G40" s="270"/>
      <c r="H40" s="292">
        <f t="shared" si="10"/>
        <v>0</v>
      </c>
      <c r="I40" s="49">
        <f t="shared" si="11"/>
        <v>0</v>
      </c>
      <c r="J40" s="62"/>
      <c r="K40" s="63"/>
      <c r="L40" s="63"/>
      <c r="M40" s="62"/>
      <c r="N40" s="320"/>
    </row>
    <row r="41" spans="1:14" s="10" customFormat="1" ht="14.25">
      <c r="A41" s="39" t="s">
        <v>563</v>
      </c>
      <c r="B41" s="194" t="s">
        <v>173</v>
      </c>
      <c r="C41" s="205">
        <v>100</v>
      </c>
      <c r="D41" s="197" t="s">
        <v>20</v>
      </c>
      <c r="E41" s="197"/>
      <c r="F41" s="197">
        <f>E41*C41</f>
        <v>0</v>
      </c>
      <c r="G41" s="272"/>
      <c r="H41" s="292">
        <f t="shared" si="10"/>
        <v>0</v>
      </c>
      <c r="I41" s="49">
        <f t="shared" si="11"/>
        <v>0</v>
      </c>
      <c r="J41" s="62"/>
      <c r="K41" s="63"/>
      <c r="L41" s="63"/>
      <c r="M41" s="62"/>
      <c r="N41" s="320"/>
    </row>
    <row r="42" spans="1:14" s="10" customFormat="1" ht="14.25">
      <c r="A42" s="39" t="s">
        <v>564</v>
      </c>
      <c r="B42" s="194" t="s">
        <v>190</v>
      </c>
      <c r="C42" s="205">
        <v>20</v>
      </c>
      <c r="D42" s="197" t="s">
        <v>20</v>
      </c>
      <c r="E42" s="197"/>
      <c r="F42" s="197">
        <f t="shared" si="1"/>
        <v>0</v>
      </c>
      <c r="G42" s="272"/>
      <c r="H42" s="292">
        <f t="shared" si="10"/>
        <v>0</v>
      </c>
      <c r="I42" s="49">
        <f t="shared" si="11"/>
        <v>0</v>
      </c>
      <c r="J42" s="62"/>
      <c r="K42" s="63"/>
      <c r="L42" s="63"/>
      <c r="M42" s="62"/>
      <c r="N42" s="320"/>
    </row>
    <row r="43" spans="1:14" s="10" customFormat="1" ht="14.25">
      <c r="A43" s="39" t="s">
        <v>565</v>
      </c>
      <c r="B43" s="194" t="s">
        <v>174</v>
      </c>
      <c r="C43" s="205">
        <v>10</v>
      </c>
      <c r="D43" s="197" t="s">
        <v>20</v>
      </c>
      <c r="E43" s="197"/>
      <c r="F43" s="197">
        <f>E43*C43</f>
        <v>0</v>
      </c>
      <c r="G43" s="270"/>
      <c r="H43" s="292">
        <f t="shared" si="10"/>
        <v>0</v>
      </c>
      <c r="I43" s="49">
        <f t="shared" si="11"/>
        <v>0</v>
      </c>
      <c r="J43" s="62"/>
      <c r="K43" s="63"/>
      <c r="L43" s="63"/>
      <c r="M43" s="62"/>
      <c r="N43" s="320"/>
    </row>
    <row r="44" spans="1:14" s="10" customFormat="1" ht="14.25">
      <c r="A44" s="39" t="s">
        <v>566</v>
      </c>
      <c r="B44" s="194" t="s">
        <v>175</v>
      </c>
      <c r="C44" s="205">
        <v>10</v>
      </c>
      <c r="D44" s="197" t="s">
        <v>20</v>
      </c>
      <c r="E44" s="197"/>
      <c r="F44" s="197">
        <f t="shared" si="1"/>
        <v>0</v>
      </c>
      <c r="G44" s="270"/>
      <c r="H44" s="292">
        <f t="shared" si="10"/>
        <v>0</v>
      </c>
      <c r="I44" s="49">
        <f t="shared" si="11"/>
        <v>0</v>
      </c>
      <c r="J44" s="62"/>
      <c r="K44" s="63"/>
      <c r="L44" s="63"/>
      <c r="M44" s="62"/>
      <c r="N44" s="320"/>
    </row>
    <row r="45" spans="1:14" s="10" customFormat="1" ht="14.25">
      <c r="A45" s="39" t="s">
        <v>567</v>
      </c>
      <c r="B45" s="194" t="s">
        <v>416</v>
      </c>
      <c r="C45" s="205">
        <v>2</v>
      </c>
      <c r="D45" s="197" t="s">
        <v>20</v>
      </c>
      <c r="E45" s="197"/>
      <c r="F45" s="197">
        <f>E45*C45</f>
        <v>0</v>
      </c>
      <c r="G45" s="270"/>
      <c r="H45" s="292">
        <f t="shared" si="10"/>
        <v>0</v>
      </c>
      <c r="I45" s="49">
        <f t="shared" si="11"/>
        <v>0</v>
      </c>
      <c r="J45" s="62"/>
      <c r="K45" s="63"/>
      <c r="L45" s="63"/>
      <c r="M45" s="62"/>
      <c r="N45" s="320"/>
    </row>
    <row r="46" spans="1:14" s="10" customFormat="1" ht="14.25">
      <c r="A46" s="39" t="s">
        <v>568</v>
      </c>
      <c r="B46" s="194" t="s">
        <v>187</v>
      </c>
      <c r="C46" s="205">
        <v>10</v>
      </c>
      <c r="D46" s="197" t="s">
        <v>20</v>
      </c>
      <c r="E46" s="197"/>
      <c r="F46" s="197">
        <f>E46*C46</f>
        <v>0</v>
      </c>
      <c r="G46" s="270"/>
      <c r="H46" s="292">
        <f t="shared" si="10"/>
        <v>0</v>
      </c>
      <c r="I46" s="49">
        <f t="shared" si="11"/>
        <v>0</v>
      </c>
      <c r="J46" s="62"/>
      <c r="K46" s="63"/>
      <c r="L46" s="63"/>
      <c r="M46" s="62"/>
      <c r="N46" s="320"/>
    </row>
    <row r="47" spans="1:14" s="10" customFormat="1" ht="14.25">
      <c r="A47" s="39" t="s">
        <v>569</v>
      </c>
      <c r="B47" s="194" t="s">
        <v>570</v>
      </c>
      <c r="C47" s="205">
        <v>50</v>
      </c>
      <c r="D47" s="196" t="s">
        <v>123</v>
      </c>
      <c r="E47" s="197"/>
      <c r="F47" s="197">
        <f t="shared" si="1"/>
        <v>0</v>
      </c>
      <c r="G47" s="270"/>
      <c r="H47" s="292">
        <f t="shared" si="10"/>
        <v>0</v>
      </c>
      <c r="I47" s="49">
        <f t="shared" si="11"/>
        <v>0</v>
      </c>
      <c r="J47" s="62"/>
      <c r="K47" s="63"/>
      <c r="L47" s="63"/>
      <c r="M47" s="62"/>
      <c r="N47" s="320"/>
    </row>
    <row r="48" spans="1:14" s="365" customFormat="1" ht="15">
      <c r="A48" s="366" t="s">
        <v>26</v>
      </c>
      <c r="B48" s="367"/>
      <c r="C48" s="368"/>
      <c r="D48" s="369"/>
      <c r="E48" s="370"/>
      <c r="F48" s="370"/>
      <c r="G48" s="371">
        <f>F49+F80+F97+F101+F54+F109+F116</f>
        <v>0</v>
      </c>
      <c r="H48" s="372">
        <f>SUM(H49:H127)</f>
        <v>0</v>
      </c>
      <c r="I48" s="373">
        <f t="shared" ref="I48:N48" si="12">SUM(I49:I127)</f>
        <v>0</v>
      </c>
      <c r="J48" s="373">
        <f>SUM(J49:J127)</f>
        <v>0</v>
      </c>
      <c r="K48" s="373">
        <f t="shared" si="12"/>
        <v>0</v>
      </c>
      <c r="L48" s="373">
        <f t="shared" si="12"/>
        <v>0</v>
      </c>
      <c r="M48" s="373">
        <f t="shared" si="12"/>
        <v>0</v>
      </c>
      <c r="N48" s="374">
        <f t="shared" si="12"/>
        <v>0</v>
      </c>
    </row>
    <row r="49" spans="1:14" s="10" customFormat="1" ht="15">
      <c r="A49" s="93" t="s">
        <v>27</v>
      </c>
      <c r="B49" s="94" t="s">
        <v>28</v>
      </c>
      <c r="C49" s="95"/>
      <c r="D49" s="96"/>
      <c r="E49" s="97"/>
      <c r="F49" s="98">
        <f>SUM(F50:F53)</f>
        <v>0</v>
      </c>
      <c r="G49" s="269"/>
      <c r="H49" s="290"/>
      <c r="I49" s="98"/>
      <c r="J49" s="98"/>
      <c r="K49" s="99"/>
      <c r="L49" s="99"/>
      <c r="M49" s="98"/>
      <c r="N49" s="319"/>
    </row>
    <row r="50" spans="1:14" s="10" customFormat="1" ht="14.25">
      <c r="A50" s="215" t="s">
        <v>29</v>
      </c>
      <c r="B50" s="194" t="s">
        <v>411</v>
      </c>
      <c r="C50" s="210">
        <v>400</v>
      </c>
      <c r="D50" s="203" t="s">
        <v>22</v>
      </c>
      <c r="E50" s="197"/>
      <c r="F50" s="197">
        <f>C50*E50</f>
        <v>0</v>
      </c>
      <c r="G50" s="273"/>
      <c r="H50" s="292">
        <f>F50</f>
        <v>0</v>
      </c>
      <c r="I50" s="30"/>
      <c r="J50" s="29"/>
      <c r="K50" s="59"/>
      <c r="L50" s="59"/>
      <c r="M50" s="29"/>
      <c r="N50" s="321"/>
    </row>
    <row r="51" spans="1:14" s="10" customFormat="1" ht="21.75" customHeight="1">
      <c r="A51" s="27" t="s">
        <v>30</v>
      </c>
      <c r="B51" s="194" t="s">
        <v>413</v>
      </c>
      <c r="C51" s="210">
        <v>2</v>
      </c>
      <c r="D51" s="216" t="s">
        <v>20</v>
      </c>
      <c r="E51" s="197"/>
      <c r="F51" s="197">
        <f>C51*E51</f>
        <v>0</v>
      </c>
      <c r="G51" s="273"/>
      <c r="H51" s="292">
        <f>F51</f>
        <v>0</v>
      </c>
      <c r="I51" s="29"/>
      <c r="J51" s="29"/>
      <c r="K51" s="29"/>
      <c r="L51" s="29"/>
      <c r="M51" s="29"/>
      <c r="N51" s="89"/>
    </row>
    <row r="52" spans="1:14" s="10" customFormat="1" ht="14.25">
      <c r="A52" s="27" t="s">
        <v>208</v>
      </c>
      <c r="B52" s="194" t="s">
        <v>192</v>
      </c>
      <c r="C52" s="210">
        <v>400</v>
      </c>
      <c r="D52" s="197" t="s">
        <v>22</v>
      </c>
      <c r="E52" s="197"/>
      <c r="F52" s="28">
        <f>E52*C52</f>
        <v>0</v>
      </c>
      <c r="G52" s="270"/>
      <c r="H52" s="292">
        <f>F52</f>
        <v>0</v>
      </c>
      <c r="I52" s="29"/>
      <c r="J52" s="29"/>
      <c r="K52" s="59"/>
      <c r="L52" s="59"/>
      <c r="M52" s="29"/>
      <c r="N52" s="321"/>
    </row>
    <row r="53" spans="1:14" s="10" customFormat="1" ht="14.25">
      <c r="A53" s="27" t="s">
        <v>265</v>
      </c>
      <c r="B53" s="217" t="s">
        <v>213</v>
      </c>
      <c r="C53" s="210">
        <f>C50*0.15</f>
        <v>60</v>
      </c>
      <c r="D53" s="197" t="s">
        <v>22</v>
      </c>
      <c r="E53" s="197"/>
      <c r="F53" s="197">
        <f>E53*C53</f>
        <v>0</v>
      </c>
      <c r="G53" s="270"/>
      <c r="H53" s="292">
        <f>F53</f>
        <v>0</v>
      </c>
      <c r="I53" s="29"/>
      <c r="J53" s="29"/>
      <c r="K53" s="59"/>
      <c r="L53" s="59"/>
      <c r="M53" s="29"/>
      <c r="N53" s="321"/>
    </row>
    <row r="54" spans="1:14" s="10" customFormat="1" ht="15">
      <c r="A54" s="101" t="s">
        <v>209</v>
      </c>
      <c r="B54" s="94" t="s">
        <v>32</v>
      </c>
      <c r="C54" s="95"/>
      <c r="D54" s="96"/>
      <c r="E54" s="97"/>
      <c r="F54" s="98">
        <f>SUM(F55:F79)</f>
        <v>0</v>
      </c>
      <c r="G54" s="269"/>
      <c r="H54" s="290"/>
      <c r="I54" s="98"/>
      <c r="J54" s="98"/>
      <c r="K54" s="99"/>
      <c r="L54" s="99"/>
      <c r="M54" s="98"/>
      <c r="N54" s="319"/>
    </row>
    <row r="55" spans="1:14" s="10" customFormat="1" ht="14.25">
      <c r="A55" s="27" t="s">
        <v>33</v>
      </c>
      <c r="B55" s="217" t="s">
        <v>195</v>
      </c>
      <c r="C55" s="210">
        <v>378.47</v>
      </c>
      <c r="D55" s="212" t="s">
        <v>22</v>
      </c>
      <c r="E55" s="197"/>
      <c r="F55" s="197">
        <f t="shared" ref="F55:F72" si="13">C55*E55</f>
        <v>0</v>
      </c>
      <c r="G55" s="273"/>
      <c r="H55" s="311"/>
      <c r="I55" s="31">
        <f>F55/3</f>
        <v>0</v>
      </c>
      <c r="J55" s="31">
        <f>F55/3</f>
        <v>0</v>
      </c>
      <c r="K55" s="50">
        <f>F55/3</f>
        <v>0</v>
      </c>
      <c r="L55" s="59"/>
      <c r="M55" s="29"/>
      <c r="N55" s="321"/>
    </row>
    <row r="56" spans="1:14" s="10" customFormat="1" ht="14.25">
      <c r="A56" s="27" t="s">
        <v>34</v>
      </c>
      <c r="B56" s="218" t="s">
        <v>178</v>
      </c>
      <c r="C56" s="210">
        <f>11.43+4.19</f>
        <v>15.620000000000001</v>
      </c>
      <c r="D56" s="216" t="s">
        <v>22</v>
      </c>
      <c r="E56" s="197"/>
      <c r="F56" s="197">
        <f t="shared" si="13"/>
        <v>0</v>
      </c>
      <c r="G56" s="273"/>
      <c r="H56" s="311"/>
      <c r="I56" s="31">
        <f t="shared" ref="I56:I79" si="14">F56/3</f>
        <v>0</v>
      </c>
      <c r="J56" s="31">
        <f t="shared" ref="J56:J79" si="15">F56/3</f>
        <v>0</v>
      </c>
      <c r="K56" s="50">
        <f t="shared" ref="K56:K79" si="16">F56/3</f>
        <v>0</v>
      </c>
      <c r="L56" s="59"/>
      <c r="M56" s="29"/>
      <c r="N56" s="321"/>
    </row>
    <row r="57" spans="1:14" s="10" customFormat="1" ht="14.25">
      <c r="A57" s="27" t="s">
        <v>36</v>
      </c>
      <c r="B57" s="211" t="s">
        <v>196</v>
      </c>
      <c r="C57" s="210">
        <v>57.76</v>
      </c>
      <c r="D57" s="212" t="s">
        <v>35</v>
      </c>
      <c r="E57" s="197"/>
      <c r="F57" s="28">
        <f t="shared" si="13"/>
        <v>0</v>
      </c>
      <c r="G57" s="273"/>
      <c r="H57" s="311"/>
      <c r="I57" s="31">
        <f t="shared" si="14"/>
        <v>0</v>
      </c>
      <c r="J57" s="31">
        <f t="shared" si="15"/>
        <v>0</v>
      </c>
      <c r="K57" s="50">
        <f t="shared" si="16"/>
        <v>0</v>
      </c>
      <c r="L57" s="59"/>
      <c r="M57" s="29"/>
      <c r="N57" s="321"/>
    </row>
    <row r="58" spans="1:14" s="10" customFormat="1" ht="14.25">
      <c r="A58" s="27" t="s">
        <v>37</v>
      </c>
      <c r="B58" s="206" t="s">
        <v>180</v>
      </c>
      <c r="C58" s="202">
        <f>378.47+11.43+4.19</f>
        <v>394.09000000000003</v>
      </c>
      <c r="D58" s="213" t="s">
        <v>22</v>
      </c>
      <c r="E58" s="207"/>
      <c r="F58" s="28">
        <f t="shared" si="13"/>
        <v>0</v>
      </c>
      <c r="G58" s="273"/>
      <c r="H58" s="311"/>
      <c r="I58" s="31">
        <f t="shared" si="14"/>
        <v>0</v>
      </c>
      <c r="J58" s="31">
        <f t="shared" si="15"/>
        <v>0</v>
      </c>
      <c r="K58" s="50">
        <f t="shared" si="16"/>
        <v>0</v>
      </c>
      <c r="L58" s="59"/>
      <c r="M58" s="29"/>
      <c r="N58" s="321"/>
    </row>
    <row r="59" spans="1:14" s="10" customFormat="1" ht="14.25">
      <c r="A59" s="215" t="s">
        <v>38</v>
      </c>
      <c r="B59" s="194" t="s">
        <v>193</v>
      </c>
      <c r="C59" s="210">
        <v>2400</v>
      </c>
      <c r="D59" s="216" t="s">
        <v>20</v>
      </c>
      <c r="E59" s="197"/>
      <c r="F59" s="197">
        <f t="shared" si="13"/>
        <v>0</v>
      </c>
      <c r="G59" s="273"/>
      <c r="H59" s="311"/>
      <c r="I59" s="31">
        <f t="shared" si="14"/>
        <v>0</v>
      </c>
      <c r="J59" s="31">
        <f t="shared" si="15"/>
        <v>0</v>
      </c>
      <c r="K59" s="50">
        <f t="shared" si="16"/>
        <v>0</v>
      </c>
      <c r="L59" s="59"/>
      <c r="M59" s="29"/>
      <c r="N59" s="321"/>
    </row>
    <row r="60" spans="1:14" s="10" customFormat="1" ht="14.25">
      <c r="A60" s="215" t="s">
        <v>39</v>
      </c>
      <c r="B60" s="217" t="s">
        <v>194</v>
      </c>
      <c r="C60" s="210">
        <v>516</v>
      </c>
      <c r="D60" s="216" t="s">
        <v>20</v>
      </c>
      <c r="E60" s="197"/>
      <c r="F60" s="197">
        <f t="shared" si="13"/>
        <v>0</v>
      </c>
      <c r="G60" s="273"/>
      <c r="H60" s="311"/>
      <c r="I60" s="31">
        <f t="shared" si="14"/>
        <v>0</v>
      </c>
      <c r="J60" s="31">
        <f t="shared" si="15"/>
        <v>0</v>
      </c>
      <c r="K60" s="50">
        <f t="shared" si="16"/>
        <v>0</v>
      </c>
      <c r="L60" s="59"/>
      <c r="M60" s="29"/>
      <c r="N60" s="321"/>
    </row>
    <row r="61" spans="1:14" s="10" customFormat="1" ht="28.5">
      <c r="A61" s="27" t="s">
        <v>40</v>
      </c>
      <c r="B61" s="217" t="s">
        <v>202</v>
      </c>
      <c r="C61" s="210">
        <v>394.09</v>
      </c>
      <c r="D61" s="212" t="s">
        <v>22</v>
      </c>
      <c r="E61" s="197"/>
      <c r="F61" s="197">
        <f t="shared" si="13"/>
        <v>0</v>
      </c>
      <c r="G61" s="273"/>
      <c r="H61" s="311"/>
      <c r="I61" s="31">
        <f t="shared" si="14"/>
        <v>0</v>
      </c>
      <c r="J61" s="31">
        <f t="shared" si="15"/>
        <v>0</v>
      </c>
      <c r="K61" s="50">
        <f t="shared" si="16"/>
        <v>0</v>
      </c>
      <c r="L61" s="29"/>
      <c r="M61" s="29"/>
      <c r="N61" s="89"/>
    </row>
    <row r="62" spans="1:14" s="10" customFormat="1" ht="14.25">
      <c r="A62" s="27" t="s">
        <v>42</v>
      </c>
      <c r="B62" s="206" t="s">
        <v>41</v>
      </c>
      <c r="C62" s="202">
        <f>0.2*C59+C60</f>
        <v>996</v>
      </c>
      <c r="D62" s="213" t="s">
        <v>35</v>
      </c>
      <c r="E62" s="207"/>
      <c r="F62" s="197">
        <f>C62*E62</f>
        <v>0</v>
      </c>
      <c r="G62" s="273"/>
      <c r="H62" s="311"/>
      <c r="I62" s="31">
        <f t="shared" si="14"/>
        <v>0</v>
      </c>
      <c r="J62" s="31">
        <f t="shared" si="15"/>
        <v>0</v>
      </c>
      <c r="K62" s="50">
        <f t="shared" si="16"/>
        <v>0</v>
      </c>
      <c r="L62" s="29"/>
      <c r="M62" s="29"/>
      <c r="N62" s="89"/>
    </row>
    <row r="63" spans="1:14" s="10" customFormat="1" ht="14.25">
      <c r="A63" s="27" t="s">
        <v>44</v>
      </c>
      <c r="B63" s="217" t="s">
        <v>318</v>
      </c>
      <c r="C63" s="219">
        <f>C55*0.3*0.03</f>
        <v>3.4062300000000003</v>
      </c>
      <c r="D63" s="216" t="s">
        <v>123</v>
      </c>
      <c r="E63" s="197"/>
      <c r="F63" s="197">
        <f>C63*E63</f>
        <v>0</v>
      </c>
      <c r="G63" s="273"/>
      <c r="H63" s="311"/>
      <c r="I63" s="31">
        <f t="shared" si="14"/>
        <v>0</v>
      </c>
      <c r="J63" s="31">
        <f t="shared" si="15"/>
        <v>0</v>
      </c>
      <c r="K63" s="50">
        <f t="shared" si="16"/>
        <v>0</v>
      </c>
      <c r="L63" s="29"/>
      <c r="M63" s="29"/>
      <c r="N63" s="89"/>
    </row>
    <row r="64" spans="1:14" s="10" customFormat="1" ht="14.25">
      <c r="A64" s="27" t="s">
        <v>45</v>
      </c>
      <c r="B64" s="217" t="s">
        <v>204</v>
      </c>
      <c r="C64" s="210">
        <v>62</v>
      </c>
      <c r="D64" s="212" t="s">
        <v>22</v>
      </c>
      <c r="E64" s="197"/>
      <c r="F64" s="197">
        <f>C64*E64</f>
        <v>0</v>
      </c>
      <c r="G64" s="273"/>
      <c r="H64" s="311"/>
      <c r="I64" s="31">
        <f t="shared" si="14"/>
        <v>0</v>
      </c>
      <c r="J64" s="31">
        <f t="shared" si="15"/>
        <v>0</v>
      </c>
      <c r="K64" s="50">
        <f t="shared" si="16"/>
        <v>0</v>
      </c>
      <c r="L64" s="29"/>
      <c r="M64" s="29"/>
      <c r="N64" s="89"/>
    </row>
    <row r="65" spans="1:14" s="10" customFormat="1" ht="14.25">
      <c r="A65" s="215" t="s">
        <v>46</v>
      </c>
      <c r="B65" s="217" t="s">
        <v>203</v>
      </c>
      <c r="C65" s="210">
        <v>5</v>
      </c>
      <c r="D65" s="212" t="s">
        <v>35</v>
      </c>
      <c r="E65" s="197"/>
      <c r="F65" s="197">
        <f>C65*E65</f>
        <v>0</v>
      </c>
      <c r="G65" s="273"/>
      <c r="H65" s="311"/>
      <c r="I65" s="31">
        <f t="shared" si="14"/>
        <v>0</v>
      </c>
      <c r="J65" s="31">
        <f t="shared" si="15"/>
        <v>0</v>
      </c>
      <c r="K65" s="50">
        <f t="shared" si="16"/>
        <v>0</v>
      </c>
      <c r="L65" s="29"/>
      <c r="M65" s="29"/>
      <c r="N65" s="89"/>
    </row>
    <row r="66" spans="1:14" s="10" customFormat="1" ht="14.25">
      <c r="A66" s="215" t="s">
        <v>48</v>
      </c>
      <c r="B66" s="211" t="s">
        <v>47</v>
      </c>
      <c r="C66" s="210">
        <v>44</v>
      </c>
      <c r="D66" s="212" t="s">
        <v>35</v>
      </c>
      <c r="E66" s="197"/>
      <c r="F66" s="197">
        <f t="shared" si="13"/>
        <v>0</v>
      </c>
      <c r="G66" s="273"/>
      <c r="H66" s="311"/>
      <c r="I66" s="31">
        <f t="shared" si="14"/>
        <v>0</v>
      </c>
      <c r="J66" s="31">
        <f t="shared" si="15"/>
        <v>0</v>
      </c>
      <c r="K66" s="50">
        <f t="shared" si="16"/>
        <v>0</v>
      </c>
      <c r="L66" s="59"/>
      <c r="M66" s="29"/>
      <c r="N66" s="321"/>
    </row>
    <row r="67" spans="1:14" s="10" customFormat="1" ht="14.25">
      <c r="A67" s="27" t="s">
        <v>50</v>
      </c>
      <c r="B67" s="211" t="s">
        <v>49</v>
      </c>
      <c r="C67" s="210">
        <v>44</v>
      </c>
      <c r="D67" s="212" t="s">
        <v>35</v>
      </c>
      <c r="E67" s="197"/>
      <c r="F67" s="197">
        <f t="shared" si="13"/>
        <v>0</v>
      </c>
      <c r="G67" s="273"/>
      <c r="H67" s="311"/>
      <c r="I67" s="31">
        <f t="shared" si="14"/>
        <v>0</v>
      </c>
      <c r="J67" s="31">
        <f t="shared" si="15"/>
        <v>0</v>
      </c>
      <c r="K67" s="50">
        <f t="shared" si="16"/>
        <v>0</v>
      </c>
      <c r="L67" s="59"/>
      <c r="M67" s="29"/>
      <c r="N67" s="321"/>
    </row>
    <row r="68" spans="1:14" s="10" customFormat="1" ht="28.5">
      <c r="A68" s="27" t="s">
        <v>51</v>
      </c>
      <c r="B68" s="206" t="s">
        <v>249</v>
      </c>
      <c r="C68" s="210">
        <v>56</v>
      </c>
      <c r="D68" s="212" t="s">
        <v>35</v>
      </c>
      <c r="E68" s="197"/>
      <c r="F68" s="197">
        <f t="shared" si="13"/>
        <v>0</v>
      </c>
      <c r="G68" s="273"/>
      <c r="H68" s="311"/>
      <c r="I68" s="31">
        <f t="shared" si="14"/>
        <v>0</v>
      </c>
      <c r="J68" s="31">
        <f t="shared" si="15"/>
        <v>0</v>
      </c>
      <c r="K68" s="50">
        <f t="shared" si="16"/>
        <v>0</v>
      </c>
      <c r="L68" s="59"/>
      <c r="M68" s="29"/>
      <c r="N68" s="321"/>
    </row>
    <row r="69" spans="1:14" s="10" customFormat="1" ht="14.25">
      <c r="A69" s="27" t="s">
        <v>52</v>
      </c>
      <c r="B69" s="211" t="s">
        <v>43</v>
      </c>
      <c r="C69" s="210">
        <v>6</v>
      </c>
      <c r="D69" s="212" t="s">
        <v>35</v>
      </c>
      <c r="E69" s="197"/>
      <c r="F69" s="197">
        <f>C69*E69</f>
        <v>0</v>
      </c>
      <c r="G69" s="273"/>
      <c r="H69" s="311"/>
      <c r="I69" s="31">
        <f t="shared" si="14"/>
        <v>0</v>
      </c>
      <c r="J69" s="31">
        <f t="shared" si="15"/>
        <v>0</v>
      </c>
      <c r="K69" s="50">
        <f t="shared" si="16"/>
        <v>0</v>
      </c>
      <c r="L69" s="29"/>
      <c r="M69" s="29"/>
      <c r="N69" s="89"/>
    </row>
    <row r="70" spans="1:14" s="10" customFormat="1" ht="14.25">
      <c r="A70" s="27" t="s">
        <v>53</v>
      </c>
      <c r="B70" s="194" t="s">
        <v>250</v>
      </c>
      <c r="C70" s="210">
        <v>12</v>
      </c>
      <c r="D70" s="212" t="s">
        <v>35</v>
      </c>
      <c r="E70" s="197"/>
      <c r="F70" s="197">
        <f t="shared" si="13"/>
        <v>0</v>
      </c>
      <c r="G70" s="274"/>
      <c r="H70" s="311"/>
      <c r="I70" s="31">
        <f t="shared" si="14"/>
        <v>0</v>
      </c>
      <c r="J70" s="31">
        <f t="shared" si="15"/>
        <v>0</v>
      </c>
      <c r="K70" s="50">
        <f t="shared" si="16"/>
        <v>0</v>
      </c>
      <c r="L70" s="59"/>
      <c r="M70" s="29"/>
      <c r="N70" s="321"/>
    </row>
    <row r="71" spans="1:14" s="10" customFormat="1" ht="14.25">
      <c r="A71" s="215" t="s">
        <v>55</v>
      </c>
      <c r="B71" s="194" t="s">
        <v>251</v>
      </c>
      <c r="C71" s="210">
        <v>44</v>
      </c>
      <c r="D71" s="212" t="s">
        <v>35</v>
      </c>
      <c r="E71" s="197"/>
      <c r="F71" s="197">
        <f t="shared" si="13"/>
        <v>0</v>
      </c>
      <c r="G71" s="274"/>
      <c r="H71" s="311"/>
      <c r="I71" s="31">
        <f t="shared" si="14"/>
        <v>0</v>
      </c>
      <c r="J71" s="31">
        <f t="shared" si="15"/>
        <v>0</v>
      </c>
      <c r="K71" s="50">
        <f t="shared" si="16"/>
        <v>0</v>
      </c>
      <c r="L71" s="29"/>
      <c r="M71" s="29"/>
      <c r="N71" s="89"/>
    </row>
    <row r="72" spans="1:14" s="10" customFormat="1" ht="14.25">
      <c r="A72" s="215" t="s">
        <v>56</v>
      </c>
      <c r="B72" s="211" t="s">
        <v>54</v>
      </c>
      <c r="C72" s="210">
        <v>11</v>
      </c>
      <c r="D72" s="212" t="s">
        <v>35</v>
      </c>
      <c r="E72" s="197"/>
      <c r="F72" s="197">
        <f t="shared" si="13"/>
        <v>0</v>
      </c>
      <c r="G72" s="273"/>
      <c r="H72" s="311"/>
      <c r="I72" s="31">
        <f t="shared" si="14"/>
        <v>0</v>
      </c>
      <c r="J72" s="31">
        <f t="shared" si="15"/>
        <v>0</v>
      </c>
      <c r="K72" s="50">
        <f t="shared" si="16"/>
        <v>0</v>
      </c>
      <c r="L72" s="59"/>
      <c r="M72" s="29"/>
      <c r="N72" s="321"/>
    </row>
    <row r="73" spans="1:14" s="10" customFormat="1" ht="14.25">
      <c r="A73" s="27" t="s">
        <v>57</v>
      </c>
      <c r="B73" s="198" t="s">
        <v>252</v>
      </c>
      <c r="C73" s="199">
        <v>12</v>
      </c>
      <c r="D73" s="201" t="s">
        <v>35</v>
      </c>
      <c r="E73" s="200"/>
      <c r="F73" s="197">
        <f>C73*E73</f>
        <v>0</v>
      </c>
      <c r="G73" s="273"/>
      <c r="H73" s="311"/>
      <c r="I73" s="31">
        <f t="shared" si="14"/>
        <v>0</v>
      </c>
      <c r="J73" s="31">
        <f t="shared" si="15"/>
        <v>0</v>
      </c>
      <c r="K73" s="50">
        <f t="shared" si="16"/>
        <v>0</v>
      </c>
      <c r="L73" s="29"/>
      <c r="M73" s="29"/>
      <c r="N73" s="89"/>
    </row>
    <row r="74" spans="1:14" s="10" customFormat="1" ht="14.25">
      <c r="A74" s="27" t="s">
        <v>60</v>
      </c>
      <c r="B74" s="198" t="s">
        <v>58</v>
      </c>
      <c r="C74" s="199">
        <v>86</v>
      </c>
      <c r="D74" s="201" t="s">
        <v>59</v>
      </c>
      <c r="E74" s="200"/>
      <c r="F74" s="28">
        <f>C74*E74</f>
        <v>0</v>
      </c>
      <c r="G74" s="273"/>
      <c r="H74" s="311"/>
      <c r="I74" s="31">
        <f t="shared" si="14"/>
        <v>0</v>
      </c>
      <c r="J74" s="31">
        <f t="shared" si="15"/>
        <v>0</v>
      </c>
      <c r="K74" s="50">
        <f t="shared" si="16"/>
        <v>0</v>
      </c>
      <c r="L74" s="29"/>
      <c r="M74" s="29"/>
      <c r="N74" s="89"/>
    </row>
    <row r="75" spans="1:14" s="10" customFormat="1" ht="14.25">
      <c r="A75" s="27" t="s">
        <v>266</v>
      </c>
      <c r="B75" s="217" t="s">
        <v>216</v>
      </c>
      <c r="C75" s="210">
        <v>3</v>
      </c>
      <c r="D75" s="216" t="s">
        <v>20</v>
      </c>
      <c r="E75" s="197"/>
      <c r="F75" s="197">
        <f>C75*E75</f>
        <v>0</v>
      </c>
      <c r="G75" s="274"/>
      <c r="H75" s="311"/>
      <c r="I75" s="31">
        <f t="shared" si="14"/>
        <v>0</v>
      </c>
      <c r="J75" s="31">
        <f t="shared" si="15"/>
        <v>0</v>
      </c>
      <c r="K75" s="50">
        <f t="shared" si="16"/>
        <v>0</v>
      </c>
      <c r="L75" s="59"/>
      <c r="M75" s="29"/>
      <c r="N75" s="321"/>
    </row>
    <row r="76" spans="1:14" s="10" customFormat="1" ht="14.25">
      <c r="A76" s="27" t="s">
        <v>267</v>
      </c>
      <c r="B76" s="221" t="s">
        <v>304</v>
      </c>
      <c r="C76" s="210">
        <v>2</v>
      </c>
      <c r="D76" s="196" t="s">
        <v>20</v>
      </c>
      <c r="E76" s="197"/>
      <c r="F76" s="197">
        <f>E76*C76</f>
        <v>0</v>
      </c>
      <c r="G76" s="274"/>
      <c r="H76" s="311"/>
      <c r="I76" s="31">
        <f t="shared" si="14"/>
        <v>0</v>
      </c>
      <c r="J76" s="31">
        <f t="shared" si="15"/>
        <v>0</v>
      </c>
      <c r="K76" s="50">
        <f t="shared" si="16"/>
        <v>0</v>
      </c>
      <c r="L76" s="29"/>
      <c r="M76" s="29"/>
      <c r="N76" s="89"/>
    </row>
    <row r="77" spans="1:14" s="10" customFormat="1" ht="28.5">
      <c r="A77" s="215" t="s">
        <v>268</v>
      </c>
      <c r="B77" s="198" t="s">
        <v>221</v>
      </c>
      <c r="C77" s="199">
        <v>4</v>
      </c>
      <c r="D77" s="201" t="s">
        <v>35</v>
      </c>
      <c r="E77" s="200"/>
      <c r="F77" s="197">
        <f>C77*E77</f>
        <v>0</v>
      </c>
      <c r="G77" s="273"/>
      <c r="H77" s="311"/>
      <c r="I77" s="31">
        <f t="shared" si="14"/>
        <v>0</v>
      </c>
      <c r="J77" s="31">
        <f t="shared" si="15"/>
        <v>0</v>
      </c>
      <c r="K77" s="50">
        <f t="shared" si="16"/>
        <v>0</v>
      </c>
      <c r="L77" s="29"/>
      <c r="M77" s="29"/>
      <c r="N77" s="89"/>
    </row>
    <row r="78" spans="1:14" s="10" customFormat="1" ht="14.25">
      <c r="A78" s="215" t="s">
        <v>269</v>
      </c>
      <c r="B78" s="198" t="s">
        <v>220</v>
      </c>
      <c r="C78" s="199">
        <v>4</v>
      </c>
      <c r="D78" s="201" t="s">
        <v>35</v>
      </c>
      <c r="E78" s="200"/>
      <c r="F78" s="197">
        <f>C78*E78</f>
        <v>0</v>
      </c>
      <c r="G78" s="273"/>
      <c r="H78" s="311"/>
      <c r="I78" s="31">
        <f t="shared" si="14"/>
        <v>0</v>
      </c>
      <c r="J78" s="31">
        <f t="shared" si="15"/>
        <v>0</v>
      </c>
      <c r="K78" s="50">
        <f t="shared" si="16"/>
        <v>0</v>
      </c>
      <c r="L78" s="29"/>
      <c r="M78" s="29"/>
      <c r="N78" s="89"/>
    </row>
    <row r="79" spans="1:14" s="10" customFormat="1" ht="15" customHeight="1">
      <c r="A79" s="27" t="s">
        <v>270</v>
      </c>
      <c r="B79" s="217" t="s">
        <v>222</v>
      </c>
      <c r="C79" s="210">
        <v>4</v>
      </c>
      <c r="D79" s="212" t="s">
        <v>35</v>
      </c>
      <c r="E79" s="197"/>
      <c r="F79" s="197">
        <f>C79*E79</f>
        <v>0</v>
      </c>
      <c r="G79" s="273"/>
      <c r="H79" s="311"/>
      <c r="I79" s="31">
        <f t="shared" si="14"/>
        <v>0</v>
      </c>
      <c r="J79" s="31">
        <f t="shared" si="15"/>
        <v>0</v>
      </c>
      <c r="K79" s="50">
        <f t="shared" si="16"/>
        <v>0</v>
      </c>
      <c r="L79" s="29"/>
      <c r="M79" s="29"/>
      <c r="N79" s="89"/>
    </row>
    <row r="80" spans="1:14" s="10" customFormat="1" ht="15">
      <c r="A80" s="93" t="s">
        <v>61</v>
      </c>
      <c r="B80" s="94" t="s">
        <v>62</v>
      </c>
      <c r="C80" s="95"/>
      <c r="D80" s="96"/>
      <c r="E80" s="97"/>
      <c r="F80" s="98">
        <f>SUM(F81:F96)</f>
        <v>0</v>
      </c>
      <c r="G80" s="269"/>
      <c r="H80" s="290"/>
      <c r="I80" s="98"/>
      <c r="J80" s="98"/>
      <c r="K80" s="99"/>
      <c r="L80" s="99"/>
      <c r="M80" s="98"/>
      <c r="N80" s="319"/>
    </row>
    <row r="81" spans="1:14" s="10" customFormat="1" ht="14.25">
      <c r="A81" s="215" t="s">
        <v>63</v>
      </c>
      <c r="B81" s="217" t="s">
        <v>198</v>
      </c>
      <c r="C81" s="210">
        <v>400</v>
      </c>
      <c r="D81" s="212" t="s">
        <v>22</v>
      </c>
      <c r="E81" s="197"/>
      <c r="F81" s="197">
        <f>E81*C81</f>
        <v>0</v>
      </c>
      <c r="G81" s="273"/>
      <c r="H81" s="311"/>
      <c r="I81" s="31">
        <f>F81/3</f>
        <v>0</v>
      </c>
      <c r="J81" s="31">
        <f>F81/3</f>
        <v>0</v>
      </c>
      <c r="K81" s="50">
        <f>F81/3</f>
        <v>0</v>
      </c>
      <c r="L81" s="59"/>
      <c r="M81" s="29"/>
      <c r="N81" s="321"/>
    </row>
    <row r="82" spans="1:14" s="10" customFormat="1" ht="14.25">
      <c r="A82" s="215" t="s">
        <v>64</v>
      </c>
      <c r="B82" s="217" t="s">
        <v>199</v>
      </c>
      <c r="C82" s="210">
        <v>400</v>
      </c>
      <c r="D82" s="212" t="s">
        <v>22</v>
      </c>
      <c r="E82" s="197"/>
      <c r="F82" s="197">
        <f t="shared" ref="F82:F93" si="17">E82*C82</f>
        <v>0</v>
      </c>
      <c r="G82" s="273"/>
      <c r="H82" s="311"/>
      <c r="I82" s="31">
        <f t="shared" ref="I82:I96" si="18">F82/3</f>
        <v>0</v>
      </c>
      <c r="J82" s="31">
        <f t="shared" ref="J82:J96" si="19">F82/3</f>
        <v>0</v>
      </c>
      <c r="K82" s="50">
        <f t="shared" ref="K82:K96" si="20">F82/3</f>
        <v>0</v>
      </c>
      <c r="L82" s="59"/>
      <c r="M82" s="29"/>
      <c r="N82" s="321"/>
    </row>
    <row r="83" spans="1:14" s="10" customFormat="1" ht="14.25">
      <c r="A83" s="215" t="s">
        <v>65</v>
      </c>
      <c r="B83" s="217" t="s">
        <v>253</v>
      </c>
      <c r="C83" s="210">
        <v>5</v>
      </c>
      <c r="D83" s="195" t="s">
        <v>22</v>
      </c>
      <c r="E83" s="197"/>
      <c r="F83" s="197">
        <f>C83*E83</f>
        <v>0</v>
      </c>
      <c r="G83" s="273"/>
      <c r="H83" s="311"/>
      <c r="I83" s="31">
        <f t="shared" si="18"/>
        <v>0</v>
      </c>
      <c r="J83" s="31">
        <f t="shared" si="19"/>
        <v>0</v>
      </c>
      <c r="K83" s="50">
        <f t="shared" si="20"/>
        <v>0</v>
      </c>
      <c r="L83" s="59"/>
      <c r="M83" s="29"/>
      <c r="N83" s="321"/>
    </row>
    <row r="84" spans="1:14" s="10" customFormat="1" ht="14.25">
      <c r="A84" s="215" t="s">
        <v>66</v>
      </c>
      <c r="B84" s="217" t="s">
        <v>177</v>
      </c>
      <c r="C84" s="210">
        <v>25</v>
      </c>
      <c r="D84" s="210" t="s">
        <v>35</v>
      </c>
      <c r="E84" s="197"/>
      <c r="F84" s="197">
        <f t="shared" si="17"/>
        <v>0</v>
      </c>
      <c r="G84" s="273"/>
      <c r="H84" s="311"/>
      <c r="I84" s="31">
        <f t="shared" si="18"/>
        <v>0</v>
      </c>
      <c r="J84" s="31">
        <f t="shared" si="19"/>
        <v>0</v>
      </c>
      <c r="K84" s="50">
        <f t="shared" si="20"/>
        <v>0</v>
      </c>
      <c r="L84" s="59"/>
      <c r="M84" s="29"/>
      <c r="N84" s="321"/>
    </row>
    <row r="85" spans="1:14" s="10" customFormat="1" ht="14.25">
      <c r="A85" s="215" t="s">
        <v>67</v>
      </c>
      <c r="B85" s="217" t="s">
        <v>176</v>
      </c>
      <c r="C85" s="210">
        <v>30</v>
      </c>
      <c r="D85" s="210" t="s">
        <v>35</v>
      </c>
      <c r="E85" s="197"/>
      <c r="F85" s="197">
        <f>E85*C85</f>
        <v>0</v>
      </c>
      <c r="G85" s="273"/>
      <c r="H85" s="311"/>
      <c r="I85" s="31">
        <f t="shared" si="18"/>
        <v>0</v>
      </c>
      <c r="J85" s="31">
        <f t="shared" si="19"/>
        <v>0</v>
      </c>
      <c r="K85" s="50">
        <f t="shared" si="20"/>
        <v>0</v>
      </c>
      <c r="L85" s="59"/>
      <c r="M85" s="29"/>
      <c r="N85" s="321"/>
    </row>
    <row r="86" spans="1:14" s="10" customFormat="1" ht="14.25">
      <c r="A86" s="215" t="s">
        <v>68</v>
      </c>
      <c r="B86" s="217" t="s">
        <v>206</v>
      </c>
      <c r="C86" s="210">
        <v>430</v>
      </c>
      <c r="D86" s="210" t="s">
        <v>35</v>
      </c>
      <c r="E86" s="197"/>
      <c r="F86" s="197">
        <f>E86*C86</f>
        <v>0</v>
      </c>
      <c r="G86" s="273"/>
      <c r="H86" s="311"/>
      <c r="I86" s="31">
        <f t="shared" si="18"/>
        <v>0</v>
      </c>
      <c r="J86" s="31">
        <f t="shared" si="19"/>
        <v>0</v>
      </c>
      <c r="K86" s="50">
        <f t="shared" si="20"/>
        <v>0</v>
      </c>
      <c r="L86" s="59"/>
      <c r="M86" s="29"/>
      <c r="N86" s="321"/>
    </row>
    <row r="87" spans="1:14" s="10" customFormat="1" ht="14.25">
      <c r="A87" s="215" t="s">
        <v>69</v>
      </c>
      <c r="B87" s="217" t="s">
        <v>207</v>
      </c>
      <c r="C87" s="210">
        <v>985</v>
      </c>
      <c r="D87" s="210" t="s">
        <v>35</v>
      </c>
      <c r="E87" s="197"/>
      <c r="F87" s="197">
        <f>E87*C87</f>
        <v>0</v>
      </c>
      <c r="G87" s="273"/>
      <c r="H87" s="311"/>
      <c r="I87" s="31">
        <f t="shared" si="18"/>
        <v>0</v>
      </c>
      <c r="J87" s="31">
        <f t="shared" si="19"/>
        <v>0</v>
      </c>
      <c r="K87" s="50">
        <f t="shared" si="20"/>
        <v>0</v>
      </c>
      <c r="L87" s="59"/>
      <c r="M87" s="29"/>
      <c r="N87" s="321"/>
    </row>
    <row r="88" spans="1:14" s="10" customFormat="1" ht="14.25">
      <c r="A88" s="215" t="s">
        <v>71</v>
      </c>
      <c r="B88" s="217" t="s">
        <v>214</v>
      </c>
      <c r="C88" s="210">
        <f>0.65*4*12</f>
        <v>31.200000000000003</v>
      </c>
      <c r="D88" s="222" t="s">
        <v>35</v>
      </c>
      <c r="E88" s="197"/>
      <c r="F88" s="197">
        <f t="shared" si="17"/>
        <v>0</v>
      </c>
      <c r="G88" s="273"/>
      <c r="H88" s="311"/>
      <c r="I88" s="31">
        <f t="shared" si="18"/>
        <v>0</v>
      </c>
      <c r="J88" s="31">
        <f t="shared" si="19"/>
        <v>0</v>
      </c>
      <c r="K88" s="50">
        <f t="shared" si="20"/>
        <v>0</v>
      </c>
      <c r="L88" s="59"/>
      <c r="M88" s="29"/>
      <c r="N88" s="321"/>
    </row>
    <row r="89" spans="1:14" s="10" customFormat="1" ht="14.25">
      <c r="A89" s="215" t="s">
        <v>73</v>
      </c>
      <c r="B89" s="217" t="s">
        <v>215</v>
      </c>
      <c r="C89" s="210">
        <f>3*4*12</f>
        <v>144</v>
      </c>
      <c r="D89" s="222" t="s">
        <v>20</v>
      </c>
      <c r="E89" s="197"/>
      <c r="F89" s="197">
        <f t="shared" si="17"/>
        <v>0</v>
      </c>
      <c r="G89" s="273"/>
      <c r="H89" s="311"/>
      <c r="I89" s="31">
        <f t="shared" si="18"/>
        <v>0</v>
      </c>
      <c r="J89" s="31">
        <f t="shared" si="19"/>
        <v>0</v>
      </c>
      <c r="K89" s="50">
        <f t="shared" si="20"/>
        <v>0</v>
      </c>
      <c r="L89" s="59"/>
      <c r="M89" s="29"/>
      <c r="N89" s="321"/>
    </row>
    <row r="90" spans="1:14" s="25" customFormat="1" ht="14.25">
      <c r="A90" s="215" t="s">
        <v>258</v>
      </c>
      <c r="B90" s="194" t="s">
        <v>254</v>
      </c>
      <c r="C90" s="195">
        <v>240</v>
      </c>
      <c r="D90" s="222" t="s">
        <v>35</v>
      </c>
      <c r="E90" s="197"/>
      <c r="F90" s="196">
        <f t="shared" si="17"/>
        <v>0</v>
      </c>
      <c r="G90" s="271"/>
      <c r="H90" s="311"/>
      <c r="I90" s="31">
        <f t="shared" si="18"/>
        <v>0</v>
      </c>
      <c r="J90" s="31">
        <f t="shared" si="19"/>
        <v>0</v>
      </c>
      <c r="K90" s="50">
        <f t="shared" si="20"/>
        <v>0</v>
      </c>
      <c r="L90" s="33"/>
      <c r="M90" s="33"/>
      <c r="N90" s="102"/>
    </row>
    <row r="91" spans="1:14" s="25" customFormat="1" ht="14.25">
      <c r="A91" s="215" t="s">
        <v>259</v>
      </c>
      <c r="B91" s="194" t="s">
        <v>255</v>
      </c>
      <c r="C91" s="195">
        <v>48</v>
      </c>
      <c r="D91" s="222" t="s">
        <v>20</v>
      </c>
      <c r="E91" s="197"/>
      <c r="F91" s="196">
        <f>E91*C91</f>
        <v>0</v>
      </c>
      <c r="G91" s="271"/>
      <c r="H91" s="311"/>
      <c r="I91" s="31">
        <f t="shared" si="18"/>
        <v>0</v>
      </c>
      <c r="J91" s="31">
        <f t="shared" si="19"/>
        <v>0</v>
      </c>
      <c r="K91" s="50">
        <f t="shared" si="20"/>
        <v>0</v>
      </c>
      <c r="L91" s="33"/>
      <c r="M91" s="33"/>
      <c r="N91" s="102"/>
    </row>
    <row r="92" spans="1:14" s="25" customFormat="1" ht="14.25">
      <c r="A92" s="215" t="s">
        <v>260</v>
      </c>
      <c r="B92" s="194" t="s">
        <v>256</v>
      </c>
      <c r="C92" s="195">
        <v>48</v>
      </c>
      <c r="D92" s="222" t="s">
        <v>20</v>
      </c>
      <c r="E92" s="197"/>
      <c r="F92" s="196">
        <f t="shared" si="17"/>
        <v>0</v>
      </c>
      <c r="G92" s="271"/>
      <c r="H92" s="311"/>
      <c r="I92" s="31">
        <f t="shared" si="18"/>
        <v>0</v>
      </c>
      <c r="J92" s="31">
        <f t="shared" si="19"/>
        <v>0</v>
      </c>
      <c r="K92" s="50">
        <f t="shared" si="20"/>
        <v>0</v>
      </c>
      <c r="L92" s="33"/>
      <c r="M92" s="33"/>
      <c r="N92" s="102"/>
    </row>
    <row r="93" spans="1:14" s="25" customFormat="1" ht="14.25">
      <c r="A93" s="215" t="s">
        <v>261</v>
      </c>
      <c r="B93" s="194" t="s">
        <v>257</v>
      </c>
      <c r="C93" s="195">
        <v>48</v>
      </c>
      <c r="D93" s="222" t="s">
        <v>20</v>
      </c>
      <c r="E93" s="197"/>
      <c r="F93" s="196">
        <f t="shared" si="17"/>
        <v>0</v>
      </c>
      <c r="G93" s="271"/>
      <c r="H93" s="311"/>
      <c r="I93" s="31">
        <f t="shared" si="18"/>
        <v>0</v>
      </c>
      <c r="J93" s="31">
        <f t="shared" si="19"/>
        <v>0</v>
      </c>
      <c r="K93" s="50">
        <f t="shared" si="20"/>
        <v>0</v>
      </c>
      <c r="L93" s="33"/>
      <c r="M93" s="33"/>
      <c r="N93" s="102"/>
    </row>
    <row r="94" spans="1:14" s="10" customFormat="1" ht="14.25">
      <c r="A94" s="215" t="s">
        <v>262</v>
      </c>
      <c r="B94" s="211" t="s">
        <v>70</v>
      </c>
      <c r="C94" s="210">
        <v>18</v>
      </c>
      <c r="D94" s="212" t="s">
        <v>59</v>
      </c>
      <c r="E94" s="197"/>
      <c r="F94" s="197">
        <f>C94*E94</f>
        <v>0</v>
      </c>
      <c r="G94" s="273"/>
      <c r="H94" s="311"/>
      <c r="I94" s="31">
        <f t="shared" si="18"/>
        <v>0</v>
      </c>
      <c r="J94" s="31">
        <f t="shared" si="19"/>
        <v>0</v>
      </c>
      <c r="K94" s="50">
        <f t="shared" si="20"/>
        <v>0</v>
      </c>
      <c r="L94" s="59"/>
      <c r="M94" s="29"/>
      <c r="N94" s="321"/>
    </row>
    <row r="95" spans="1:14" s="10" customFormat="1" ht="14.25">
      <c r="A95" s="215" t="s">
        <v>263</v>
      </c>
      <c r="B95" s="211" t="s">
        <v>72</v>
      </c>
      <c r="C95" s="210">
        <v>12</v>
      </c>
      <c r="D95" s="212" t="s">
        <v>59</v>
      </c>
      <c r="E95" s="197"/>
      <c r="F95" s="197">
        <f>C95*E95</f>
        <v>0</v>
      </c>
      <c r="G95" s="273"/>
      <c r="H95" s="311"/>
      <c r="I95" s="31">
        <f t="shared" si="18"/>
        <v>0</v>
      </c>
      <c r="J95" s="31">
        <f t="shared" si="19"/>
        <v>0</v>
      </c>
      <c r="K95" s="50">
        <f t="shared" si="20"/>
        <v>0</v>
      </c>
      <c r="L95" s="59"/>
      <c r="M95" s="29"/>
      <c r="N95" s="321"/>
    </row>
    <row r="96" spans="1:14" s="10" customFormat="1" ht="14.25">
      <c r="A96" s="215" t="s">
        <v>264</v>
      </c>
      <c r="B96" s="211" t="s">
        <v>74</v>
      </c>
      <c r="C96" s="210">
        <v>12</v>
      </c>
      <c r="D96" s="212" t="s">
        <v>59</v>
      </c>
      <c r="E96" s="197"/>
      <c r="F96" s="197">
        <f>C96*E96</f>
        <v>0</v>
      </c>
      <c r="G96" s="273"/>
      <c r="H96" s="311"/>
      <c r="I96" s="31">
        <f t="shared" si="18"/>
        <v>0</v>
      </c>
      <c r="J96" s="31">
        <f t="shared" si="19"/>
        <v>0</v>
      </c>
      <c r="K96" s="50">
        <f t="shared" si="20"/>
        <v>0</v>
      </c>
      <c r="L96" s="59"/>
      <c r="M96" s="29"/>
      <c r="N96" s="321"/>
    </row>
    <row r="97" spans="1:14" s="10" customFormat="1" ht="15">
      <c r="A97" s="93" t="s">
        <v>75</v>
      </c>
      <c r="B97" s="103" t="s">
        <v>211</v>
      </c>
      <c r="C97" s="95"/>
      <c r="D97" s="96"/>
      <c r="E97" s="97"/>
      <c r="F97" s="98">
        <f>SUM(F98:F100)</f>
        <v>0</v>
      </c>
      <c r="G97" s="269"/>
      <c r="H97" s="290"/>
      <c r="I97" s="98"/>
      <c r="J97" s="98"/>
      <c r="K97" s="99"/>
      <c r="L97" s="99"/>
      <c r="M97" s="98"/>
      <c r="N97" s="319"/>
    </row>
    <row r="98" spans="1:14" s="10" customFormat="1" ht="14.25">
      <c r="A98" s="39" t="s">
        <v>76</v>
      </c>
      <c r="B98" s="217" t="s">
        <v>217</v>
      </c>
      <c r="C98" s="210">
        <f>48*0.35</f>
        <v>16.799999999999997</v>
      </c>
      <c r="D98" s="212" t="s">
        <v>22</v>
      </c>
      <c r="E98" s="197"/>
      <c r="F98" s="197">
        <f>E98*C98</f>
        <v>0</v>
      </c>
      <c r="G98" s="273"/>
      <c r="H98" s="293"/>
      <c r="I98" s="40"/>
      <c r="J98" s="50">
        <f>F98/2</f>
        <v>0</v>
      </c>
      <c r="K98" s="50">
        <f>F98/2</f>
        <v>0</v>
      </c>
      <c r="L98" s="29"/>
      <c r="M98" s="180"/>
      <c r="N98" s="113"/>
    </row>
    <row r="99" spans="1:14" s="10" customFormat="1" ht="14.25">
      <c r="A99" s="39" t="s">
        <v>78</v>
      </c>
      <c r="B99" s="217" t="s">
        <v>218</v>
      </c>
      <c r="C99" s="210">
        <f>48*0.35</f>
        <v>16.799999999999997</v>
      </c>
      <c r="D99" s="212" t="s">
        <v>22</v>
      </c>
      <c r="E99" s="197"/>
      <c r="F99" s="197">
        <f>E99*C99</f>
        <v>0</v>
      </c>
      <c r="G99" s="273"/>
      <c r="H99" s="293"/>
      <c r="I99" s="40"/>
      <c r="J99" s="50">
        <f>F99/2</f>
        <v>0</v>
      </c>
      <c r="K99" s="50">
        <f>F99/2</f>
        <v>0</v>
      </c>
      <c r="L99" s="29"/>
      <c r="M99" s="180"/>
      <c r="N99" s="113"/>
    </row>
    <row r="100" spans="1:14" s="10" customFormat="1" ht="14.25">
      <c r="A100" s="39" t="s">
        <v>79</v>
      </c>
      <c r="B100" s="217" t="s">
        <v>219</v>
      </c>
      <c r="C100" s="210">
        <f>48*0.35</f>
        <v>16.799999999999997</v>
      </c>
      <c r="D100" s="212" t="s">
        <v>22</v>
      </c>
      <c r="E100" s="197"/>
      <c r="F100" s="197">
        <f>E100*C100</f>
        <v>0</v>
      </c>
      <c r="G100" s="273"/>
      <c r="H100" s="293"/>
      <c r="I100" s="40"/>
      <c r="J100" s="50">
        <f>F100/2</f>
        <v>0</v>
      </c>
      <c r="K100" s="50">
        <f>F100/2</f>
        <v>0</v>
      </c>
      <c r="L100" s="29"/>
      <c r="M100" s="180"/>
      <c r="N100" s="113"/>
    </row>
    <row r="101" spans="1:14" s="10" customFormat="1" ht="15">
      <c r="A101" s="104" t="s">
        <v>271</v>
      </c>
      <c r="B101" s="103" t="s">
        <v>212</v>
      </c>
      <c r="C101" s="95"/>
      <c r="D101" s="96"/>
      <c r="E101" s="96"/>
      <c r="F101" s="98">
        <f>SUM(F102:F108)</f>
        <v>0</v>
      </c>
      <c r="G101" s="269"/>
      <c r="H101" s="290"/>
      <c r="I101" s="98"/>
      <c r="J101" s="99"/>
      <c r="K101" s="99"/>
      <c r="L101" s="98"/>
      <c r="M101" s="98"/>
      <c r="N101" s="319"/>
    </row>
    <row r="102" spans="1:14" s="10" customFormat="1" ht="14.25">
      <c r="A102" s="39" t="s">
        <v>272</v>
      </c>
      <c r="B102" s="217" t="s">
        <v>229</v>
      </c>
      <c r="C102" s="210">
        <f>7.2*0.25</f>
        <v>1.8</v>
      </c>
      <c r="D102" s="212" t="s">
        <v>22</v>
      </c>
      <c r="E102" s="197"/>
      <c r="F102" s="28">
        <f>E102*C102</f>
        <v>0</v>
      </c>
      <c r="G102" s="273"/>
      <c r="H102" s="293"/>
      <c r="I102" s="40"/>
      <c r="J102" s="50">
        <f t="shared" ref="J102:J108" si="21">F102/2</f>
        <v>0</v>
      </c>
      <c r="K102" s="50">
        <f t="shared" ref="K102:K108" si="22">F102/2</f>
        <v>0</v>
      </c>
      <c r="L102" s="29"/>
      <c r="M102" s="180"/>
      <c r="N102" s="113"/>
    </row>
    <row r="103" spans="1:14" s="10" customFormat="1" ht="14.25">
      <c r="A103" s="220" t="s">
        <v>273</v>
      </c>
      <c r="B103" s="198" t="s">
        <v>230</v>
      </c>
      <c r="C103" s="199">
        <f>7.2*0.25</f>
        <v>1.8</v>
      </c>
      <c r="D103" s="201" t="s">
        <v>22</v>
      </c>
      <c r="E103" s="200"/>
      <c r="F103" s="28">
        <f>E103*C103</f>
        <v>0</v>
      </c>
      <c r="G103" s="273"/>
      <c r="H103" s="293"/>
      <c r="I103" s="40"/>
      <c r="J103" s="50">
        <f t="shared" si="21"/>
        <v>0</v>
      </c>
      <c r="K103" s="50">
        <f t="shared" si="22"/>
        <v>0</v>
      </c>
      <c r="L103" s="29"/>
      <c r="M103" s="180"/>
      <c r="N103" s="113"/>
    </row>
    <row r="104" spans="1:14" s="10" customFormat="1" ht="14.25">
      <c r="A104" s="39" t="s">
        <v>274</v>
      </c>
      <c r="B104" s="217" t="s">
        <v>231</v>
      </c>
      <c r="C104" s="210">
        <f>14*0.25</f>
        <v>3.5</v>
      </c>
      <c r="D104" s="203" t="s">
        <v>35</v>
      </c>
      <c r="E104" s="197"/>
      <c r="F104" s="28">
        <f>E104*C104</f>
        <v>0</v>
      </c>
      <c r="G104" s="273"/>
      <c r="H104" s="293"/>
      <c r="I104" s="40"/>
      <c r="J104" s="50">
        <f t="shared" si="21"/>
        <v>0</v>
      </c>
      <c r="K104" s="50">
        <f t="shared" si="22"/>
        <v>0</v>
      </c>
      <c r="L104" s="29"/>
      <c r="M104" s="180"/>
      <c r="N104" s="113"/>
    </row>
    <row r="105" spans="1:14" s="10" customFormat="1" ht="14.25">
      <c r="A105" s="220" t="s">
        <v>275</v>
      </c>
      <c r="B105" s="198" t="s">
        <v>233</v>
      </c>
      <c r="C105" s="199">
        <f>7.2*0.25</f>
        <v>1.8</v>
      </c>
      <c r="D105" s="201" t="s">
        <v>22</v>
      </c>
      <c r="E105" s="200"/>
      <c r="F105" s="28">
        <f>E105*C105</f>
        <v>0</v>
      </c>
      <c r="G105" s="273"/>
      <c r="H105" s="293"/>
      <c r="I105" s="40"/>
      <c r="J105" s="50">
        <f t="shared" si="21"/>
        <v>0</v>
      </c>
      <c r="K105" s="50">
        <f t="shared" si="22"/>
        <v>0</v>
      </c>
      <c r="L105" s="29"/>
      <c r="M105" s="180"/>
      <c r="N105" s="113"/>
    </row>
    <row r="106" spans="1:14" s="10" customFormat="1" ht="14.25">
      <c r="A106" s="39" t="s">
        <v>276</v>
      </c>
      <c r="B106" s="217" t="s">
        <v>343</v>
      </c>
      <c r="C106" s="210">
        <f>7.2*0.25</f>
        <v>1.8</v>
      </c>
      <c r="D106" s="212" t="s">
        <v>22</v>
      </c>
      <c r="E106" s="197"/>
      <c r="F106" s="28">
        <f>C106*E106</f>
        <v>0</v>
      </c>
      <c r="G106" s="273"/>
      <c r="H106" s="293"/>
      <c r="I106" s="40"/>
      <c r="J106" s="50">
        <f t="shared" si="21"/>
        <v>0</v>
      </c>
      <c r="K106" s="50">
        <f t="shared" si="22"/>
        <v>0</v>
      </c>
      <c r="L106" s="29"/>
      <c r="M106" s="180"/>
      <c r="N106" s="113"/>
    </row>
    <row r="107" spans="1:14" s="10" customFormat="1" ht="14.25">
      <c r="A107" s="220" t="s">
        <v>277</v>
      </c>
      <c r="B107" s="217" t="s">
        <v>234</v>
      </c>
      <c r="C107" s="210">
        <f>7.2*0.25</f>
        <v>1.8</v>
      </c>
      <c r="D107" s="212" t="s">
        <v>22</v>
      </c>
      <c r="E107" s="197"/>
      <c r="F107" s="28">
        <f>C107*E107</f>
        <v>0</v>
      </c>
      <c r="G107" s="273"/>
      <c r="H107" s="293"/>
      <c r="I107" s="40"/>
      <c r="J107" s="50">
        <f t="shared" si="21"/>
        <v>0</v>
      </c>
      <c r="K107" s="50">
        <f t="shared" si="22"/>
        <v>0</v>
      </c>
      <c r="L107" s="29"/>
      <c r="M107" s="180"/>
      <c r="N107" s="113"/>
    </row>
    <row r="108" spans="1:14" s="10" customFormat="1" ht="14.25">
      <c r="A108" s="39" t="s">
        <v>278</v>
      </c>
      <c r="B108" s="217" t="s">
        <v>205</v>
      </c>
      <c r="C108" s="210">
        <f>7.2*0.25</f>
        <v>1.8</v>
      </c>
      <c r="D108" s="212" t="s">
        <v>22</v>
      </c>
      <c r="E108" s="197"/>
      <c r="F108" s="28">
        <f>C108*E108</f>
        <v>0</v>
      </c>
      <c r="G108" s="273"/>
      <c r="H108" s="293"/>
      <c r="I108" s="40"/>
      <c r="J108" s="50">
        <f t="shared" si="21"/>
        <v>0</v>
      </c>
      <c r="K108" s="50">
        <f t="shared" si="22"/>
        <v>0</v>
      </c>
      <c r="L108" s="29"/>
      <c r="M108" s="180"/>
      <c r="N108" s="113"/>
    </row>
    <row r="109" spans="1:14" s="10" customFormat="1" ht="15">
      <c r="A109" s="104" t="s">
        <v>279</v>
      </c>
      <c r="B109" s="103" t="s">
        <v>200</v>
      </c>
      <c r="C109" s="95"/>
      <c r="D109" s="96"/>
      <c r="E109" s="97"/>
      <c r="F109" s="98">
        <f>SUM(F110:F115)</f>
        <v>0</v>
      </c>
      <c r="G109" s="269"/>
      <c r="H109" s="290"/>
      <c r="I109" s="98"/>
      <c r="J109" s="99"/>
      <c r="K109" s="99"/>
      <c r="L109" s="98"/>
      <c r="M109" s="98"/>
      <c r="N109" s="319"/>
    </row>
    <row r="110" spans="1:14" s="10" customFormat="1" ht="14.25">
      <c r="A110" s="39" t="s">
        <v>280</v>
      </c>
      <c r="B110" s="206" t="s">
        <v>80</v>
      </c>
      <c r="C110" s="202">
        <v>244.87</v>
      </c>
      <c r="D110" s="213" t="s">
        <v>22</v>
      </c>
      <c r="E110" s="207"/>
      <c r="F110" s="197">
        <f t="shared" ref="F110:F115" si="23">C110*E110</f>
        <v>0</v>
      </c>
      <c r="G110" s="273"/>
      <c r="H110" s="294"/>
      <c r="I110" s="180"/>
      <c r="J110" s="59"/>
      <c r="K110" s="31">
        <f t="shared" ref="K110:K115" si="24">F110/2</f>
        <v>0</v>
      </c>
      <c r="L110" s="31">
        <f t="shared" ref="L110:L115" si="25">F110/2</f>
        <v>0</v>
      </c>
      <c r="M110" s="180"/>
      <c r="N110" s="322"/>
    </row>
    <row r="111" spans="1:14" s="10" customFormat="1" ht="14.25">
      <c r="A111" s="39" t="s">
        <v>281</v>
      </c>
      <c r="B111" s="206" t="s">
        <v>77</v>
      </c>
      <c r="C111" s="202">
        <f>90.8</f>
        <v>90.8</v>
      </c>
      <c r="D111" s="213" t="s">
        <v>35</v>
      </c>
      <c r="E111" s="207"/>
      <c r="F111" s="197">
        <f t="shared" si="23"/>
        <v>0</v>
      </c>
      <c r="G111" s="273"/>
      <c r="H111" s="294"/>
      <c r="I111" s="180"/>
      <c r="J111" s="29"/>
      <c r="K111" s="31">
        <f t="shared" si="24"/>
        <v>0</v>
      </c>
      <c r="L111" s="31">
        <f t="shared" si="25"/>
        <v>0</v>
      </c>
      <c r="M111" s="180"/>
      <c r="N111" s="322"/>
    </row>
    <row r="112" spans="1:14" s="10" customFormat="1" ht="14.25">
      <c r="A112" s="193" t="s">
        <v>282</v>
      </c>
      <c r="B112" s="194" t="s">
        <v>236</v>
      </c>
      <c r="C112" s="195">
        <v>244.87</v>
      </c>
      <c r="D112" s="203" t="s">
        <v>22</v>
      </c>
      <c r="E112" s="196"/>
      <c r="F112" s="197">
        <f t="shared" si="23"/>
        <v>0</v>
      </c>
      <c r="G112" s="274"/>
      <c r="H112" s="294"/>
      <c r="I112" s="180"/>
      <c r="J112" s="59"/>
      <c r="K112" s="31">
        <f t="shared" si="24"/>
        <v>0</v>
      </c>
      <c r="L112" s="31">
        <f t="shared" si="25"/>
        <v>0</v>
      </c>
      <c r="M112" s="180"/>
      <c r="N112" s="322"/>
    </row>
    <row r="113" spans="1:14" s="10" customFormat="1" ht="14.25">
      <c r="A113" s="42" t="s">
        <v>283</v>
      </c>
      <c r="B113" s="217" t="s">
        <v>234</v>
      </c>
      <c r="C113" s="210">
        <v>244.87</v>
      </c>
      <c r="D113" s="212" t="s">
        <v>22</v>
      </c>
      <c r="E113" s="197"/>
      <c r="F113" s="197">
        <f t="shared" si="23"/>
        <v>0</v>
      </c>
      <c r="G113" s="274"/>
      <c r="H113" s="294"/>
      <c r="I113" s="180"/>
      <c r="J113" s="59"/>
      <c r="K113" s="31">
        <f t="shared" si="24"/>
        <v>0</v>
      </c>
      <c r="L113" s="31">
        <f t="shared" si="25"/>
        <v>0</v>
      </c>
      <c r="M113" s="180"/>
      <c r="N113" s="322"/>
    </row>
    <row r="114" spans="1:14" s="10" customFormat="1" ht="14.25">
      <c r="A114" s="41" t="s">
        <v>284</v>
      </c>
      <c r="B114" s="194" t="s">
        <v>414</v>
      </c>
      <c r="C114" s="210">
        <v>15</v>
      </c>
      <c r="D114" s="216" t="s">
        <v>20</v>
      </c>
      <c r="E114" s="197"/>
      <c r="F114" s="197">
        <f t="shared" si="23"/>
        <v>0</v>
      </c>
      <c r="G114" s="273"/>
      <c r="H114" s="294"/>
      <c r="I114" s="180"/>
      <c r="J114" s="106"/>
      <c r="K114" s="31">
        <f t="shared" si="24"/>
        <v>0</v>
      </c>
      <c r="L114" s="31">
        <f t="shared" si="25"/>
        <v>0</v>
      </c>
      <c r="M114" s="180"/>
      <c r="N114" s="322"/>
    </row>
    <row r="115" spans="1:14" s="10" customFormat="1" ht="14.25">
      <c r="A115" s="42" t="s">
        <v>347</v>
      </c>
      <c r="B115" s="217" t="s">
        <v>205</v>
      </c>
      <c r="C115" s="210">
        <v>244.87</v>
      </c>
      <c r="D115" s="212" t="s">
        <v>22</v>
      </c>
      <c r="E115" s="197"/>
      <c r="F115" s="197">
        <f t="shared" si="23"/>
        <v>0</v>
      </c>
      <c r="G115" s="273"/>
      <c r="H115" s="294"/>
      <c r="I115" s="180"/>
      <c r="J115" s="59"/>
      <c r="K115" s="31">
        <f t="shared" si="24"/>
        <v>0</v>
      </c>
      <c r="L115" s="31">
        <f t="shared" si="25"/>
        <v>0</v>
      </c>
      <c r="M115" s="180"/>
      <c r="N115" s="322"/>
    </row>
    <row r="116" spans="1:14" s="10" customFormat="1" ht="15">
      <c r="A116" s="104" t="s">
        <v>285</v>
      </c>
      <c r="B116" s="103" t="s">
        <v>201</v>
      </c>
      <c r="C116" s="95"/>
      <c r="D116" s="96"/>
      <c r="E116" s="97"/>
      <c r="F116" s="98">
        <f>SUM(F117:F127)</f>
        <v>0</v>
      </c>
      <c r="G116" s="269"/>
      <c r="H116" s="290"/>
      <c r="I116" s="98"/>
      <c r="J116" s="99"/>
      <c r="K116" s="99"/>
      <c r="L116" s="98"/>
      <c r="M116" s="98"/>
      <c r="N116" s="319"/>
    </row>
    <row r="117" spans="1:14" s="10" customFormat="1" ht="14.25">
      <c r="A117" s="193" t="s">
        <v>286</v>
      </c>
      <c r="B117" s="217" t="s">
        <v>227</v>
      </c>
      <c r="C117" s="210">
        <f>8.2+2.48</f>
        <v>10.68</v>
      </c>
      <c r="D117" s="212" t="s">
        <v>22</v>
      </c>
      <c r="E117" s="197"/>
      <c r="F117" s="197">
        <f t="shared" ref="F117:F123" si="26">E117*C117</f>
        <v>0</v>
      </c>
      <c r="G117" s="273"/>
      <c r="H117" s="293"/>
      <c r="I117" s="40"/>
      <c r="J117" s="50">
        <f t="shared" ref="J117:J127" si="27">F117/2</f>
        <v>0</v>
      </c>
      <c r="K117" s="50">
        <f t="shared" ref="K117:K127" si="28">F117/2</f>
        <v>0</v>
      </c>
      <c r="L117" s="29"/>
      <c r="M117" s="180"/>
      <c r="N117" s="113"/>
    </row>
    <row r="118" spans="1:14" s="10" customFormat="1" ht="14.25">
      <c r="A118" s="193" t="s">
        <v>287</v>
      </c>
      <c r="B118" s="217" t="s">
        <v>235</v>
      </c>
      <c r="C118" s="210">
        <f>8.2+2.48</f>
        <v>10.68</v>
      </c>
      <c r="D118" s="212" t="s">
        <v>22</v>
      </c>
      <c r="E118" s="197"/>
      <c r="F118" s="197">
        <f t="shared" si="26"/>
        <v>0</v>
      </c>
      <c r="G118" s="273"/>
      <c r="H118" s="293"/>
      <c r="I118" s="40"/>
      <c r="J118" s="50">
        <f t="shared" si="27"/>
        <v>0</v>
      </c>
      <c r="K118" s="50">
        <f t="shared" si="28"/>
        <v>0</v>
      </c>
      <c r="L118" s="29"/>
      <c r="M118" s="180"/>
      <c r="N118" s="113"/>
    </row>
    <row r="119" spans="1:14" s="10" customFormat="1" ht="14.25">
      <c r="A119" s="193" t="s">
        <v>288</v>
      </c>
      <c r="B119" s="217" t="s">
        <v>228</v>
      </c>
      <c r="C119" s="210">
        <f>1.5+1.5+6.5</f>
        <v>9.5</v>
      </c>
      <c r="D119" s="203" t="s">
        <v>35</v>
      </c>
      <c r="E119" s="197"/>
      <c r="F119" s="197">
        <f t="shared" si="26"/>
        <v>0</v>
      </c>
      <c r="G119" s="273"/>
      <c r="H119" s="293"/>
      <c r="I119" s="40"/>
      <c r="J119" s="50">
        <f t="shared" si="27"/>
        <v>0</v>
      </c>
      <c r="K119" s="50">
        <f t="shared" si="28"/>
        <v>0</v>
      </c>
      <c r="L119" s="29"/>
      <c r="M119" s="180"/>
      <c r="N119" s="113"/>
    </row>
    <row r="120" spans="1:14" s="10" customFormat="1" ht="14.25">
      <c r="A120" s="193" t="s">
        <v>289</v>
      </c>
      <c r="B120" s="206" t="s">
        <v>247</v>
      </c>
      <c r="C120" s="202">
        <f>9.5+5.5</f>
        <v>15</v>
      </c>
      <c r="D120" s="213" t="s">
        <v>35</v>
      </c>
      <c r="E120" s="207"/>
      <c r="F120" s="197">
        <f t="shared" si="26"/>
        <v>0</v>
      </c>
      <c r="G120" s="273"/>
      <c r="H120" s="293"/>
      <c r="I120" s="40"/>
      <c r="J120" s="50">
        <f t="shared" si="27"/>
        <v>0</v>
      </c>
      <c r="K120" s="50">
        <f t="shared" si="28"/>
        <v>0</v>
      </c>
      <c r="L120" s="29"/>
      <c r="M120" s="180"/>
      <c r="N120" s="113"/>
    </row>
    <row r="121" spans="1:14" s="10" customFormat="1" ht="14.25">
      <c r="A121" s="193" t="s">
        <v>290</v>
      </c>
      <c r="B121" s="206" t="s">
        <v>237</v>
      </c>
      <c r="C121" s="214">
        <f>(C118*1.81)*1.1</f>
        <v>21.26388</v>
      </c>
      <c r="D121" s="213" t="s">
        <v>35</v>
      </c>
      <c r="E121" s="207"/>
      <c r="F121" s="197">
        <f>E121*C121</f>
        <v>0</v>
      </c>
      <c r="G121" s="273"/>
      <c r="H121" s="293"/>
      <c r="I121" s="40"/>
      <c r="J121" s="50">
        <f t="shared" si="27"/>
        <v>0</v>
      </c>
      <c r="K121" s="50">
        <f t="shared" si="28"/>
        <v>0</v>
      </c>
      <c r="L121" s="29"/>
      <c r="M121" s="180"/>
      <c r="N121" s="113"/>
    </row>
    <row r="122" spans="1:14" s="10" customFormat="1" ht="14.25">
      <c r="A122" s="193" t="s">
        <v>291</v>
      </c>
      <c r="B122" s="206" t="s">
        <v>246</v>
      </c>
      <c r="C122" s="202">
        <f>9.5+5.5</f>
        <v>15</v>
      </c>
      <c r="D122" s="213" t="s">
        <v>35</v>
      </c>
      <c r="E122" s="207"/>
      <c r="F122" s="197">
        <f t="shared" si="26"/>
        <v>0</v>
      </c>
      <c r="G122" s="273"/>
      <c r="H122" s="293"/>
      <c r="I122" s="40"/>
      <c r="J122" s="50">
        <f t="shared" si="27"/>
        <v>0</v>
      </c>
      <c r="K122" s="50">
        <f t="shared" si="28"/>
        <v>0</v>
      </c>
      <c r="L122" s="29"/>
      <c r="M122" s="180"/>
      <c r="N122" s="113"/>
    </row>
    <row r="123" spans="1:14" s="10" customFormat="1" ht="14.25">
      <c r="A123" s="193" t="s">
        <v>292</v>
      </c>
      <c r="B123" s="206" t="s">
        <v>232</v>
      </c>
      <c r="C123" s="214">
        <f>(3*6.5)+(3*2.09)*1.1</f>
        <v>26.396999999999998</v>
      </c>
      <c r="D123" s="213" t="s">
        <v>35</v>
      </c>
      <c r="E123" s="207"/>
      <c r="F123" s="197">
        <f t="shared" si="26"/>
        <v>0</v>
      </c>
      <c r="G123" s="273"/>
      <c r="H123" s="293"/>
      <c r="I123" s="40"/>
      <c r="J123" s="50">
        <f t="shared" si="27"/>
        <v>0</v>
      </c>
      <c r="K123" s="50">
        <f t="shared" si="28"/>
        <v>0</v>
      </c>
      <c r="L123" s="29"/>
      <c r="M123" s="180"/>
      <c r="N123" s="113"/>
    </row>
    <row r="124" spans="1:14" s="25" customFormat="1" ht="14.25">
      <c r="A124" s="193" t="s">
        <v>293</v>
      </c>
      <c r="B124" s="206" t="s">
        <v>248</v>
      </c>
      <c r="C124" s="202">
        <v>44</v>
      </c>
      <c r="D124" s="213" t="s">
        <v>165</v>
      </c>
      <c r="E124" s="207"/>
      <c r="F124" s="196">
        <f>C124*E124</f>
        <v>0</v>
      </c>
      <c r="G124" s="271"/>
      <c r="H124" s="295"/>
      <c r="I124" s="37"/>
      <c r="J124" s="50">
        <f t="shared" si="27"/>
        <v>0</v>
      </c>
      <c r="K124" s="50">
        <f t="shared" si="28"/>
        <v>0</v>
      </c>
      <c r="L124" s="33"/>
      <c r="M124" s="23"/>
      <c r="N124" s="113"/>
    </row>
    <row r="125" spans="1:14" s="10" customFormat="1" ht="14.25">
      <c r="A125" s="193" t="s">
        <v>294</v>
      </c>
      <c r="B125" s="194" t="s">
        <v>344</v>
      </c>
      <c r="C125" s="210">
        <f>8.2+2.48</f>
        <v>10.68</v>
      </c>
      <c r="D125" s="212" t="s">
        <v>22</v>
      </c>
      <c r="E125" s="197"/>
      <c r="F125" s="197">
        <f>C125*E125</f>
        <v>0</v>
      </c>
      <c r="G125" s="273"/>
      <c r="H125" s="293"/>
      <c r="I125" s="40"/>
      <c r="J125" s="50">
        <f t="shared" si="27"/>
        <v>0</v>
      </c>
      <c r="K125" s="50">
        <f t="shared" si="28"/>
        <v>0</v>
      </c>
      <c r="L125" s="29"/>
      <c r="M125" s="180"/>
      <c r="N125" s="113"/>
    </row>
    <row r="126" spans="1:14" s="10" customFormat="1" ht="14.25">
      <c r="A126" s="193" t="s">
        <v>295</v>
      </c>
      <c r="B126" s="217" t="s">
        <v>234</v>
      </c>
      <c r="C126" s="210">
        <f>8.2+2.48</f>
        <v>10.68</v>
      </c>
      <c r="D126" s="212" t="s">
        <v>22</v>
      </c>
      <c r="E126" s="197"/>
      <c r="F126" s="197">
        <f>C126*E126</f>
        <v>0</v>
      </c>
      <c r="G126" s="273"/>
      <c r="H126" s="293"/>
      <c r="I126" s="40"/>
      <c r="J126" s="50">
        <f t="shared" si="27"/>
        <v>0</v>
      </c>
      <c r="K126" s="50">
        <f t="shared" si="28"/>
        <v>0</v>
      </c>
      <c r="L126" s="29"/>
      <c r="M126" s="180"/>
      <c r="N126" s="113"/>
    </row>
    <row r="127" spans="1:14" s="10" customFormat="1" ht="14.25">
      <c r="A127" s="193" t="s">
        <v>296</v>
      </c>
      <c r="B127" s="217" t="s">
        <v>346</v>
      </c>
      <c r="C127" s="210">
        <f>8.2+2.48</f>
        <v>10.68</v>
      </c>
      <c r="D127" s="212" t="s">
        <v>22</v>
      </c>
      <c r="E127" s="197"/>
      <c r="F127" s="197">
        <f>C127*E127</f>
        <v>0</v>
      </c>
      <c r="G127" s="273"/>
      <c r="H127" s="293"/>
      <c r="I127" s="40"/>
      <c r="J127" s="50">
        <f t="shared" si="27"/>
        <v>0</v>
      </c>
      <c r="K127" s="50">
        <f t="shared" si="28"/>
        <v>0</v>
      </c>
      <c r="L127" s="29"/>
      <c r="M127" s="180"/>
      <c r="N127" s="113"/>
    </row>
    <row r="128" spans="1:14" s="365" customFormat="1" ht="15">
      <c r="A128" s="356" t="s">
        <v>81</v>
      </c>
      <c r="B128" s="357"/>
      <c r="C128" s="358"/>
      <c r="D128" s="359"/>
      <c r="E128" s="360"/>
      <c r="F128" s="360"/>
      <c r="G128" s="361">
        <f>SUM(F129:F133)</f>
        <v>0</v>
      </c>
      <c r="H128" s="362">
        <f t="shared" ref="H128:N128" si="29">SUM(H129:H133)</f>
        <v>0</v>
      </c>
      <c r="I128" s="363">
        <f t="shared" si="29"/>
        <v>0</v>
      </c>
      <c r="J128" s="363">
        <f t="shared" si="29"/>
        <v>0</v>
      </c>
      <c r="K128" s="363">
        <f t="shared" si="29"/>
        <v>0</v>
      </c>
      <c r="L128" s="363">
        <f t="shared" si="29"/>
        <v>0</v>
      </c>
      <c r="M128" s="363">
        <f t="shared" si="29"/>
        <v>0</v>
      </c>
      <c r="N128" s="364">
        <f t="shared" si="29"/>
        <v>0</v>
      </c>
    </row>
    <row r="129" spans="1:14" s="10" customFormat="1" ht="14.25">
      <c r="A129" s="215" t="s">
        <v>82</v>
      </c>
      <c r="B129" s="223" t="s">
        <v>83</v>
      </c>
      <c r="C129" s="210">
        <v>44.3</v>
      </c>
      <c r="D129" s="212" t="s">
        <v>22</v>
      </c>
      <c r="E129" s="197"/>
      <c r="F129" s="197">
        <f>E129*C129</f>
        <v>0</v>
      </c>
      <c r="G129" s="273"/>
      <c r="H129" s="294"/>
      <c r="I129" s="31">
        <f>F129/3</f>
        <v>0</v>
      </c>
      <c r="J129" s="31">
        <f>F129/3</f>
        <v>0</v>
      </c>
      <c r="K129" s="31">
        <f>F129/3</f>
        <v>0</v>
      </c>
      <c r="L129" s="59"/>
      <c r="M129" s="29"/>
      <c r="N129" s="321"/>
    </row>
    <row r="130" spans="1:14" s="10" customFormat="1" ht="14.25">
      <c r="A130" s="193" t="s">
        <v>31</v>
      </c>
      <c r="B130" s="206" t="s">
        <v>307</v>
      </c>
      <c r="C130" s="202">
        <v>44.3</v>
      </c>
      <c r="D130" s="213" t="s">
        <v>22</v>
      </c>
      <c r="E130" s="207"/>
      <c r="F130" s="197">
        <f>E130*C130</f>
        <v>0</v>
      </c>
      <c r="G130" s="273"/>
      <c r="H130" s="294"/>
      <c r="I130" s="31">
        <f>F130/3</f>
        <v>0</v>
      </c>
      <c r="J130" s="31">
        <f>F130/3</f>
        <v>0</v>
      </c>
      <c r="K130" s="31">
        <f>F130/3</f>
        <v>0</v>
      </c>
      <c r="L130" s="59"/>
      <c r="M130" s="29"/>
      <c r="N130" s="321"/>
    </row>
    <row r="131" spans="1:14" s="10" customFormat="1" ht="14.25">
      <c r="A131" s="215" t="s">
        <v>85</v>
      </c>
      <c r="B131" s="217" t="s">
        <v>317</v>
      </c>
      <c r="C131" s="210">
        <v>44.3</v>
      </c>
      <c r="D131" s="212" t="s">
        <v>22</v>
      </c>
      <c r="E131" s="197"/>
      <c r="F131" s="197">
        <f>C131*E131</f>
        <v>0</v>
      </c>
      <c r="G131" s="273"/>
      <c r="H131" s="294"/>
      <c r="I131" s="31">
        <f>F131/3</f>
        <v>0</v>
      </c>
      <c r="J131" s="31">
        <f>F131/3</f>
        <v>0</v>
      </c>
      <c r="K131" s="31">
        <f>F131/3</f>
        <v>0</v>
      </c>
      <c r="L131" s="59"/>
      <c r="M131" s="29"/>
      <c r="N131" s="321"/>
    </row>
    <row r="132" spans="1:14" s="10" customFormat="1" ht="14.25">
      <c r="A132" s="215" t="s">
        <v>86</v>
      </c>
      <c r="B132" s="217" t="s">
        <v>234</v>
      </c>
      <c r="C132" s="210">
        <v>13.29</v>
      </c>
      <c r="D132" s="212" t="s">
        <v>22</v>
      </c>
      <c r="E132" s="197"/>
      <c r="F132" s="197">
        <f>C132*E132</f>
        <v>0</v>
      </c>
      <c r="G132" s="273"/>
      <c r="H132" s="294"/>
      <c r="I132" s="31">
        <f>F132/3</f>
        <v>0</v>
      </c>
      <c r="J132" s="31">
        <f>F132/3</f>
        <v>0</v>
      </c>
      <c r="K132" s="31">
        <f>F132/3</f>
        <v>0</v>
      </c>
      <c r="L132" s="59"/>
      <c r="M132" s="29"/>
      <c r="N132" s="321"/>
    </row>
    <row r="133" spans="1:14" s="10" customFormat="1" ht="14.25">
      <c r="A133" s="215" t="s">
        <v>87</v>
      </c>
      <c r="B133" s="217" t="s">
        <v>346</v>
      </c>
      <c r="C133" s="210">
        <v>44.3</v>
      </c>
      <c r="D133" s="212" t="s">
        <v>22</v>
      </c>
      <c r="E133" s="197"/>
      <c r="F133" s="197">
        <f>E133*C133</f>
        <v>0</v>
      </c>
      <c r="G133" s="273"/>
      <c r="H133" s="294"/>
      <c r="I133" s="31">
        <f>F133/3</f>
        <v>0</v>
      </c>
      <c r="J133" s="31">
        <f>F133/3</f>
        <v>0</v>
      </c>
      <c r="K133" s="31">
        <f>F133/3</f>
        <v>0</v>
      </c>
      <c r="L133" s="59"/>
      <c r="M133" s="29"/>
      <c r="N133" s="321"/>
    </row>
    <row r="134" spans="1:14" s="365" customFormat="1" ht="15">
      <c r="A134" s="356" t="s">
        <v>88</v>
      </c>
      <c r="B134" s="357"/>
      <c r="C134" s="358"/>
      <c r="D134" s="359"/>
      <c r="E134" s="360"/>
      <c r="F134" s="360"/>
      <c r="G134" s="361">
        <f>SUM(F135,F145)</f>
        <v>0</v>
      </c>
      <c r="H134" s="384">
        <f>SUM(H135:H150)</f>
        <v>0</v>
      </c>
      <c r="I134" s="385">
        <f t="shared" ref="I134:N134" si="30">SUM(I135:I150)</f>
        <v>0</v>
      </c>
      <c r="J134" s="385">
        <f t="shared" si="30"/>
        <v>0</v>
      </c>
      <c r="K134" s="385">
        <f t="shared" si="30"/>
        <v>0</v>
      </c>
      <c r="L134" s="385">
        <f t="shared" si="30"/>
        <v>0</v>
      </c>
      <c r="M134" s="385">
        <f t="shared" si="30"/>
        <v>0</v>
      </c>
      <c r="N134" s="386">
        <f t="shared" si="30"/>
        <v>0</v>
      </c>
    </row>
    <row r="135" spans="1:14" s="10" customFormat="1" ht="15">
      <c r="A135" s="93" t="s">
        <v>89</v>
      </c>
      <c r="B135" s="107" t="s">
        <v>90</v>
      </c>
      <c r="C135" s="97"/>
      <c r="D135" s="108"/>
      <c r="E135" s="109"/>
      <c r="F135" s="98">
        <f>SUM(F136:F144)</f>
        <v>0</v>
      </c>
      <c r="G135" s="275"/>
      <c r="H135" s="296"/>
      <c r="I135" s="110"/>
      <c r="J135" s="110"/>
      <c r="K135" s="111"/>
      <c r="L135" s="111"/>
      <c r="M135" s="110"/>
      <c r="N135" s="323"/>
    </row>
    <row r="136" spans="1:14" s="47" customFormat="1" ht="14.25">
      <c r="A136" s="193" t="s">
        <v>91</v>
      </c>
      <c r="B136" s="224" t="s">
        <v>415</v>
      </c>
      <c r="C136" s="202">
        <v>210</v>
      </c>
      <c r="D136" s="213" t="s">
        <v>22</v>
      </c>
      <c r="E136" s="207"/>
      <c r="F136" s="43">
        <f t="shared" ref="F136:F143" si="31">E136*C136</f>
        <v>0</v>
      </c>
      <c r="G136" s="276"/>
      <c r="H136" s="297"/>
      <c r="I136" s="45"/>
      <c r="J136" s="45"/>
      <c r="K136" s="46"/>
      <c r="L136" s="112">
        <f t="shared" ref="L136:L144" si="32">F136</f>
        <v>0</v>
      </c>
      <c r="M136" s="106"/>
      <c r="N136" s="159"/>
    </row>
    <row r="137" spans="1:14" s="47" customFormat="1" ht="14.25">
      <c r="A137" s="193" t="s">
        <v>92</v>
      </c>
      <c r="B137" s="224" t="s">
        <v>308</v>
      </c>
      <c r="C137" s="202">
        <v>18.5</v>
      </c>
      <c r="D137" s="213" t="s">
        <v>22</v>
      </c>
      <c r="E137" s="207"/>
      <c r="F137" s="43">
        <f t="shared" si="31"/>
        <v>0</v>
      </c>
      <c r="G137" s="276"/>
      <c r="H137" s="297"/>
      <c r="I137" s="45"/>
      <c r="J137" s="45"/>
      <c r="K137" s="46"/>
      <c r="L137" s="112">
        <f t="shared" si="32"/>
        <v>0</v>
      </c>
      <c r="M137" s="106"/>
      <c r="N137" s="159"/>
    </row>
    <row r="138" spans="1:14" s="10" customFormat="1" ht="14.25">
      <c r="A138" s="42" t="s">
        <v>93</v>
      </c>
      <c r="B138" s="217" t="s">
        <v>342</v>
      </c>
      <c r="C138" s="222">
        <v>18.5</v>
      </c>
      <c r="D138" s="212" t="s">
        <v>22</v>
      </c>
      <c r="E138" s="197"/>
      <c r="F138" s="30">
        <f>C138*E138</f>
        <v>0</v>
      </c>
      <c r="G138" s="273"/>
      <c r="H138" s="298"/>
      <c r="I138" s="40"/>
      <c r="J138" s="40"/>
      <c r="K138" s="40"/>
      <c r="L138" s="112">
        <f t="shared" si="32"/>
        <v>0</v>
      </c>
      <c r="M138" s="106"/>
      <c r="N138" s="159"/>
    </row>
    <row r="139" spans="1:14" s="44" customFormat="1" ht="14.25">
      <c r="A139" s="193" t="s">
        <v>94</v>
      </c>
      <c r="B139" s="206" t="s">
        <v>95</v>
      </c>
      <c r="C139" s="202">
        <v>5</v>
      </c>
      <c r="D139" s="213" t="s">
        <v>22</v>
      </c>
      <c r="E139" s="207"/>
      <c r="F139" s="30">
        <f>E139*C139</f>
        <v>0</v>
      </c>
      <c r="G139" s="273"/>
      <c r="H139" s="298"/>
      <c r="I139" s="40"/>
      <c r="J139" s="40"/>
      <c r="K139" s="40"/>
      <c r="L139" s="112">
        <f t="shared" si="32"/>
        <v>0</v>
      </c>
      <c r="M139" s="106"/>
      <c r="N139" s="159"/>
    </row>
    <row r="140" spans="1:14" s="47" customFormat="1" ht="14.25">
      <c r="A140" s="193" t="s">
        <v>310</v>
      </c>
      <c r="B140" s="206" t="s">
        <v>309</v>
      </c>
      <c r="C140" s="202">
        <v>18.5</v>
      </c>
      <c r="D140" s="213" t="s">
        <v>22</v>
      </c>
      <c r="E140" s="207"/>
      <c r="F140" s="43">
        <f t="shared" si="31"/>
        <v>0</v>
      </c>
      <c r="G140" s="276"/>
      <c r="H140" s="297"/>
      <c r="I140" s="45"/>
      <c r="J140" s="45"/>
      <c r="K140" s="46"/>
      <c r="L140" s="112">
        <f t="shared" si="32"/>
        <v>0</v>
      </c>
      <c r="M140" s="106"/>
      <c r="N140" s="159"/>
    </row>
    <row r="141" spans="1:14" s="44" customFormat="1" ht="14.25">
      <c r="A141" s="42" t="s">
        <v>312</v>
      </c>
      <c r="B141" s="206" t="s">
        <v>311</v>
      </c>
      <c r="C141" s="202">
        <v>20</v>
      </c>
      <c r="D141" s="213" t="s">
        <v>35</v>
      </c>
      <c r="E141" s="207"/>
      <c r="F141" s="197">
        <f t="shared" si="31"/>
        <v>0</v>
      </c>
      <c r="G141" s="273"/>
      <c r="H141" s="298"/>
      <c r="I141" s="40"/>
      <c r="J141" s="40"/>
      <c r="K141" s="40"/>
      <c r="L141" s="112">
        <f t="shared" si="32"/>
        <v>0</v>
      </c>
      <c r="M141" s="106"/>
      <c r="N141" s="159"/>
    </row>
    <row r="142" spans="1:14" s="44" customFormat="1" ht="14.25">
      <c r="A142" s="42" t="s">
        <v>314</v>
      </c>
      <c r="B142" s="225" t="s">
        <v>313</v>
      </c>
      <c r="C142" s="210">
        <v>25</v>
      </c>
      <c r="D142" s="203" t="s">
        <v>35</v>
      </c>
      <c r="E142" s="197"/>
      <c r="F142" s="197">
        <f t="shared" si="31"/>
        <v>0</v>
      </c>
      <c r="G142" s="273"/>
      <c r="H142" s="298"/>
      <c r="I142" s="40"/>
      <c r="J142" s="40"/>
      <c r="K142" s="40"/>
      <c r="L142" s="112">
        <f t="shared" si="32"/>
        <v>0</v>
      </c>
      <c r="M142" s="106"/>
      <c r="N142" s="159"/>
    </row>
    <row r="143" spans="1:14" s="44" customFormat="1" ht="14.25">
      <c r="A143" s="193" t="s">
        <v>341</v>
      </c>
      <c r="B143" s="206" t="s">
        <v>340</v>
      </c>
      <c r="C143" s="202">
        <v>25</v>
      </c>
      <c r="D143" s="213" t="s">
        <v>35</v>
      </c>
      <c r="E143" s="207"/>
      <c r="F143" s="197">
        <f t="shared" si="31"/>
        <v>0</v>
      </c>
      <c r="G143" s="273"/>
      <c r="H143" s="298"/>
      <c r="I143" s="40"/>
      <c r="J143" s="40"/>
      <c r="K143" s="40"/>
      <c r="L143" s="112">
        <f t="shared" si="32"/>
        <v>0</v>
      </c>
      <c r="M143" s="106"/>
      <c r="N143" s="159"/>
    </row>
    <row r="144" spans="1:14" s="10" customFormat="1" ht="14.25">
      <c r="A144" s="42" t="s">
        <v>345</v>
      </c>
      <c r="B144" s="217" t="s">
        <v>346</v>
      </c>
      <c r="C144" s="222">
        <f>C136+((C141+C142)*0.15)</f>
        <v>216.75</v>
      </c>
      <c r="D144" s="212" t="s">
        <v>22</v>
      </c>
      <c r="E144" s="197"/>
      <c r="F144" s="197">
        <f>E144*C144</f>
        <v>0</v>
      </c>
      <c r="G144" s="273"/>
      <c r="H144" s="293"/>
      <c r="I144" s="40"/>
      <c r="J144" s="40"/>
      <c r="K144" s="59"/>
      <c r="L144" s="112">
        <f t="shared" si="32"/>
        <v>0</v>
      </c>
      <c r="M144" s="29"/>
      <c r="N144" s="159"/>
    </row>
    <row r="145" spans="1:14" s="10" customFormat="1" ht="15">
      <c r="A145" s="93" t="s">
        <v>96</v>
      </c>
      <c r="B145" s="114" t="s">
        <v>97</v>
      </c>
      <c r="C145" s="97"/>
      <c r="D145" s="108"/>
      <c r="E145" s="109"/>
      <c r="F145" s="98">
        <f>SUM(F146:F150)</f>
        <v>0</v>
      </c>
      <c r="G145" s="275"/>
      <c r="H145" s="296"/>
      <c r="I145" s="110"/>
      <c r="J145" s="110"/>
      <c r="K145" s="111"/>
      <c r="L145" s="111"/>
      <c r="M145" s="110"/>
      <c r="N145" s="323"/>
    </row>
    <row r="146" spans="1:14" s="10" customFormat="1" ht="14.25">
      <c r="A146" s="39" t="s">
        <v>98</v>
      </c>
      <c r="B146" s="206" t="s">
        <v>99</v>
      </c>
      <c r="C146" s="202">
        <v>16</v>
      </c>
      <c r="D146" s="213" t="s">
        <v>22</v>
      </c>
      <c r="E146" s="207"/>
      <c r="F146" s="43">
        <f>E146*C146</f>
        <v>0</v>
      </c>
      <c r="G146" s="273"/>
      <c r="H146" s="298"/>
      <c r="I146" s="40"/>
      <c r="J146" s="40"/>
      <c r="K146" s="40"/>
      <c r="L146" s="112">
        <f>F146</f>
        <v>0</v>
      </c>
      <c r="M146" s="180"/>
      <c r="N146" s="321"/>
    </row>
    <row r="147" spans="1:14" s="10" customFormat="1" ht="14.25">
      <c r="A147" s="39" t="s">
        <v>100</v>
      </c>
      <c r="B147" s="206" t="s">
        <v>315</v>
      </c>
      <c r="C147" s="202">
        <v>16</v>
      </c>
      <c r="D147" s="213" t="s">
        <v>22</v>
      </c>
      <c r="E147" s="207"/>
      <c r="F147" s="43">
        <f>E147*C147</f>
        <v>0</v>
      </c>
      <c r="G147" s="273"/>
      <c r="H147" s="298"/>
      <c r="I147" s="40"/>
      <c r="J147" s="40"/>
      <c r="K147" s="40"/>
      <c r="L147" s="112">
        <f>F147</f>
        <v>0</v>
      </c>
      <c r="M147" s="180"/>
      <c r="N147" s="321"/>
    </row>
    <row r="148" spans="1:14" s="10" customFormat="1" ht="14.25">
      <c r="A148" s="39" t="s">
        <v>101</v>
      </c>
      <c r="B148" s="206" t="s">
        <v>316</v>
      </c>
      <c r="C148" s="202">
        <v>58</v>
      </c>
      <c r="D148" s="213" t="s">
        <v>22</v>
      </c>
      <c r="E148" s="207"/>
      <c r="F148" s="43">
        <f>E148*C148</f>
        <v>0</v>
      </c>
      <c r="G148" s="273"/>
      <c r="H148" s="298"/>
      <c r="I148" s="40"/>
      <c r="J148" s="40"/>
      <c r="K148" s="40"/>
      <c r="L148" s="112">
        <f>F148</f>
        <v>0</v>
      </c>
      <c r="M148" s="180"/>
      <c r="N148" s="321"/>
    </row>
    <row r="149" spans="1:14" s="10" customFormat="1" ht="14.25">
      <c r="A149" s="39" t="s">
        <v>586</v>
      </c>
      <c r="B149" s="217" t="s">
        <v>351</v>
      </c>
      <c r="C149" s="219">
        <f>C147+C148</f>
        <v>74</v>
      </c>
      <c r="D149" s="212" t="s">
        <v>22</v>
      </c>
      <c r="E149" s="197"/>
      <c r="F149" s="197">
        <f>C149*E149</f>
        <v>0</v>
      </c>
      <c r="G149" s="273"/>
      <c r="H149" s="298"/>
      <c r="I149" s="40"/>
      <c r="J149" s="40"/>
      <c r="K149" s="40"/>
      <c r="L149" s="112">
        <f>F149</f>
        <v>0</v>
      </c>
      <c r="M149" s="180"/>
      <c r="N149" s="113"/>
    </row>
    <row r="150" spans="1:14" s="10" customFormat="1" ht="14.25">
      <c r="A150" s="39" t="s">
        <v>587</v>
      </c>
      <c r="B150" s="194" t="s">
        <v>361</v>
      </c>
      <c r="C150" s="219">
        <f>(C147+C148)*0.75</f>
        <v>55.5</v>
      </c>
      <c r="D150" s="212" t="s">
        <v>22</v>
      </c>
      <c r="E150" s="197"/>
      <c r="F150" s="197">
        <f>C150*E150</f>
        <v>0</v>
      </c>
      <c r="G150" s="273"/>
      <c r="H150" s="298"/>
      <c r="I150" s="40"/>
      <c r="J150" s="40"/>
      <c r="K150" s="40"/>
      <c r="L150" s="112">
        <f>F150</f>
        <v>0</v>
      </c>
      <c r="M150" s="180"/>
      <c r="N150" s="113"/>
    </row>
    <row r="151" spans="1:14" s="365" customFormat="1" ht="15">
      <c r="A151" s="356" t="s">
        <v>102</v>
      </c>
      <c r="B151" s="357"/>
      <c r="C151" s="358"/>
      <c r="D151" s="359"/>
      <c r="E151" s="360"/>
      <c r="F151" s="360"/>
      <c r="G151" s="361">
        <f>SUM(F152,F160)</f>
        <v>0</v>
      </c>
      <c r="H151" s="384">
        <f>SUM(H152:H162)</f>
        <v>0</v>
      </c>
      <c r="I151" s="385">
        <f t="shared" ref="I151:N151" si="33">SUM(I152:I162)</f>
        <v>0</v>
      </c>
      <c r="J151" s="385">
        <f t="shared" si="33"/>
        <v>0</v>
      </c>
      <c r="K151" s="385">
        <f t="shared" si="33"/>
        <v>0</v>
      </c>
      <c r="L151" s="385">
        <f>SUM(L152:L162)</f>
        <v>0</v>
      </c>
      <c r="M151" s="385">
        <f t="shared" si="33"/>
        <v>0</v>
      </c>
      <c r="N151" s="386">
        <f t="shared" si="33"/>
        <v>0</v>
      </c>
    </row>
    <row r="152" spans="1:14" s="10" customFormat="1" ht="15">
      <c r="A152" s="93" t="s">
        <v>103</v>
      </c>
      <c r="B152" s="107" t="s">
        <v>104</v>
      </c>
      <c r="C152" s="115"/>
      <c r="D152" s="116"/>
      <c r="E152" s="98"/>
      <c r="F152" s="98">
        <f>SUM(F153:F159)</f>
        <v>0</v>
      </c>
      <c r="G152" s="269"/>
      <c r="H152" s="299"/>
      <c r="I152" s="117"/>
      <c r="J152" s="117"/>
      <c r="K152" s="118"/>
      <c r="L152" s="118"/>
      <c r="M152" s="117"/>
      <c r="N152" s="324"/>
    </row>
    <row r="153" spans="1:14" s="10" customFormat="1" ht="14.25">
      <c r="A153" s="193" t="s">
        <v>105</v>
      </c>
      <c r="B153" s="226" t="s">
        <v>111</v>
      </c>
      <c r="C153" s="219">
        <f>(3.09+0.54+1.58+0.725+3.14+1.135+0.36+1.09)*0.12*1.1</f>
        <v>1.5391199999999998</v>
      </c>
      <c r="D153" s="212" t="s">
        <v>22</v>
      </c>
      <c r="E153" s="197"/>
      <c r="F153" s="197">
        <f>E153*C153</f>
        <v>0</v>
      </c>
      <c r="G153" s="273"/>
      <c r="H153" s="298"/>
      <c r="I153" s="40"/>
      <c r="J153" s="40"/>
      <c r="K153" s="40"/>
      <c r="L153" s="112">
        <f t="shared" ref="L153:L159" si="34">F153</f>
        <v>0</v>
      </c>
      <c r="M153" s="106"/>
      <c r="N153" s="159"/>
    </row>
    <row r="154" spans="1:14" s="10" customFormat="1" ht="14.25">
      <c r="A154" s="42" t="s">
        <v>106</v>
      </c>
      <c r="B154" s="223" t="s">
        <v>83</v>
      </c>
      <c r="C154" s="219">
        <f>(3.09+0.54+1.58+0.725+3.14+1.135+0.36+1.09)*0.12*1.1</f>
        <v>1.5391199999999998</v>
      </c>
      <c r="D154" s="212" t="s">
        <v>22</v>
      </c>
      <c r="E154" s="197"/>
      <c r="F154" s="197">
        <f>E154*C154</f>
        <v>0</v>
      </c>
      <c r="G154" s="273"/>
      <c r="H154" s="298"/>
      <c r="I154" s="40"/>
      <c r="J154" s="40"/>
      <c r="K154" s="40"/>
      <c r="L154" s="112">
        <f t="shared" si="34"/>
        <v>0</v>
      </c>
      <c r="M154" s="106"/>
      <c r="N154" s="159"/>
    </row>
    <row r="155" spans="1:14" s="10" customFormat="1" ht="14.25">
      <c r="A155" s="42" t="s">
        <v>107</v>
      </c>
      <c r="B155" s="194" t="s">
        <v>417</v>
      </c>
      <c r="C155" s="210">
        <v>1</v>
      </c>
      <c r="D155" s="216" t="s">
        <v>20</v>
      </c>
      <c r="E155" s="197"/>
      <c r="F155" s="197">
        <f>C155*E155</f>
        <v>0</v>
      </c>
      <c r="G155" s="273"/>
      <c r="H155" s="298"/>
      <c r="I155" s="40"/>
      <c r="J155" s="40"/>
      <c r="K155" s="40"/>
      <c r="L155" s="112">
        <f t="shared" si="34"/>
        <v>0</v>
      </c>
      <c r="M155" s="106"/>
      <c r="N155" s="159"/>
    </row>
    <row r="156" spans="1:14" s="10" customFormat="1" ht="14.25">
      <c r="A156" s="42" t="s">
        <v>108</v>
      </c>
      <c r="B156" s="217" t="s">
        <v>339</v>
      </c>
      <c r="C156" s="219">
        <f>(3.09+0.54+1.58+0.725+3.14+1.135+0.36+1.09)*0.12*1.1</f>
        <v>1.5391199999999998</v>
      </c>
      <c r="D156" s="212" t="s">
        <v>22</v>
      </c>
      <c r="E156" s="197"/>
      <c r="F156" s="197">
        <f>C156*E156</f>
        <v>0</v>
      </c>
      <c r="G156" s="273"/>
      <c r="H156" s="298"/>
      <c r="I156" s="40"/>
      <c r="J156" s="40"/>
      <c r="K156" s="40"/>
      <c r="L156" s="112">
        <f t="shared" si="34"/>
        <v>0</v>
      </c>
      <c r="M156" s="106"/>
      <c r="N156" s="159"/>
    </row>
    <row r="157" spans="1:14" s="10" customFormat="1" ht="14.25">
      <c r="A157" s="193" t="s">
        <v>109</v>
      </c>
      <c r="B157" s="226" t="s">
        <v>84</v>
      </c>
      <c r="C157" s="219">
        <f>(3.09+0.54+1.58+0.725+3.14+1.135+0.36+1.09)*0.12*1.1</f>
        <v>1.5391199999999998</v>
      </c>
      <c r="D157" s="212" t="s">
        <v>22</v>
      </c>
      <c r="E157" s="197"/>
      <c r="F157" s="197">
        <f>E157*C157</f>
        <v>0</v>
      </c>
      <c r="G157" s="273"/>
      <c r="H157" s="298"/>
      <c r="I157" s="40"/>
      <c r="J157" s="40"/>
      <c r="K157" s="40"/>
      <c r="L157" s="112">
        <f t="shared" si="34"/>
        <v>0</v>
      </c>
      <c r="M157" s="106"/>
      <c r="N157" s="159"/>
    </row>
    <row r="158" spans="1:14" s="10" customFormat="1" ht="14.25">
      <c r="A158" s="193" t="s">
        <v>110</v>
      </c>
      <c r="B158" s="217" t="s">
        <v>234</v>
      </c>
      <c r="C158" s="219">
        <f>(3.09+0.54+1.58+0.725+3.14+1.135+0.36+1.09)*0.12*1.1</f>
        <v>1.5391199999999998</v>
      </c>
      <c r="D158" s="212" t="s">
        <v>22</v>
      </c>
      <c r="E158" s="197"/>
      <c r="F158" s="197">
        <f>E158*C158</f>
        <v>0</v>
      </c>
      <c r="G158" s="273"/>
      <c r="H158" s="298"/>
      <c r="I158" s="40"/>
      <c r="J158" s="40"/>
      <c r="K158" s="40"/>
      <c r="L158" s="112">
        <f t="shared" si="34"/>
        <v>0</v>
      </c>
      <c r="M158" s="106"/>
      <c r="N158" s="159"/>
    </row>
    <row r="159" spans="1:14" s="10" customFormat="1" ht="14.25">
      <c r="A159" s="193" t="s">
        <v>112</v>
      </c>
      <c r="B159" s="226" t="s">
        <v>113</v>
      </c>
      <c r="C159" s="210">
        <f>3.09+0.54+1.58+0.725+3.14+1.135+0.36+1.09</f>
        <v>11.659999999999998</v>
      </c>
      <c r="D159" s="203" t="s">
        <v>35</v>
      </c>
      <c r="E159" s="197"/>
      <c r="F159" s="197">
        <f>E159*C159</f>
        <v>0</v>
      </c>
      <c r="G159" s="273"/>
      <c r="H159" s="298"/>
      <c r="I159" s="40"/>
      <c r="J159" s="40"/>
      <c r="K159" s="40"/>
      <c r="L159" s="112">
        <f t="shared" si="34"/>
        <v>0</v>
      </c>
      <c r="M159" s="106"/>
      <c r="N159" s="159"/>
    </row>
    <row r="160" spans="1:14" s="10" customFormat="1" ht="15">
      <c r="A160" s="93" t="s">
        <v>114</v>
      </c>
      <c r="B160" s="114" t="s">
        <v>115</v>
      </c>
      <c r="C160" s="115"/>
      <c r="D160" s="116"/>
      <c r="E160" s="98"/>
      <c r="F160" s="98">
        <f>SUM(F161:F162)</f>
        <v>0</v>
      </c>
      <c r="G160" s="269"/>
      <c r="H160" s="299"/>
      <c r="I160" s="117"/>
      <c r="J160" s="117"/>
      <c r="K160" s="118"/>
      <c r="L160" s="118"/>
      <c r="M160" s="117"/>
      <c r="N160" s="324"/>
    </row>
    <row r="161" spans="1:14" s="10" customFormat="1" ht="14.25">
      <c r="A161" s="215" t="s">
        <v>116</v>
      </c>
      <c r="B161" s="227" t="s">
        <v>117</v>
      </c>
      <c r="C161" s="210">
        <v>69.95</v>
      </c>
      <c r="D161" s="203" t="s">
        <v>35</v>
      </c>
      <c r="E161" s="197"/>
      <c r="F161" s="197">
        <f>E161*C161</f>
        <v>0</v>
      </c>
      <c r="G161" s="273"/>
      <c r="H161" s="298"/>
      <c r="I161" s="40"/>
      <c r="J161" s="40"/>
      <c r="K161" s="40"/>
      <c r="L161" s="112">
        <f>F161</f>
        <v>0</v>
      </c>
      <c r="M161" s="180"/>
      <c r="N161" s="321"/>
    </row>
    <row r="162" spans="1:14" s="10" customFormat="1" ht="14.25">
      <c r="A162" s="27" t="s">
        <v>363</v>
      </c>
      <c r="B162" s="194" t="s">
        <v>364</v>
      </c>
      <c r="C162" s="219">
        <f>C161*0.25</f>
        <v>17.487500000000001</v>
      </c>
      <c r="D162" s="203" t="s">
        <v>35</v>
      </c>
      <c r="E162" s="197"/>
      <c r="F162" s="197">
        <f>C162*E162</f>
        <v>0</v>
      </c>
      <c r="G162" s="273"/>
      <c r="H162" s="298"/>
      <c r="I162" s="40"/>
      <c r="J162" s="40"/>
      <c r="K162" s="40"/>
      <c r="L162" s="112">
        <f>F162</f>
        <v>0</v>
      </c>
      <c r="M162" s="180"/>
      <c r="N162" s="113"/>
    </row>
    <row r="163" spans="1:14" s="365" customFormat="1" ht="15">
      <c r="A163" s="464" t="s">
        <v>572</v>
      </c>
      <c r="B163" s="387"/>
      <c r="C163" s="388"/>
      <c r="D163" s="389"/>
      <c r="E163" s="390"/>
      <c r="F163" s="390"/>
      <c r="G163" s="361">
        <f>F164+F169+F175+F172</f>
        <v>0</v>
      </c>
      <c r="H163" s="372">
        <f>SUM(H164:H178)</f>
        <v>0</v>
      </c>
      <c r="I163" s="373">
        <f t="shared" ref="I163:N163" si="35">SUM(I164:I178)</f>
        <v>0</v>
      </c>
      <c r="J163" s="373">
        <f t="shared" si="35"/>
        <v>0</v>
      </c>
      <c r="K163" s="373">
        <f t="shared" si="35"/>
        <v>0</v>
      </c>
      <c r="L163" s="373">
        <f t="shared" si="35"/>
        <v>0</v>
      </c>
      <c r="M163" s="373">
        <f t="shared" si="35"/>
        <v>0</v>
      </c>
      <c r="N163" s="374">
        <f t="shared" si="35"/>
        <v>0</v>
      </c>
    </row>
    <row r="164" spans="1:14" s="10" customFormat="1" ht="15">
      <c r="A164" s="93" t="s">
        <v>118</v>
      </c>
      <c r="B164" s="94" t="s">
        <v>119</v>
      </c>
      <c r="C164" s="97"/>
      <c r="D164" s="109"/>
      <c r="E164" s="109"/>
      <c r="F164" s="98">
        <f>SUM(F165:F168)</f>
        <v>0</v>
      </c>
      <c r="G164" s="275"/>
      <c r="H164" s="300"/>
      <c r="I164" s="109"/>
      <c r="J164" s="97"/>
      <c r="K164" s="119"/>
      <c r="L164" s="119"/>
      <c r="M164" s="97"/>
      <c r="N164" s="120"/>
    </row>
    <row r="165" spans="1:14" s="38" customFormat="1" ht="14.25">
      <c r="A165" s="208" t="s">
        <v>120</v>
      </c>
      <c r="B165" s="206" t="s">
        <v>352</v>
      </c>
      <c r="C165" s="214">
        <f>C168/2</f>
        <v>203.77499999999998</v>
      </c>
      <c r="D165" s="207" t="s">
        <v>22</v>
      </c>
      <c r="E165" s="197"/>
      <c r="F165" s="207">
        <f>C165*E165</f>
        <v>0</v>
      </c>
      <c r="G165" s="277"/>
      <c r="H165" s="295"/>
      <c r="I165" s="37"/>
      <c r="J165" s="37"/>
      <c r="K165" s="50">
        <f>F165/3</f>
        <v>0</v>
      </c>
      <c r="L165" s="50">
        <f>F165/3</f>
        <v>0</v>
      </c>
      <c r="M165" s="50">
        <f>F165/3</f>
        <v>0</v>
      </c>
      <c r="N165" s="113"/>
    </row>
    <row r="166" spans="1:14" s="38" customFormat="1" ht="14.25">
      <c r="A166" s="35" t="s">
        <v>121</v>
      </c>
      <c r="B166" s="206" t="s">
        <v>238</v>
      </c>
      <c r="C166" s="214">
        <f>C168/2</f>
        <v>203.77499999999998</v>
      </c>
      <c r="D166" s="207" t="s">
        <v>22</v>
      </c>
      <c r="E166" s="197"/>
      <c r="F166" s="207">
        <f>C166*E166</f>
        <v>0</v>
      </c>
      <c r="G166" s="277"/>
      <c r="H166" s="295"/>
      <c r="I166" s="37"/>
      <c r="J166" s="37"/>
      <c r="K166" s="50">
        <f>F166/3</f>
        <v>0</v>
      </c>
      <c r="L166" s="50">
        <f>F166/3</f>
        <v>0</v>
      </c>
      <c r="M166" s="50">
        <f>F166/3</f>
        <v>0</v>
      </c>
      <c r="N166" s="113"/>
    </row>
    <row r="167" spans="1:14" s="38" customFormat="1" ht="28.5">
      <c r="A167" s="35" t="s">
        <v>122</v>
      </c>
      <c r="B167" s="206" t="s">
        <v>239</v>
      </c>
      <c r="C167" s="214">
        <f>C166*0.05</f>
        <v>10.188749999999999</v>
      </c>
      <c r="D167" s="207" t="s">
        <v>123</v>
      </c>
      <c r="E167" s="197"/>
      <c r="F167" s="207">
        <f>C167*E167</f>
        <v>0</v>
      </c>
      <c r="G167" s="277"/>
      <c r="H167" s="295"/>
      <c r="I167" s="37"/>
      <c r="J167" s="37"/>
      <c r="K167" s="50">
        <f>F167/3</f>
        <v>0</v>
      </c>
      <c r="L167" s="50">
        <f>F167/3</f>
        <v>0</v>
      </c>
      <c r="M167" s="50">
        <f>F167/3</f>
        <v>0</v>
      </c>
      <c r="N167" s="113"/>
    </row>
    <row r="168" spans="1:14" s="38" customFormat="1" ht="14.25">
      <c r="A168" s="35" t="s">
        <v>124</v>
      </c>
      <c r="B168" s="206" t="s">
        <v>240</v>
      </c>
      <c r="C168" s="202">
        <f>(((45.9+42.12)+20.87)+28.1)+62.08+208.48</f>
        <v>407.54999999999995</v>
      </c>
      <c r="D168" s="207" t="s">
        <v>22</v>
      </c>
      <c r="E168" s="197"/>
      <c r="F168" s="207">
        <f>E168*C168</f>
        <v>0</v>
      </c>
      <c r="G168" s="277"/>
      <c r="H168" s="295"/>
      <c r="I168" s="37"/>
      <c r="J168" s="37"/>
      <c r="K168" s="50">
        <f>F168/3</f>
        <v>0</v>
      </c>
      <c r="L168" s="50">
        <f>F168/3</f>
        <v>0</v>
      </c>
      <c r="M168" s="50">
        <f>F168/3</f>
        <v>0</v>
      </c>
      <c r="N168" s="113"/>
    </row>
    <row r="169" spans="1:14" s="10" customFormat="1" ht="15">
      <c r="A169" s="101" t="s">
        <v>125</v>
      </c>
      <c r="B169" s="136" t="s">
        <v>353</v>
      </c>
      <c r="C169" s="97"/>
      <c r="D169" s="109"/>
      <c r="E169" s="109"/>
      <c r="F169" s="98">
        <f>SUM(F170:F171)</f>
        <v>0</v>
      </c>
      <c r="G169" s="275"/>
      <c r="H169" s="300"/>
      <c r="I169" s="109"/>
      <c r="J169" s="97"/>
      <c r="K169" s="119"/>
      <c r="L169" s="119"/>
      <c r="M169" s="97"/>
      <c r="N169" s="120"/>
    </row>
    <row r="170" spans="1:14" s="38" customFormat="1" ht="14.25">
      <c r="A170" s="35" t="s">
        <v>126</v>
      </c>
      <c r="B170" s="206" t="s">
        <v>354</v>
      </c>
      <c r="C170" s="214">
        <v>5</v>
      </c>
      <c r="D170" s="207" t="s">
        <v>22</v>
      </c>
      <c r="E170" s="197"/>
      <c r="F170" s="207">
        <f>C170*E170</f>
        <v>0</v>
      </c>
      <c r="G170" s="277"/>
      <c r="H170" s="295"/>
      <c r="I170" s="37"/>
      <c r="J170" s="37"/>
      <c r="K170" s="50">
        <f>F170/3</f>
        <v>0</v>
      </c>
      <c r="L170" s="50">
        <f>F170/3</f>
        <v>0</v>
      </c>
      <c r="M170" s="50">
        <f>F170/3</f>
        <v>0</v>
      </c>
      <c r="N170" s="113"/>
    </row>
    <row r="171" spans="1:14" s="10" customFormat="1" ht="14.25">
      <c r="A171" s="35" t="s">
        <v>369</v>
      </c>
      <c r="B171" s="194" t="s">
        <v>371</v>
      </c>
      <c r="C171" s="219">
        <f>C170*0.5</f>
        <v>2.5</v>
      </c>
      <c r="D171" s="212" t="s">
        <v>22</v>
      </c>
      <c r="E171" s="197"/>
      <c r="F171" s="197">
        <f>C171*E171</f>
        <v>0</v>
      </c>
      <c r="G171" s="273"/>
      <c r="H171" s="298"/>
      <c r="I171" s="40"/>
      <c r="J171" s="40"/>
      <c r="K171" s="40"/>
      <c r="L171" s="106"/>
      <c r="M171" s="112">
        <f>F171</f>
        <v>0</v>
      </c>
      <c r="N171" s="113"/>
    </row>
    <row r="172" spans="1:14" s="10" customFormat="1" ht="15">
      <c r="A172" s="104" t="s">
        <v>127</v>
      </c>
      <c r="B172" s="136" t="s">
        <v>365</v>
      </c>
      <c r="C172" s="97"/>
      <c r="D172" s="109"/>
      <c r="E172" s="109"/>
      <c r="F172" s="98">
        <f>SUM(F173:F174)</f>
        <v>0</v>
      </c>
      <c r="G172" s="275"/>
      <c r="H172" s="300"/>
      <c r="I172" s="109"/>
      <c r="J172" s="97"/>
      <c r="K172" s="119"/>
      <c r="L172" s="119"/>
      <c r="M172" s="97"/>
      <c r="N172" s="120"/>
    </row>
    <row r="173" spans="1:14" s="38" customFormat="1" ht="14.25">
      <c r="A173" s="338" t="s">
        <v>128</v>
      </c>
      <c r="B173" s="339" t="s">
        <v>367</v>
      </c>
      <c r="C173" s="340">
        <v>134</v>
      </c>
      <c r="D173" s="155" t="s">
        <v>368</v>
      </c>
      <c r="E173" s="28"/>
      <c r="F173" s="155">
        <f>C173*E173</f>
        <v>0</v>
      </c>
      <c r="G173" s="277"/>
      <c r="H173" s="295"/>
      <c r="I173" s="37"/>
      <c r="J173" s="37"/>
      <c r="K173" s="160"/>
      <c r="L173" s="337">
        <f>F173/2</f>
        <v>0</v>
      </c>
      <c r="M173" s="50">
        <f>F173/2</f>
        <v>0</v>
      </c>
      <c r="N173" s="113"/>
    </row>
    <row r="174" spans="1:14" s="38" customFormat="1" ht="14.25">
      <c r="A174" s="338" t="s">
        <v>130</v>
      </c>
      <c r="B174" s="339" t="s">
        <v>370</v>
      </c>
      <c r="C174" s="340">
        <v>134</v>
      </c>
      <c r="D174" s="155" t="s">
        <v>368</v>
      </c>
      <c r="E174" s="28"/>
      <c r="F174" s="155">
        <f>C174*E174</f>
        <v>0</v>
      </c>
      <c r="G174" s="277"/>
      <c r="H174" s="295"/>
      <c r="I174" s="37"/>
      <c r="J174" s="37"/>
      <c r="K174" s="160"/>
      <c r="L174" s="337">
        <f>F174/2</f>
        <v>0</v>
      </c>
      <c r="M174" s="50">
        <f>F174/2</f>
        <v>0</v>
      </c>
      <c r="N174" s="113"/>
    </row>
    <row r="175" spans="1:14" s="10" customFormat="1" ht="15">
      <c r="A175" s="190" t="s">
        <v>366</v>
      </c>
      <c r="B175" s="266" t="s">
        <v>571</v>
      </c>
      <c r="C175" s="191"/>
      <c r="D175" s="192"/>
      <c r="E175" s="109"/>
      <c r="F175" s="98">
        <f>SUM(F176:F178)</f>
        <v>0</v>
      </c>
      <c r="G175" s="275"/>
      <c r="H175" s="300"/>
      <c r="I175" s="109"/>
      <c r="J175" s="97"/>
      <c r="K175" s="119"/>
      <c r="L175" s="119"/>
      <c r="M175" s="119"/>
      <c r="N175" s="120"/>
    </row>
    <row r="176" spans="1:14" s="25" customFormat="1" ht="14.25">
      <c r="A176" s="193" t="s">
        <v>128</v>
      </c>
      <c r="B176" s="194" t="s">
        <v>129</v>
      </c>
      <c r="C176" s="195">
        <f>C178/2</f>
        <v>237.15</v>
      </c>
      <c r="D176" s="196" t="s">
        <v>22</v>
      </c>
      <c r="E176" s="197"/>
      <c r="F176" s="196">
        <f>C176*E176</f>
        <v>0</v>
      </c>
      <c r="G176" s="271"/>
      <c r="H176" s="301"/>
      <c r="I176" s="33"/>
      <c r="J176" s="37"/>
      <c r="K176" s="37"/>
      <c r="L176" s="37"/>
      <c r="M176" s="50">
        <f>F176/2</f>
        <v>0</v>
      </c>
      <c r="N176" s="325">
        <f>F176/2</f>
        <v>0</v>
      </c>
    </row>
    <row r="177" spans="1:18" s="25" customFormat="1" ht="28.5">
      <c r="A177" s="193" t="s">
        <v>130</v>
      </c>
      <c r="B177" s="217" t="s">
        <v>239</v>
      </c>
      <c r="C177" s="195">
        <f>C176*0.05</f>
        <v>11.857500000000002</v>
      </c>
      <c r="D177" s="196" t="s">
        <v>22</v>
      </c>
      <c r="E177" s="197"/>
      <c r="F177" s="196">
        <f>C177*E177</f>
        <v>0</v>
      </c>
      <c r="G177" s="271"/>
      <c r="H177" s="301"/>
      <c r="I177" s="33"/>
      <c r="J177" s="37"/>
      <c r="K177" s="37"/>
      <c r="L177" s="37"/>
      <c r="M177" s="50">
        <f>F177/2</f>
        <v>0</v>
      </c>
      <c r="N177" s="325">
        <f>F177/2</f>
        <v>0</v>
      </c>
    </row>
    <row r="178" spans="1:18" s="25" customFormat="1" ht="14.25">
      <c r="A178" s="193" t="s">
        <v>122</v>
      </c>
      <c r="B178" s="194" t="s">
        <v>240</v>
      </c>
      <c r="C178" s="195">
        <v>474.3</v>
      </c>
      <c r="D178" s="196" t="s">
        <v>22</v>
      </c>
      <c r="E178" s="197"/>
      <c r="F178" s="196">
        <f>E178*C178</f>
        <v>0</v>
      </c>
      <c r="G178" s="271"/>
      <c r="H178" s="301"/>
      <c r="I178" s="33"/>
      <c r="J178" s="37"/>
      <c r="K178" s="37"/>
      <c r="L178" s="37"/>
      <c r="M178" s="50">
        <f>F178/2</f>
        <v>0</v>
      </c>
      <c r="N178" s="325">
        <f>F178/2</f>
        <v>0</v>
      </c>
    </row>
    <row r="179" spans="1:18" s="365" customFormat="1" ht="15">
      <c r="A179" s="464" t="s">
        <v>297</v>
      </c>
      <c r="B179" s="357"/>
      <c r="C179" s="358"/>
      <c r="D179" s="360"/>
      <c r="E179" s="360"/>
      <c r="F179" s="360"/>
      <c r="G179" s="361">
        <f>SUM(F180:F194)</f>
        <v>0</v>
      </c>
      <c r="H179" s="384">
        <f>SUM(H180:H194)</f>
        <v>0</v>
      </c>
      <c r="I179" s="384">
        <f t="shared" ref="I179:N179" si="36">SUM(I180:I194)</f>
        <v>0</v>
      </c>
      <c r="J179" s="384">
        <f t="shared" si="36"/>
        <v>0</v>
      </c>
      <c r="K179" s="384">
        <f t="shared" si="36"/>
        <v>0</v>
      </c>
      <c r="L179" s="384">
        <f t="shared" si="36"/>
        <v>0</v>
      </c>
      <c r="M179" s="384">
        <f t="shared" si="36"/>
        <v>0</v>
      </c>
      <c r="N179" s="384">
        <f t="shared" si="36"/>
        <v>0</v>
      </c>
    </row>
    <row r="180" spans="1:18" s="10" customFormat="1" ht="14.25">
      <c r="A180" s="193" t="s">
        <v>131</v>
      </c>
      <c r="B180" s="227" t="s">
        <v>144</v>
      </c>
      <c r="C180" s="210">
        <v>10</v>
      </c>
      <c r="D180" s="197" t="s">
        <v>20</v>
      </c>
      <c r="E180" s="197"/>
      <c r="F180" s="197">
        <f t="shared" ref="F180:F188" si="37">E180*C180</f>
        <v>0</v>
      </c>
      <c r="G180" s="273"/>
      <c r="H180" s="298"/>
      <c r="I180" s="180"/>
      <c r="J180" s="180"/>
      <c r="K180" s="92">
        <f t="shared" ref="K180:K189" si="38">F180/4</f>
        <v>0</v>
      </c>
      <c r="L180" s="31">
        <f>F180/2</f>
        <v>0</v>
      </c>
      <c r="M180" s="31">
        <f t="shared" ref="M180:M189" si="39">F180/4</f>
        <v>0</v>
      </c>
      <c r="N180" s="326"/>
    </row>
    <row r="181" spans="1:18" s="10" customFormat="1" ht="14.25">
      <c r="A181" s="193" t="s">
        <v>133</v>
      </c>
      <c r="B181" s="228" t="s">
        <v>304</v>
      </c>
      <c r="C181" s="210">
        <v>5</v>
      </c>
      <c r="D181" s="196" t="s">
        <v>20</v>
      </c>
      <c r="E181" s="197"/>
      <c r="F181" s="197">
        <f t="shared" si="37"/>
        <v>0</v>
      </c>
      <c r="G181" s="273"/>
      <c r="H181" s="298"/>
      <c r="I181" s="180"/>
      <c r="J181" s="180"/>
      <c r="K181" s="92">
        <f t="shared" si="38"/>
        <v>0</v>
      </c>
      <c r="L181" s="31">
        <f t="shared" ref="L181:L191" si="40">F181/2</f>
        <v>0</v>
      </c>
      <c r="M181" s="31">
        <f t="shared" si="39"/>
        <v>0</v>
      </c>
      <c r="N181" s="326"/>
    </row>
    <row r="182" spans="1:18" s="10" customFormat="1" ht="14.25">
      <c r="A182" s="193" t="s">
        <v>135</v>
      </c>
      <c r="B182" s="228" t="s">
        <v>302</v>
      </c>
      <c r="C182" s="210">
        <v>30</v>
      </c>
      <c r="D182" s="196" t="s">
        <v>20</v>
      </c>
      <c r="E182" s="197"/>
      <c r="F182" s="197">
        <f t="shared" si="37"/>
        <v>0</v>
      </c>
      <c r="G182" s="273"/>
      <c r="H182" s="298"/>
      <c r="I182" s="180"/>
      <c r="J182" s="180"/>
      <c r="K182" s="92">
        <f t="shared" si="38"/>
        <v>0</v>
      </c>
      <c r="L182" s="31">
        <f t="shared" si="40"/>
        <v>0</v>
      </c>
      <c r="M182" s="31">
        <f t="shared" si="39"/>
        <v>0</v>
      </c>
      <c r="N182" s="326"/>
    </row>
    <row r="183" spans="1:18" s="10" customFormat="1" ht="14.25">
      <c r="A183" s="193" t="s">
        <v>137</v>
      </c>
      <c r="B183" s="224" t="s">
        <v>419</v>
      </c>
      <c r="C183" s="202">
        <v>20</v>
      </c>
      <c r="D183" s="207" t="s">
        <v>20</v>
      </c>
      <c r="E183" s="207"/>
      <c r="F183" s="30">
        <f t="shared" si="37"/>
        <v>0</v>
      </c>
      <c r="G183" s="273"/>
      <c r="H183" s="298"/>
      <c r="I183" s="180"/>
      <c r="J183" s="180"/>
      <c r="K183" s="92">
        <f t="shared" si="38"/>
        <v>0</v>
      </c>
      <c r="L183" s="31">
        <f t="shared" si="40"/>
        <v>0</v>
      </c>
      <c r="M183" s="31">
        <f t="shared" si="39"/>
        <v>0</v>
      </c>
      <c r="N183" s="326"/>
    </row>
    <row r="184" spans="1:18" s="10" customFormat="1" ht="14.25">
      <c r="A184" s="193" t="s">
        <v>138</v>
      </c>
      <c r="B184" s="224" t="s">
        <v>420</v>
      </c>
      <c r="C184" s="202">
        <v>60</v>
      </c>
      <c r="D184" s="207" t="s">
        <v>20</v>
      </c>
      <c r="E184" s="207"/>
      <c r="F184" s="30">
        <f t="shared" si="37"/>
        <v>0</v>
      </c>
      <c r="G184" s="273"/>
      <c r="H184" s="298"/>
      <c r="I184" s="180"/>
      <c r="J184" s="180"/>
      <c r="K184" s="92">
        <f t="shared" si="38"/>
        <v>0</v>
      </c>
      <c r="L184" s="31">
        <f t="shared" si="40"/>
        <v>0</v>
      </c>
      <c r="M184" s="31">
        <f t="shared" si="39"/>
        <v>0</v>
      </c>
      <c r="N184" s="326"/>
    </row>
    <row r="185" spans="1:18" s="10" customFormat="1" ht="14.25">
      <c r="A185" s="193" t="s">
        <v>139</v>
      </c>
      <c r="B185" s="227" t="s">
        <v>157</v>
      </c>
      <c r="C185" s="210">
        <f>(8*0.3)*1.15</f>
        <v>2.76</v>
      </c>
      <c r="D185" s="197" t="s">
        <v>22</v>
      </c>
      <c r="E185" s="197"/>
      <c r="F185" s="197">
        <f t="shared" si="37"/>
        <v>0</v>
      </c>
      <c r="G185" s="274"/>
      <c r="H185" s="298"/>
      <c r="I185" s="180"/>
      <c r="J185" s="180"/>
      <c r="K185" s="92">
        <f t="shared" si="38"/>
        <v>0</v>
      </c>
      <c r="L185" s="31">
        <f t="shared" si="40"/>
        <v>0</v>
      </c>
      <c r="M185" s="31">
        <f t="shared" si="39"/>
        <v>0</v>
      </c>
      <c r="N185" s="326"/>
    </row>
    <row r="186" spans="1:18" s="10" customFormat="1" ht="14.25">
      <c r="A186" s="193" t="s">
        <v>140</v>
      </c>
      <c r="B186" s="194" t="s">
        <v>357</v>
      </c>
      <c r="C186" s="210">
        <v>1</v>
      </c>
      <c r="D186" s="197" t="s">
        <v>20</v>
      </c>
      <c r="E186" s="197"/>
      <c r="F186" s="197">
        <f t="shared" si="37"/>
        <v>0</v>
      </c>
      <c r="G186" s="273"/>
      <c r="H186" s="298"/>
      <c r="I186" s="180"/>
      <c r="J186" s="180"/>
      <c r="K186" s="92">
        <f t="shared" si="38"/>
        <v>0</v>
      </c>
      <c r="L186" s="31">
        <f t="shared" si="40"/>
        <v>0</v>
      </c>
      <c r="M186" s="31">
        <f t="shared" si="39"/>
        <v>0</v>
      </c>
      <c r="N186" s="326"/>
    </row>
    <row r="187" spans="1:18" s="10" customFormat="1" ht="14.25">
      <c r="A187" s="193" t="s">
        <v>141</v>
      </c>
      <c r="B187" s="227" t="s">
        <v>160</v>
      </c>
      <c r="C187" s="210">
        <v>10</v>
      </c>
      <c r="D187" s="197" t="s">
        <v>161</v>
      </c>
      <c r="E187" s="197"/>
      <c r="F187" s="197">
        <f t="shared" si="37"/>
        <v>0</v>
      </c>
      <c r="G187" s="273"/>
      <c r="H187" s="298"/>
      <c r="I187" s="180"/>
      <c r="J187" s="180"/>
      <c r="K187" s="92">
        <f t="shared" si="38"/>
        <v>0</v>
      </c>
      <c r="L187" s="31">
        <f t="shared" si="40"/>
        <v>0</v>
      </c>
      <c r="M187" s="31">
        <f t="shared" si="39"/>
        <v>0</v>
      </c>
      <c r="N187" s="326"/>
    </row>
    <row r="188" spans="1:18" s="10" customFormat="1" ht="14.25">
      <c r="A188" s="193" t="s">
        <v>142</v>
      </c>
      <c r="B188" s="224" t="s">
        <v>163</v>
      </c>
      <c r="C188" s="202">
        <f>7</f>
        <v>7</v>
      </c>
      <c r="D188" s="207" t="s">
        <v>35</v>
      </c>
      <c r="E188" s="207"/>
      <c r="F188" s="197">
        <f t="shared" si="37"/>
        <v>0</v>
      </c>
      <c r="G188" s="273"/>
      <c r="H188" s="298"/>
      <c r="I188" s="180"/>
      <c r="J188" s="180"/>
      <c r="K188" s="92">
        <f t="shared" si="38"/>
        <v>0</v>
      </c>
      <c r="L188" s="31">
        <f t="shared" si="40"/>
        <v>0</v>
      </c>
      <c r="M188" s="31">
        <f t="shared" si="39"/>
        <v>0</v>
      </c>
      <c r="N188" s="326"/>
    </row>
    <row r="189" spans="1:18" s="10" customFormat="1" ht="14.25">
      <c r="A189" s="193" t="s">
        <v>298</v>
      </c>
      <c r="B189" s="227" t="s">
        <v>197</v>
      </c>
      <c r="C189" s="210">
        <f>((8*2)+(2*2)*34)+((8+2+2)*37)</f>
        <v>596</v>
      </c>
      <c r="D189" s="43" t="s">
        <v>20</v>
      </c>
      <c r="E189" s="197"/>
      <c r="F189" s="197">
        <f>E189*C189</f>
        <v>0</v>
      </c>
      <c r="G189" s="273"/>
      <c r="H189" s="298"/>
      <c r="I189" s="180"/>
      <c r="J189" s="180"/>
      <c r="K189" s="92">
        <f t="shared" si="38"/>
        <v>0</v>
      </c>
      <c r="L189" s="31">
        <f t="shared" si="40"/>
        <v>0</v>
      </c>
      <c r="M189" s="31">
        <f t="shared" si="39"/>
        <v>0</v>
      </c>
      <c r="N189" s="326"/>
      <c r="O189" s="161"/>
      <c r="P189" s="161"/>
      <c r="Q189" s="161"/>
      <c r="R189" s="161"/>
    </row>
    <row r="190" spans="1:18" s="10" customFormat="1" ht="14.25">
      <c r="A190" s="193" t="s">
        <v>299</v>
      </c>
      <c r="B190" s="228" t="s">
        <v>300</v>
      </c>
      <c r="C190" s="210">
        <f>0.63*6</f>
        <v>3.7800000000000002</v>
      </c>
      <c r="D190" s="197" t="s">
        <v>161</v>
      </c>
      <c r="E190" s="197"/>
      <c r="F190" s="197">
        <f>E190*C190</f>
        <v>0</v>
      </c>
      <c r="G190" s="273"/>
      <c r="H190" s="298"/>
      <c r="I190" s="180"/>
      <c r="J190" s="180"/>
      <c r="K190" s="90"/>
      <c r="L190" s="31">
        <f t="shared" si="40"/>
        <v>0</v>
      </c>
      <c r="M190" s="31">
        <f>F190/2</f>
        <v>0</v>
      </c>
      <c r="N190" s="327"/>
      <c r="O190" s="161"/>
      <c r="P190" s="161"/>
      <c r="Q190" s="161"/>
      <c r="R190" s="161"/>
    </row>
    <row r="191" spans="1:18" s="25" customFormat="1" ht="14.25">
      <c r="A191" s="193" t="s">
        <v>306</v>
      </c>
      <c r="B191" s="224" t="s">
        <v>301</v>
      </c>
      <c r="C191" s="195">
        <v>220</v>
      </c>
      <c r="D191" s="203" t="s">
        <v>165</v>
      </c>
      <c r="E191" s="197"/>
      <c r="F191" s="196">
        <f>C191*E191</f>
        <v>0</v>
      </c>
      <c r="G191" s="271"/>
      <c r="H191" s="301"/>
      <c r="I191" s="23"/>
      <c r="J191" s="23"/>
      <c r="K191" s="90"/>
      <c r="L191" s="31">
        <f t="shared" si="40"/>
        <v>0</v>
      </c>
      <c r="M191" s="31">
        <f>F191/2</f>
        <v>0</v>
      </c>
      <c r="N191" s="327"/>
      <c r="O191" s="162"/>
      <c r="P191" s="162"/>
      <c r="Q191" s="162"/>
      <c r="R191" s="162"/>
    </row>
    <row r="192" spans="1:18" s="10" customFormat="1" ht="14.25">
      <c r="A192" s="193" t="s">
        <v>653</v>
      </c>
      <c r="B192" s="228" t="s">
        <v>656</v>
      </c>
      <c r="C192" s="210">
        <v>3</v>
      </c>
      <c r="D192" s="43" t="s">
        <v>20</v>
      </c>
      <c r="E192" s="197"/>
      <c r="F192" s="197">
        <f>E192*C192</f>
        <v>0</v>
      </c>
      <c r="G192" s="273"/>
      <c r="H192" s="298"/>
      <c r="I192" s="180"/>
      <c r="J192" s="180"/>
      <c r="K192" s="92">
        <f t="shared" ref="K192" si="41">F192/4</f>
        <v>0</v>
      </c>
      <c r="L192" s="31">
        <f t="shared" ref="L192:L194" si="42">F192/2</f>
        <v>0</v>
      </c>
      <c r="M192" s="31">
        <f t="shared" ref="M192" si="43">F192/4</f>
        <v>0</v>
      </c>
      <c r="N192" s="326"/>
      <c r="O192" s="161"/>
      <c r="P192" s="161"/>
      <c r="Q192" s="161"/>
      <c r="R192" s="161"/>
    </row>
    <row r="193" spans="1:18" s="10" customFormat="1" ht="28.5">
      <c r="A193" s="193" t="s">
        <v>654</v>
      </c>
      <c r="B193" s="194" t="s">
        <v>657</v>
      </c>
      <c r="C193" s="210">
        <v>3</v>
      </c>
      <c r="D193" s="43" t="s">
        <v>20</v>
      </c>
      <c r="E193" s="197"/>
      <c r="F193" s="197">
        <f>E193*C193</f>
        <v>0</v>
      </c>
      <c r="G193" s="273"/>
      <c r="H193" s="298"/>
      <c r="I193" s="180"/>
      <c r="J193" s="180"/>
      <c r="K193" s="90"/>
      <c r="L193" s="31">
        <f t="shared" si="42"/>
        <v>0</v>
      </c>
      <c r="M193" s="31">
        <f>F193/2</f>
        <v>0</v>
      </c>
      <c r="N193" s="327"/>
      <c r="O193" s="161"/>
      <c r="P193" s="161"/>
      <c r="Q193" s="161"/>
      <c r="R193" s="161"/>
    </row>
    <row r="194" spans="1:18" s="25" customFormat="1" ht="14.25">
      <c r="A194" s="193" t="s">
        <v>655</v>
      </c>
      <c r="B194" s="224" t="s">
        <v>658</v>
      </c>
      <c r="C194" s="195">
        <v>3</v>
      </c>
      <c r="D194" s="43" t="s">
        <v>20</v>
      </c>
      <c r="E194" s="197"/>
      <c r="F194" s="196">
        <f>C194*E194</f>
        <v>0</v>
      </c>
      <c r="G194" s="271"/>
      <c r="H194" s="301"/>
      <c r="I194" s="23"/>
      <c r="J194" s="23"/>
      <c r="K194" s="90"/>
      <c r="L194" s="31">
        <f t="shared" si="42"/>
        <v>0</v>
      </c>
      <c r="M194" s="31">
        <f>F194/2</f>
        <v>0</v>
      </c>
      <c r="N194" s="327"/>
      <c r="O194" s="162"/>
      <c r="P194" s="162"/>
      <c r="Q194" s="162"/>
      <c r="R194" s="162"/>
    </row>
    <row r="195" spans="1:18" s="402" customFormat="1" ht="15">
      <c r="A195" s="391" t="s">
        <v>319</v>
      </c>
      <c r="B195" s="392"/>
      <c r="C195" s="393"/>
      <c r="D195" s="394"/>
      <c r="E195" s="395"/>
      <c r="F195" s="395"/>
      <c r="G195" s="396">
        <f>SUM(F196,F203)</f>
        <v>0</v>
      </c>
      <c r="H195" s="397">
        <f>SUM(H196:H209)</f>
        <v>0</v>
      </c>
      <c r="I195" s="398">
        <f t="shared" ref="I195:N195" si="44">SUM(I196:I209)</f>
        <v>0</v>
      </c>
      <c r="J195" s="398">
        <f t="shared" si="44"/>
        <v>0</v>
      </c>
      <c r="K195" s="398">
        <f t="shared" si="44"/>
        <v>0</v>
      </c>
      <c r="L195" s="398">
        <f t="shared" si="44"/>
        <v>0</v>
      </c>
      <c r="M195" s="398">
        <f t="shared" si="44"/>
        <v>0</v>
      </c>
      <c r="N195" s="399">
        <f t="shared" si="44"/>
        <v>0</v>
      </c>
      <c r="O195" s="400"/>
      <c r="P195" s="400"/>
      <c r="Q195" s="401"/>
      <c r="R195" s="401"/>
    </row>
    <row r="196" spans="1:18" s="51" customFormat="1" ht="15">
      <c r="A196" s="52" t="s">
        <v>143</v>
      </c>
      <c r="B196" s="58" t="s">
        <v>348</v>
      </c>
      <c r="C196" s="53"/>
      <c r="D196" s="54"/>
      <c r="E196" s="55"/>
      <c r="F196" s="56">
        <f>SUM(F197:F202)</f>
        <v>0</v>
      </c>
      <c r="G196" s="278"/>
      <c r="H196" s="302"/>
      <c r="I196" s="57"/>
      <c r="J196" s="57"/>
      <c r="K196" s="57"/>
      <c r="L196" s="57"/>
      <c r="M196" s="57"/>
      <c r="N196" s="121"/>
      <c r="O196" s="163"/>
      <c r="P196" s="163"/>
      <c r="Q196" s="164"/>
      <c r="R196" s="164"/>
    </row>
    <row r="197" spans="1:18" s="61" customFormat="1" ht="15">
      <c r="A197" s="42" t="s">
        <v>320</v>
      </c>
      <c r="B197" s="206" t="s">
        <v>321</v>
      </c>
      <c r="C197" s="222">
        <v>5</v>
      </c>
      <c r="D197" s="203" t="s">
        <v>35</v>
      </c>
      <c r="E197" s="197"/>
      <c r="F197" s="43">
        <f t="shared" ref="F197:F202" si="45">E197*C197</f>
        <v>0</v>
      </c>
      <c r="G197" s="279"/>
      <c r="H197" s="303"/>
      <c r="I197" s="60"/>
      <c r="J197" s="60"/>
      <c r="K197" s="68">
        <f t="shared" ref="K197:K202" si="46">F197/2</f>
        <v>0</v>
      </c>
      <c r="L197" s="68">
        <f t="shared" ref="L197:L202" si="47">F197/2</f>
        <v>0</v>
      </c>
      <c r="M197" s="60"/>
      <c r="N197" s="122"/>
      <c r="O197" s="165"/>
      <c r="P197" s="165"/>
      <c r="Q197" s="166"/>
      <c r="R197" s="166"/>
    </row>
    <row r="198" spans="1:18" s="61" customFormat="1" ht="15">
      <c r="A198" s="42" t="s">
        <v>320</v>
      </c>
      <c r="B198" s="206" t="s">
        <v>362</v>
      </c>
      <c r="C198" s="222">
        <v>220</v>
      </c>
      <c r="D198" s="203" t="s">
        <v>165</v>
      </c>
      <c r="E198" s="197"/>
      <c r="F198" s="43">
        <f>E198*C198</f>
        <v>0</v>
      </c>
      <c r="G198" s="279"/>
      <c r="H198" s="303"/>
      <c r="I198" s="60"/>
      <c r="J198" s="60"/>
      <c r="K198" s="68">
        <f t="shared" si="46"/>
        <v>0</v>
      </c>
      <c r="L198" s="68">
        <f t="shared" si="47"/>
        <v>0</v>
      </c>
      <c r="M198" s="60"/>
      <c r="N198" s="122"/>
      <c r="O198" s="165"/>
      <c r="P198" s="165"/>
      <c r="Q198" s="166"/>
      <c r="R198" s="166"/>
    </row>
    <row r="199" spans="1:18" s="61" customFormat="1" ht="15">
      <c r="A199" s="42" t="s">
        <v>322</v>
      </c>
      <c r="B199" s="206" t="s">
        <v>323</v>
      </c>
      <c r="C199" s="202">
        <v>16</v>
      </c>
      <c r="D199" s="216" t="s">
        <v>20</v>
      </c>
      <c r="E199" s="197"/>
      <c r="F199" s="43">
        <f t="shared" si="45"/>
        <v>0</v>
      </c>
      <c r="G199" s="279"/>
      <c r="H199" s="303"/>
      <c r="I199" s="60"/>
      <c r="J199" s="60"/>
      <c r="K199" s="68">
        <f t="shared" si="46"/>
        <v>0</v>
      </c>
      <c r="L199" s="68">
        <f t="shared" si="47"/>
        <v>0</v>
      </c>
      <c r="M199" s="60"/>
      <c r="N199" s="122"/>
      <c r="O199" s="165"/>
      <c r="P199" s="165"/>
      <c r="Q199" s="166"/>
      <c r="R199" s="166"/>
    </row>
    <row r="200" spans="1:18" s="61" customFormat="1" ht="15">
      <c r="A200" s="42" t="s">
        <v>324</v>
      </c>
      <c r="B200" s="206" t="s">
        <v>325</v>
      </c>
      <c r="C200" s="222">
        <v>7</v>
      </c>
      <c r="D200" s="216" t="s">
        <v>59</v>
      </c>
      <c r="E200" s="197"/>
      <c r="F200" s="43">
        <f t="shared" si="45"/>
        <v>0</v>
      </c>
      <c r="G200" s="279"/>
      <c r="H200" s="303"/>
      <c r="I200" s="60"/>
      <c r="J200" s="60"/>
      <c r="K200" s="68">
        <f t="shared" si="46"/>
        <v>0</v>
      </c>
      <c r="L200" s="68">
        <f t="shared" si="47"/>
        <v>0</v>
      </c>
      <c r="M200" s="60"/>
      <c r="N200" s="122"/>
      <c r="O200" s="165"/>
      <c r="P200" s="165"/>
      <c r="Q200" s="166"/>
      <c r="R200" s="166"/>
    </row>
    <row r="201" spans="1:18" s="61" customFormat="1" ht="15">
      <c r="A201" s="42" t="s">
        <v>326</v>
      </c>
      <c r="B201" s="206" t="s">
        <v>327</v>
      </c>
      <c r="C201" s="222">
        <v>20</v>
      </c>
      <c r="D201" s="216" t="s">
        <v>22</v>
      </c>
      <c r="E201" s="197"/>
      <c r="F201" s="43">
        <f t="shared" si="45"/>
        <v>0</v>
      </c>
      <c r="G201" s="279"/>
      <c r="H201" s="303"/>
      <c r="I201" s="60"/>
      <c r="J201" s="60"/>
      <c r="K201" s="68">
        <f t="shared" si="46"/>
        <v>0</v>
      </c>
      <c r="L201" s="68">
        <f t="shared" si="47"/>
        <v>0</v>
      </c>
      <c r="M201" s="60"/>
      <c r="N201" s="122"/>
      <c r="O201" s="165"/>
      <c r="P201" s="165"/>
      <c r="Q201" s="166"/>
      <c r="R201" s="166"/>
    </row>
    <row r="202" spans="1:18" s="61" customFormat="1" ht="15">
      <c r="A202" s="42" t="s">
        <v>328</v>
      </c>
      <c r="B202" s="206" t="s">
        <v>329</v>
      </c>
      <c r="C202" s="222">
        <v>3</v>
      </c>
      <c r="D202" s="216" t="s">
        <v>59</v>
      </c>
      <c r="E202" s="197"/>
      <c r="F202" s="43">
        <f t="shared" si="45"/>
        <v>0</v>
      </c>
      <c r="G202" s="279"/>
      <c r="H202" s="303"/>
      <c r="I202" s="60"/>
      <c r="J202" s="60"/>
      <c r="K202" s="68">
        <f t="shared" si="46"/>
        <v>0</v>
      </c>
      <c r="L202" s="68">
        <f t="shared" si="47"/>
        <v>0</v>
      </c>
      <c r="M202" s="60"/>
      <c r="N202" s="122"/>
      <c r="O202" s="165"/>
      <c r="P202" s="165"/>
      <c r="Q202" s="166"/>
      <c r="R202" s="166"/>
    </row>
    <row r="203" spans="1:18" s="51" customFormat="1" ht="15">
      <c r="A203" s="52" t="s">
        <v>145</v>
      </c>
      <c r="B203" s="58" t="s">
        <v>349</v>
      </c>
      <c r="C203" s="53"/>
      <c r="D203" s="54"/>
      <c r="E203" s="55"/>
      <c r="F203" s="56">
        <f>SUM(F204:F209)</f>
        <v>0</v>
      </c>
      <c r="G203" s="278"/>
      <c r="H203" s="302"/>
      <c r="I203" s="57"/>
      <c r="J203" s="57"/>
      <c r="K203" s="57"/>
      <c r="L203" s="57"/>
      <c r="M203" s="57"/>
      <c r="N203" s="121"/>
      <c r="O203" s="163"/>
      <c r="P203" s="163"/>
      <c r="Q203" s="164"/>
      <c r="R203" s="164"/>
    </row>
    <row r="204" spans="1:18" s="61" customFormat="1" ht="15">
      <c r="A204" s="42" t="s">
        <v>330</v>
      </c>
      <c r="B204" s="206" t="s">
        <v>333</v>
      </c>
      <c r="C204" s="222">
        <v>20</v>
      </c>
      <c r="D204" s="203" t="s">
        <v>35</v>
      </c>
      <c r="E204" s="197"/>
      <c r="F204" s="43">
        <f t="shared" ref="F204:F209" si="48">E204*C204</f>
        <v>0</v>
      </c>
      <c r="G204" s="280"/>
      <c r="H204" s="303"/>
      <c r="I204" s="60"/>
      <c r="J204" s="60"/>
      <c r="K204" s="68">
        <f t="shared" ref="K204:K209" si="49">F204/2</f>
        <v>0</v>
      </c>
      <c r="L204" s="68">
        <f t="shared" ref="L204:L209" si="50">F204/2</f>
        <v>0</v>
      </c>
      <c r="M204" s="60"/>
      <c r="N204" s="122"/>
      <c r="O204" s="165"/>
      <c r="P204" s="165"/>
      <c r="Q204" s="166"/>
      <c r="R204" s="166"/>
    </row>
    <row r="205" spans="1:18" s="61" customFormat="1" ht="15">
      <c r="A205" s="42" t="s">
        <v>332</v>
      </c>
      <c r="B205" s="206" t="s">
        <v>331</v>
      </c>
      <c r="C205" s="222">
        <v>20</v>
      </c>
      <c r="D205" s="203" t="s">
        <v>35</v>
      </c>
      <c r="E205" s="197"/>
      <c r="F205" s="43">
        <f t="shared" si="48"/>
        <v>0</v>
      </c>
      <c r="G205" s="280"/>
      <c r="H205" s="303"/>
      <c r="I205" s="60"/>
      <c r="J205" s="60"/>
      <c r="K205" s="68">
        <f t="shared" si="49"/>
        <v>0</v>
      </c>
      <c r="L205" s="68">
        <f t="shared" si="50"/>
        <v>0</v>
      </c>
      <c r="M205" s="60"/>
      <c r="N205" s="122"/>
      <c r="O205" s="165"/>
      <c r="P205" s="165"/>
      <c r="Q205" s="166"/>
      <c r="R205" s="166"/>
    </row>
    <row r="206" spans="1:18" s="61" customFormat="1" ht="15">
      <c r="A206" s="42" t="s">
        <v>336</v>
      </c>
      <c r="B206" s="206" t="s">
        <v>334</v>
      </c>
      <c r="C206" s="222">
        <v>20</v>
      </c>
      <c r="D206" s="216" t="s">
        <v>22</v>
      </c>
      <c r="E206" s="197"/>
      <c r="F206" s="43">
        <f t="shared" si="48"/>
        <v>0</v>
      </c>
      <c r="G206" s="280"/>
      <c r="H206" s="303"/>
      <c r="I206" s="60"/>
      <c r="J206" s="60"/>
      <c r="K206" s="68">
        <f t="shared" si="49"/>
        <v>0</v>
      </c>
      <c r="L206" s="68">
        <f t="shared" si="50"/>
        <v>0</v>
      </c>
      <c r="M206" s="60"/>
      <c r="N206" s="122"/>
      <c r="O206" s="165"/>
      <c r="P206" s="165"/>
      <c r="Q206" s="166"/>
      <c r="R206" s="166"/>
    </row>
    <row r="207" spans="1:18" s="61" customFormat="1" ht="15">
      <c r="A207" s="42" t="s">
        <v>338</v>
      </c>
      <c r="B207" s="206" t="s">
        <v>335</v>
      </c>
      <c r="C207" s="222">
        <v>20</v>
      </c>
      <c r="D207" s="216" t="s">
        <v>22</v>
      </c>
      <c r="E207" s="197"/>
      <c r="F207" s="43">
        <f t="shared" si="48"/>
        <v>0</v>
      </c>
      <c r="G207" s="279"/>
      <c r="H207" s="303"/>
      <c r="I207" s="60"/>
      <c r="J207" s="60"/>
      <c r="K207" s="68">
        <f t="shared" si="49"/>
        <v>0</v>
      </c>
      <c r="L207" s="68">
        <f t="shared" si="50"/>
        <v>0</v>
      </c>
      <c r="M207" s="60"/>
      <c r="N207" s="122"/>
      <c r="O207" s="165"/>
      <c r="P207" s="165"/>
      <c r="Q207" s="166"/>
      <c r="R207" s="166"/>
    </row>
    <row r="208" spans="1:18" s="61" customFormat="1" ht="15">
      <c r="A208" s="42" t="s">
        <v>355</v>
      </c>
      <c r="B208" s="206" t="s">
        <v>337</v>
      </c>
      <c r="C208" s="222">
        <v>12</v>
      </c>
      <c r="D208" s="216" t="s">
        <v>22</v>
      </c>
      <c r="E208" s="197"/>
      <c r="F208" s="43">
        <f t="shared" si="48"/>
        <v>0</v>
      </c>
      <c r="G208" s="279"/>
      <c r="H208" s="303"/>
      <c r="I208" s="60"/>
      <c r="J208" s="60"/>
      <c r="K208" s="68">
        <f t="shared" si="49"/>
        <v>0</v>
      </c>
      <c r="L208" s="68">
        <f t="shared" si="50"/>
        <v>0</v>
      </c>
      <c r="M208" s="60"/>
      <c r="N208" s="122"/>
      <c r="O208" s="165"/>
      <c r="P208" s="165"/>
      <c r="Q208" s="166"/>
      <c r="R208" s="166"/>
    </row>
    <row r="209" spans="1:18" s="61" customFormat="1" ht="15">
      <c r="A209" s="42" t="s">
        <v>356</v>
      </c>
      <c r="B209" s="206" t="s">
        <v>329</v>
      </c>
      <c r="C209" s="222">
        <v>6</v>
      </c>
      <c r="D209" s="216" t="s">
        <v>59</v>
      </c>
      <c r="E209" s="197"/>
      <c r="F209" s="43">
        <f t="shared" si="48"/>
        <v>0</v>
      </c>
      <c r="G209" s="279"/>
      <c r="H209" s="303"/>
      <c r="I209" s="60"/>
      <c r="J209" s="60"/>
      <c r="K209" s="68">
        <f t="shared" si="49"/>
        <v>0</v>
      </c>
      <c r="L209" s="68">
        <f t="shared" si="50"/>
        <v>0</v>
      </c>
      <c r="M209" s="60"/>
      <c r="N209" s="122"/>
      <c r="O209" s="165"/>
      <c r="P209" s="165"/>
      <c r="Q209" s="166"/>
      <c r="R209" s="166"/>
    </row>
    <row r="210" spans="1:18" s="365" customFormat="1" ht="15">
      <c r="A210" s="464" t="s">
        <v>359</v>
      </c>
      <c r="B210" s="357"/>
      <c r="C210" s="358"/>
      <c r="D210" s="360"/>
      <c r="E210" s="360"/>
      <c r="F210" s="360"/>
      <c r="G210" s="361">
        <f>SUM(F211:F219)</f>
        <v>0</v>
      </c>
      <c r="H210" s="384">
        <f>SUM(H211:H219)</f>
        <v>0</v>
      </c>
      <c r="I210" s="385">
        <f t="shared" ref="I210:N210" si="51">SUM(I211:I219)</f>
        <v>0</v>
      </c>
      <c r="J210" s="385">
        <f t="shared" si="51"/>
        <v>0</v>
      </c>
      <c r="K210" s="385">
        <f t="shared" si="51"/>
        <v>0</v>
      </c>
      <c r="L210" s="385">
        <f t="shared" si="51"/>
        <v>0</v>
      </c>
      <c r="M210" s="385">
        <f t="shared" si="51"/>
        <v>0</v>
      </c>
      <c r="N210" s="386">
        <f t="shared" si="51"/>
        <v>0</v>
      </c>
      <c r="O210" s="403"/>
      <c r="P210" s="403"/>
      <c r="Q210" s="403"/>
      <c r="R210" s="403"/>
    </row>
    <row r="211" spans="1:18" s="10" customFormat="1" ht="14.25">
      <c r="A211" s="193" t="s">
        <v>151</v>
      </c>
      <c r="B211" s="224" t="s">
        <v>144</v>
      </c>
      <c r="C211" s="202">
        <v>30</v>
      </c>
      <c r="D211" s="207" t="s">
        <v>20</v>
      </c>
      <c r="E211" s="207"/>
      <c r="F211" s="197">
        <f t="shared" ref="F211:F219" si="52">E211*C211</f>
        <v>0</v>
      </c>
      <c r="G211" s="273"/>
      <c r="H211" s="298"/>
      <c r="I211" s="90"/>
      <c r="J211" s="40"/>
      <c r="K211" s="40"/>
      <c r="L211" s="180"/>
      <c r="M211" s="92">
        <f t="shared" ref="M211:M219" si="53">F211/2</f>
        <v>0</v>
      </c>
      <c r="N211" s="88">
        <f t="shared" ref="N211:N219" si="54">F211/2</f>
        <v>0</v>
      </c>
      <c r="O211" s="161"/>
      <c r="P211" s="161"/>
      <c r="Q211" s="161"/>
      <c r="R211" s="161"/>
    </row>
    <row r="212" spans="1:18" s="10" customFormat="1" ht="14.25">
      <c r="A212" s="193" t="s">
        <v>152</v>
      </c>
      <c r="B212" s="228" t="s">
        <v>304</v>
      </c>
      <c r="C212" s="210">
        <v>2</v>
      </c>
      <c r="D212" s="196" t="s">
        <v>20</v>
      </c>
      <c r="E212" s="197"/>
      <c r="F212" s="197">
        <f t="shared" si="52"/>
        <v>0</v>
      </c>
      <c r="G212" s="273"/>
      <c r="H212" s="298"/>
      <c r="I212" s="90"/>
      <c r="J212" s="40"/>
      <c r="K212" s="40"/>
      <c r="L212" s="180"/>
      <c r="M212" s="92">
        <f t="shared" si="53"/>
        <v>0</v>
      </c>
      <c r="N212" s="88">
        <f t="shared" si="54"/>
        <v>0</v>
      </c>
      <c r="O212" s="161"/>
      <c r="P212" s="161"/>
      <c r="Q212" s="161"/>
      <c r="R212" s="161"/>
    </row>
    <row r="213" spans="1:18" s="10" customFormat="1" ht="14.25">
      <c r="A213" s="193" t="s">
        <v>153</v>
      </c>
      <c r="B213" s="228" t="s">
        <v>358</v>
      </c>
      <c r="C213" s="229">
        <f>3.78*2</f>
        <v>7.56</v>
      </c>
      <c r="D213" s="231" t="s">
        <v>161</v>
      </c>
      <c r="E213" s="197"/>
      <c r="F213" s="197">
        <f t="shared" si="52"/>
        <v>0</v>
      </c>
      <c r="G213" s="273"/>
      <c r="H213" s="298"/>
      <c r="I213" s="90"/>
      <c r="J213" s="40"/>
      <c r="K213" s="40"/>
      <c r="L213" s="180"/>
      <c r="M213" s="92">
        <f t="shared" si="53"/>
        <v>0</v>
      </c>
      <c r="N213" s="88">
        <f t="shared" si="54"/>
        <v>0</v>
      </c>
      <c r="O213" s="161"/>
      <c r="P213" s="161"/>
      <c r="Q213" s="161"/>
      <c r="R213" s="161"/>
    </row>
    <row r="214" spans="1:18" s="10" customFormat="1" ht="14.25">
      <c r="A214" s="39" t="s">
        <v>154</v>
      </c>
      <c r="B214" s="228" t="s">
        <v>360</v>
      </c>
      <c r="C214" s="229">
        <v>220</v>
      </c>
      <c r="D214" s="203" t="s">
        <v>165</v>
      </c>
      <c r="E214" s="197"/>
      <c r="F214" s="30">
        <f t="shared" si="52"/>
        <v>0</v>
      </c>
      <c r="G214" s="273"/>
      <c r="H214" s="298"/>
      <c r="I214" s="90"/>
      <c r="J214" s="40"/>
      <c r="K214" s="40"/>
      <c r="L214" s="180"/>
      <c r="M214" s="92">
        <f t="shared" si="53"/>
        <v>0</v>
      </c>
      <c r="N214" s="88">
        <f t="shared" si="54"/>
        <v>0</v>
      </c>
      <c r="O214" s="161"/>
      <c r="P214" s="161"/>
      <c r="Q214" s="161"/>
      <c r="R214" s="161"/>
    </row>
    <row r="215" spans="1:18" s="10" customFormat="1" ht="14.25">
      <c r="A215" s="39" t="s">
        <v>155</v>
      </c>
      <c r="B215" s="230" t="s">
        <v>146</v>
      </c>
      <c r="C215" s="229">
        <v>2</v>
      </c>
      <c r="D215" s="231" t="s">
        <v>20</v>
      </c>
      <c r="E215" s="197"/>
      <c r="F215" s="30">
        <f t="shared" si="52"/>
        <v>0</v>
      </c>
      <c r="G215" s="273"/>
      <c r="H215" s="298"/>
      <c r="I215" s="90"/>
      <c r="J215" s="40"/>
      <c r="K215" s="40"/>
      <c r="L215" s="180"/>
      <c r="M215" s="92">
        <f t="shared" si="53"/>
        <v>0</v>
      </c>
      <c r="N215" s="88">
        <f t="shared" si="54"/>
        <v>0</v>
      </c>
      <c r="O215" s="161"/>
      <c r="P215" s="161"/>
      <c r="Q215" s="161"/>
      <c r="R215" s="161"/>
    </row>
    <row r="216" spans="1:18" s="10" customFormat="1" ht="14.25">
      <c r="A216" s="193" t="s">
        <v>156</v>
      </c>
      <c r="B216" s="230" t="s">
        <v>147</v>
      </c>
      <c r="C216" s="229">
        <v>4</v>
      </c>
      <c r="D216" s="231" t="s">
        <v>20</v>
      </c>
      <c r="E216" s="197"/>
      <c r="F216" s="197">
        <f t="shared" si="52"/>
        <v>0</v>
      </c>
      <c r="G216" s="273"/>
      <c r="H216" s="298"/>
      <c r="I216" s="90"/>
      <c r="J216" s="40"/>
      <c r="K216" s="40"/>
      <c r="L216" s="180"/>
      <c r="M216" s="92">
        <f t="shared" si="53"/>
        <v>0</v>
      </c>
      <c r="N216" s="88">
        <f t="shared" si="54"/>
        <v>0</v>
      </c>
      <c r="O216" s="161"/>
      <c r="P216" s="161"/>
      <c r="Q216" s="161"/>
      <c r="R216" s="161"/>
    </row>
    <row r="217" spans="1:18" s="10" customFormat="1" ht="14.25">
      <c r="A217" s="193" t="s">
        <v>158</v>
      </c>
      <c r="B217" s="230" t="s">
        <v>148</v>
      </c>
      <c r="C217" s="229">
        <v>1</v>
      </c>
      <c r="D217" s="231" t="s">
        <v>20</v>
      </c>
      <c r="E217" s="197"/>
      <c r="F217" s="197">
        <f t="shared" si="52"/>
        <v>0</v>
      </c>
      <c r="G217" s="273"/>
      <c r="H217" s="298"/>
      <c r="I217" s="90"/>
      <c r="J217" s="40"/>
      <c r="K217" s="40"/>
      <c r="L217" s="180"/>
      <c r="M217" s="92">
        <f t="shared" si="53"/>
        <v>0</v>
      </c>
      <c r="N217" s="88">
        <f t="shared" si="54"/>
        <v>0</v>
      </c>
      <c r="O217" s="161"/>
      <c r="P217" s="161"/>
      <c r="Q217" s="161"/>
      <c r="R217" s="161"/>
    </row>
    <row r="218" spans="1:18" s="10" customFormat="1" ht="14.25">
      <c r="A218" s="193" t="s">
        <v>159</v>
      </c>
      <c r="B218" s="224" t="s">
        <v>149</v>
      </c>
      <c r="C218" s="202">
        <v>1</v>
      </c>
      <c r="D218" s="207" t="s">
        <v>20</v>
      </c>
      <c r="E218" s="207"/>
      <c r="F218" s="197">
        <f t="shared" si="52"/>
        <v>0</v>
      </c>
      <c r="G218" s="273"/>
      <c r="H218" s="298"/>
      <c r="I218" s="90"/>
      <c r="J218" s="40"/>
      <c r="K218" s="40"/>
      <c r="L218" s="180"/>
      <c r="M218" s="92">
        <f t="shared" si="53"/>
        <v>0</v>
      </c>
      <c r="N218" s="88">
        <f t="shared" si="54"/>
        <v>0</v>
      </c>
      <c r="O218" s="161"/>
      <c r="P218" s="161"/>
      <c r="Q218" s="161"/>
      <c r="R218" s="161"/>
    </row>
    <row r="219" spans="1:18" s="10" customFormat="1" ht="14.25">
      <c r="A219" s="193" t="s">
        <v>162</v>
      </c>
      <c r="B219" s="232" t="s">
        <v>150</v>
      </c>
      <c r="C219" s="229">
        <v>2</v>
      </c>
      <c r="D219" s="231" t="s">
        <v>35</v>
      </c>
      <c r="E219" s="197"/>
      <c r="F219" s="197">
        <f t="shared" si="52"/>
        <v>0</v>
      </c>
      <c r="G219" s="273"/>
      <c r="H219" s="298"/>
      <c r="I219" s="90"/>
      <c r="J219" s="40"/>
      <c r="K219" s="40"/>
      <c r="L219" s="180"/>
      <c r="M219" s="92">
        <f t="shared" si="53"/>
        <v>0</v>
      </c>
      <c r="N219" s="88">
        <f t="shared" si="54"/>
        <v>0</v>
      </c>
      <c r="O219" s="161"/>
      <c r="P219" s="161"/>
      <c r="Q219" s="161"/>
      <c r="R219" s="161"/>
    </row>
    <row r="220" spans="1:18" s="365" customFormat="1" ht="15">
      <c r="A220" s="464" t="s">
        <v>439</v>
      </c>
      <c r="B220" s="357"/>
      <c r="C220" s="358"/>
      <c r="D220" s="360"/>
      <c r="E220" s="360"/>
      <c r="F220" s="360"/>
      <c r="G220" s="361">
        <f>SUM(F221:F225)</f>
        <v>0</v>
      </c>
      <c r="H220" s="384">
        <f>SUM(H221:H225)</f>
        <v>0</v>
      </c>
      <c r="I220" s="385">
        <f t="shared" ref="I220:N220" si="55">SUM(I221:I225)</f>
        <v>0</v>
      </c>
      <c r="J220" s="385">
        <f>SUM(J221:J225)</f>
        <v>0</v>
      </c>
      <c r="K220" s="385">
        <f t="shared" si="55"/>
        <v>0</v>
      </c>
      <c r="L220" s="385">
        <f t="shared" si="55"/>
        <v>0</v>
      </c>
      <c r="M220" s="385">
        <f t="shared" si="55"/>
        <v>0</v>
      </c>
      <c r="N220" s="386">
        <f t="shared" si="55"/>
        <v>0</v>
      </c>
      <c r="O220" s="403"/>
      <c r="P220" s="403"/>
      <c r="Q220" s="403"/>
      <c r="R220" s="403"/>
    </row>
    <row r="221" spans="1:18" s="10" customFormat="1" ht="14.25">
      <c r="A221" s="193" t="s">
        <v>164</v>
      </c>
      <c r="B221" s="217" t="s">
        <v>132</v>
      </c>
      <c r="C221" s="222">
        <v>165</v>
      </c>
      <c r="D221" s="43" t="s">
        <v>123</v>
      </c>
      <c r="E221" s="197"/>
      <c r="F221" s="43">
        <f>E221*C221</f>
        <v>0</v>
      </c>
      <c r="G221" s="274"/>
      <c r="H221" s="294"/>
      <c r="I221" s="112">
        <f>F221/2</f>
        <v>0</v>
      </c>
      <c r="J221" s="133">
        <f>F221/2</f>
        <v>0</v>
      </c>
      <c r="K221" s="40"/>
      <c r="L221" s="90"/>
      <c r="M221" s="29"/>
      <c r="N221" s="327"/>
      <c r="O221" s="161"/>
      <c r="P221" s="161"/>
      <c r="Q221" s="161"/>
      <c r="R221" s="161"/>
    </row>
    <row r="222" spans="1:18" s="10" customFormat="1" ht="28.5">
      <c r="A222" s="193" t="s">
        <v>374</v>
      </c>
      <c r="B222" s="217" t="s">
        <v>136</v>
      </c>
      <c r="C222" s="222">
        <v>83.54</v>
      </c>
      <c r="D222" s="43" t="s">
        <v>22</v>
      </c>
      <c r="E222" s="197"/>
      <c r="F222" s="43">
        <f>E222*C222</f>
        <v>0</v>
      </c>
      <c r="G222" s="274"/>
      <c r="H222" s="298"/>
      <c r="I222" s="90"/>
      <c r="J222" s="40"/>
      <c r="K222" s="105">
        <f>F222/2</f>
        <v>0</v>
      </c>
      <c r="L222" s="92">
        <f>F222/2</f>
        <v>0</v>
      </c>
      <c r="M222" s="29"/>
      <c r="N222" s="327"/>
      <c r="O222" s="161"/>
      <c r="P222" s="161"/>
      <c r="Q222" s="161"/>
      <c r="R222" s="161"/>
    </row>
    <row r="223" spans="1:18" s="10" customFormat="1" ht="14.25">
      <c r="A223" s="193" t="s">
        <v>440</v>
      </c>
      <c r="B223" s="206" t="s">
        <v>350</v>
      </c>
      <c r="C223" s="214">
        <f>83.54*0.1</f>
        <v>8.354000000000001</v>
      </c>
      <c r="D223" s="207" t="s">
        <v>123</v>
      </c>
      <c r="E223" s="207"/>
      <c r="F223" s="207">
        <f>E223*C223</f>
        <v>0</v>
      </c>
      <c r="G223" s="273"/>
      <c r="H223" s="298"/>
      <c r="I223" s="90"/>
      <c r="J223" s="40"/>
      <c r="K223" s="105">
        <f>F223/2</f>
        <v>0</v>
      </c>
      <c r="L223" s="92">
        <f>F223/2</f>
        <v>0</v>
      </c>
      <c r="M223" s="29"/>
      <c r="N223" s="327"/>
      <c r="O223" s="161"/>
      <c r="P223" s="161"/>
      <c r="Q223" s="161"/>
      <c r="R223" s="161"/>
    </row>
    <row r="224" spans="1:18" s="10" customFormat="1" ht="14.25">
      <c r="A224" s="193" t="s">
        <v>441</v>
      </c>
      <c r="B224" s="206" t="s">
        <v>134</v>
      </c>
      <c r="C224" s="202">
        <v>185.64</v>
      </c>
      <c r="D224" s="207" t="s">
        <v>22</v>
      </c>
      <c r="E224" s="207"/>
      <c r="F224" s="207">
        <f>E224*C224</f>
        <v>0</v>
      </c>
      <c r="G224" s="273"/>
      <c r="H224" s="298"/>
      <c r="I224" s="90"/>
      <c r="J224" s="40"/>
      <c r="K224" s="105">
        <f>F224/2</f>
        <v>0</v>
      </c>
      <c r="L224" s="92">
        <f>F224/2</f>
        <v>0</v>
      </c>
      <c r="M224" s="29"/>
      <c r="N224" s="327"/>
      <c r="O224" s="161"/>
      <c r="P224" s="161"/>
      <c r="Q224" s="161"/>
      <c r="R224" s="161"/>
    </row>
    <row r="225" spans="1:19" s="10" customFormat="1" ht="14.25">
      <c r="A225" s="193" t="s">
        <v>442</v>
      </c>
      <c r="B225" s="206" t="s">
        <v>372</v>
      </c>
      <c r="C225" s="202">
        <v>185.64</v>
      </c>
      <c r="D225" s="207" t="s">
        <v>22</v>
      </c>
      <c r="E225" s="207"/>
      <c r="F225" s="207">
        <f>E225*C225</f>
        <v>0</v>
      </c>
      <c r="G225" s="273"/>
      <c r="H225" s="298"/>
      <c r="I225" s="90"/>
      <c r="J225" s="40"/>
      <c r="K225" s="105">
        <f>F225/2</f>
        <v>0</v>
      </c>
      <c r="L225" s="92">
        <f>F225/2</f>
        <v>0</v>
      </c>
      <c r="M225" s="29"/>
      <c r="N225" s="327"/>
      <c r="O225" s="161"/>
      <c r="P225" s="161"/>
      <c r="Q225" s="161"/>
      <c r="R225" s="161"/>
    </row>
    <row r="226" spans="1:19" s="415" customFormat="1" ht="15">
      <c r="A226" s="464" t="s">
        <v>443</v>
      </c>
      <c r="B226" s="404"/>
      <c r="C226" s="405"/>
      <c r="D226" s="406"/>
      <c r="E226" s="407"/>
      <c r="F226" s="407"/>
      <c r="G226" s="408">
        <f>SUM(F227:F229)</f>
        <v>0</v>
      </c>
      <c r="H226" s="409">
        <f>SUM(H227:H229)</f>
        <v>0</v>
      </c>
      <c r="I226" s="410">
        <f t="shared" ref="I226:N226" si="56">SUM(I227:I229)</f>
        <v>0</v>
      </c>
      <c r="J226" s="410">
        <f t="shared" si="56"/>
        <v>0</v>
      </c>
      <c r="K226" s="410">
        <f t="shared" si="56"/>
        <v>0</v>
      </c>
      <c r="L226" s="410">
        <f t="shared" si="56"/>
        <v>0</v>
      </c>
      <c r="M226" s="410">
        <f t="shared" si="56"/>
        <v>0</v>
      </c>
      <c r="N226" s="411">
        <f t="shared" si="56"/>
        <v>0</v>
      </c>
      <c r="O226" s="412"/>
      <c r="P226" s="412"/>
      <c r="Q226" s="412"/>
      <c r="R226" s="413"/>
      <c r="S226" s="414"/>
    </row>
    <row r="227" spans="1:19" s="25" customFormat="1" ht="28.5">
      <c r="A227" s="208" t="s">
        <v>588</v>
      </c>
      <c r="B227" s="206" t="s">
        <v>638</v>
      </c>
      <c r="C227" s="202">
        <v>280</v>
      </c>
      <c r="D227" s="213" t="s">
        <v>165</v>
      </c>
      <c r="E227" s="207"/>
      <c r="F227" s="207">
        <f>C227*E227</f>
        <v>0</v>
      </c>
      <c r="G227" s="281"/>
      <c r="H227" s="304"/>
      <c r="I227" s="181"/>
      <c r="J227" s="181"/>
      <c r="K227" s="23"/>
      <c r="L227" s="34">
        <f>F227/2</f>
        <v>0</v>
      </c>
      <c r="M227" s="147">
        <f>F227/2</f>
        <v>0</v>
      </c>
      <c r="N227" s="328"/>
      <c r="O227" s="156"/>
      <c r="P227" s="156"/>
      <c r="Q227" s="156"/>
      <c r="R227" s="167"/>
      <c r="S227" s="24"/>
    </row>
    <row r="228" spans="1:19" s="25" customFormat="1" ht="15">
      <c r="A228" s="208" t="s">
        <v>635</v>
      </c>
      <c r="B228" s="224" t="s">
        <v>521</v>
      </c>
      <c r="C228" s="202">
        <v>120</v>
      </c>
      <c r="D228" s="213" t="s">
        <v>165</v>
      </c>
      <c r="E228" s="207"/>
      <c r="F228" s="207">
        <f>C228*E228</f>
        <v>0</v>
      </c>
      <c r="G228" s="281"/>
      <c r="H228" s="304"/>
      <c r="I228" s="181"/>
      <c r="J228" s="181"/>
      <c r="K228" s="23"/>
      <c r="L228" s="34">
        <f>F228/2</f>
        <v>0</v>
      </c>
      <c r="M228" s="147">
        <f>F228/2</f>
        <v>0</v>
      </c>
      <c r="N228" s="328"/>
      <c r="O228" s="156"/>
      <c r="P228" s="156"/>
      <c r="Q228" s="156"/>
      <c r="R228" s="167"/>
      <c r="S228" s="24"/>
    </row>
    <row r="229" spans="1:19" s="25" customFormat="1" ht="15">
      <c r="A229" s="208" t="s">
        <v>636</v>
      </c>
      <c r="B229" s="224" t="s">
        <v>637</v>
      </c>
      <c r="C229" s="202">
        <v>60</v>
      </c>
      <c r="D229" s="213" t="s">
        <v>165</v>
      </c>
      <c r="E229" s="207"/>
      <c r="F229" s="207">
        <f>C229*E229</f>
        <v>0</v>
      </c>
      <c r="G229" s="281"/>
      <c r="H229" s="304"/>
      <c r="I229" s="181"/>
      <c r="J229" s="181"/>
      <c r="K229" s="23"/>
      <c r="L229" s="34">
        <f>F229/2</f>
        <v>0</v>
      </c>
      <c r="M229" s="147">
        <f>F229/2</f>
        <v>0</v>
      </c>
      <c r="N229" s="328"/>
      <c r="O229" s="156"/>
      <c r="P229" s="156"/>
      <c r="Q229" s="156"/>
      <c r="R229" s="167"/>
      <c r="S229" s="24"/>
    </row>
    <row r="230" spans="1:19" s="415" customFormat="1" ht="15">
      <c r="A230" s="473" t="s">
        <v>659</v>
      </c>
      <c r="B230" s="404"/>
      <c r="C230" s="407"/>
      <c r="D230" s="416"/>
      <c r="E230" s="416"/>
      <c r="F230" s="416"/>
      <c r="G230" s="408">
        <f>SUM(F231:F252)</f>
        <v>0</v>
      </c>
      <c r="H230" s="417">
        <f t="shared" ref="H230:N230" si="57">SUM(H231:H252)</f>
        <v>0</v>
      </c>
      <c r="I230" s="418">
        <f t="shared" si="57"/>
        <v>0</v>
      </c>
      <c r="J230" s="418">
        <f t="shared" si="57"/>
        <v>0</v>
      </c>
      <c r="K230" s="418">
        <f t="shared" si="57"/>
        <v>0</v>
      </c>
      <c r="L230" s="418">
        <f t="shared" si="57"/>
        <v>0</v>
      </c>
      <c r="M230" s="418">
        <f t="shared" si="57"/>
        <v>0</v>
      </c>
      <c r="N230" s="419">
        <f t="shared" si="57"/>
        <v>0</v>
      </c>
      <c r="O230" s="420"/>
      <c r="P230" s="420"/>
      <c r="Q230" s="420"/>
      <c r="R230" s="413"/>
      <c r="S230" s="414"/>
    </row>
    <row r="231" spans="1:19" s="25" customFormat="1" ht="28.5">
      <c r="A231" s="141" t="s">
        <v>445</v>
      </c>
      <c r="B231" s="206" t="s">
        <v>423</v>
      </c>
      <c r="C231" s="202">
        <v>1</v>
      </c>
      <c r="D231" s="207" t="s">
        <v>20</v>
      </c>
      <c r="E231" s="207"/>
      <c r="F231" s="196">
        <f t="shared" ref="F231:F245" si="58">C231*E231</f>
        <v>0</v>
      </c>
      <c r="G231" s="271"/>
      <c r="H231" s="301"/>
      <c r="I231" s="23"/>
      <c r="J231" s="34">
        <f t="shared" ref="J231:J246" si="59">F231/3</f>
        <v>0</v>
      </c>
      <c r="K231" s="34">
        <f t="shared" ref="K231:K246" si="60">F231/3</f>
        <v>0</v>
      </c>
      <c r="L231" s="34">
        <f t="shared" ref="L231:L246" si="61">F231/3</f>
        <v>0</v>
      </c>
      <c r="M231" s="33"/>
      <c r="N231" s="329"/>
      <c r="O231" s="156"/>
      <c r="P231" s="156"/>
      <c r="Q231" s="156"/>
      <c r="R231" s="167"/>
      <c r="S231" s="24"/>
    </row>
    <row r="232" spans="1:19" s="25" customFormat="1" ht="15">
      <c r="A232" s="141" t="s">
        <v>446</v>
      </c>
      <c r="B232" s="228" t="s">
        <v>424</v>
      </c>
      <c r="C232" s="195">
        <v>1</v>
      </c>
      <c r="D232" s="196" t="s">
        <v>20</v>
      </c>
      <c r="E232" s="197"/>
      <c r="F232" s="196">
        <f t="shared" si="58"/>
        <v>0</v>
      </c>
      <c r="G232" s="271"/>
      <c r="H232" s="301"/>
      <c r="I232" s="23"/>
      <c r="J232" s="34">
        <f t="shared" si="59"/>
        <v>0</v>
      </c>
      <c r="K232" s="34">
        <f t="shared" si="60"/>
        <v>0</v>
      </c>
      <c r="L232" s="34">
        <f t="shared" si="61"/>
        <v>0</v>
      </c>
      <c r="M232" s="33"/>
      <c r="N232" s="329"/>
      <c r="O232" s="156"/>
      <c r="P232" s="156"/>
      <c r="Q232" s="156"/>
      <c r="R232" s="167"/>
      <c r="S232" s="24"/>
    </row>
    <row r="233" spans="1:19" s="25" customFormat="1" ht="15">
      <c r="A233" s="141" t="s">
        <v>447</v>
      </c>
      <c r="B233" s="228" t="s">
        <v>425</v>
      </c>
      <c r="C233" s="195">
        <v>7</v>
      </c>
      <c r="D233" s="196" t="s">
        <v>20</v>
      </c>
      <c r="E233" s="197"/>
      <c r="F233" s="196">
        <f t="shared" si="58"/>
        <v>0</v>
      </c>
      <c r="G233" s="271"/>
      <c r="H233" s="301"/>
      <c r="I233" s="23"/>
      <c r="J233" s="34">
        <f t="shared" si="59"/>
        <v>0</v>
      </c>
      <c r="K233" s="34">
        <f t="shared" si="60"/>
        <v>0</v>
      </c>
      <c r="L233" s="34">
        <f t="shared" si="61"/>
        <v>0</v>
      </c>
      <c r="M233" s="33"/>
      <c r="N233" s="329"/>
      <c r="O233" s="156"/>
      <c r="P233" s="156"/>
      <c r="Q233" s="156"/>
      <c r="R233" s="167"/>
      <c r="S233" s="24"/>
    </row>
    <row r="234" spans="1:19" s="25" customFormat="1" ht="15">
      <c r="A234" s="141" t="s">
        <v>448</v>
      </c>
      <c r="B234" s="228" t="s">
        <v>652</v>
      </c>
      <c r="C234" s="195">
        <v>25</v>
      </c>
      <c r="D234" s="196" t="s">
        <v>20</v>
      </c>
      <c r="E234" s="197"/>
      <c r="F234" s="196">
        <f t="shared" ref="F234" si="62">C234*E234</f>
        <v>0</v>
      </c>
      <c r="G234" s="271"/>
      <c r="H234" s="301"/>
      <c r="I234" s="23"/>
      <c r="J234" s="34">
        <f t="shared" ref="J234" si="63">F234/3</f>
        <v>0</v>
      </c>
      <c r="K234" s="34">
        <f t="shared" ref="K234" si="64">F234/3</f>
        <v>0</v>
      </c>
      <c r="L234" s="34">
        <f t="shared" ref="L234" si="65">F234/3</f>
        <v>0</v>
      </c>
      <c r="M234" s="33"/>
      <c r="N234" s="329"/>
      <c r="O234" s="156"/>
      <c r="P234" s="156"/>
      <c r="Q234" s="156"/>
      <c r="R234" s="167"/>
      <c r="S234" s="24"/>
    </row>
    <row r="235" spans="1:19" s="25" customFormat="1" ht="15">
      <c r="A235" s="141" t="s">
        <v>449</v>
      </c>
      <c r="B235" s="228" t="s">
        <v>426</v>
      </c>
      <c r="C235" s="195">
        <v>16</v>
      </c>
      <c r="D235" s="196" t="s">
        <v>20</v>
      </c>
      <c r="E235" s="197"/>
      <c r="F235" s="196">
        <f t="shared" si="58"/>
        <v>0</v>
      </c>
      <c r="G235" s="271"/>
      <c r="H235" s="301"/>
      <c r="I235" s="23"/>
      <c r="J235" s="34">
        <f t="shared" si="59"/>
        <v>0</v>
      </c>
      <c r="K235" s="34">
        <f t="shared" si="60"/>
        <v>0</v>
      </c>
      <c r="L235" s="34">
        <f t="shared" si="61"/>
        <v>0</v>
      </c>
      <c r="M235" s="33"/>
      <c r="N235" s="329"/>
      <c r="O235" s="156"/>
      <c r="P235" s="156"/>
      <c r="Q235" s="156"/>
      <c r="R235" s="167"/>
      <c r="S235" s="24"/>
    </row>
    <row r="236" spans="1:19" s="25" customFormat="1" ht="15">
      <c r="A236" s="141" t="s">
        <v>450</v>
      </c>
      <c r="B236" s="228" t="s">
        <v>427</v>
      </c>
      <c r="C236" s="195">
        <v>1</v>
      </c>
      <c r="D236" s="196" t="s">
        <v>20</v>
      </c>
      <c r="E236" s="197"/>
      <c r="F236" s="196">
        <f t="shared" si="58"/>
        <v>0</v>
      </c>
      <c r="G236" s="271"/>
      <c r="H236" s="305"/>
      <c r="I236" s="23"/>
      <c r="J236" s="34">
        <f t="shared" si="59"/>
        <v>0</v>
      </c>
      <c r="K236" s="34">
        <f t="shared" si="60"/>
        <v>0</v>
      </c>
      <c r="L236" s="34">
        <f t="shared" si="61"/>
        <v>0</v>
      </c>
      <c r="M236" s="148"/>
      <c r="N236" s="330"/>
      <c r="O236" s="169"/>
      <c r="P236" s="170"/>
      <c r="Q236" s="170"/>
      <c r="R236" s="167"/>
      <c r="S236" s="24"/>
    </row>
    <row r="237" spans="1:19" s="25" customFormat="1" ht="15">
      <c r="A237" s="141" t="s">
        <v>451</v>
      </c>
      <c r="B237" s="206" t="s">
        <v>428</v>
      </c>
      <c r="C237" s="202">
        <v>3</v>
      </c>
      <c r="D237" s="207" t="s">
        <v>20</v>
      </c>
      <c r="E237" s="207"/>
      <c r="F237" s="196">
        <f t="shared" si="58"/>
        <v>0</v>
      </c>
      <c r="G237" s="271"/>
      <c r="H237" s="301"/>
      <c r="I237" s="23"/>
      <c r="J237" s="34">
        <f t="shared" si="59"/>
        <v>0</v>
      </c>
      <c r="K237" s="34">
        <f t="shared" si="60"/>
        <v>0</v>
      </c>
      <c r="L237" s="34">
        <f t="shared" si="61"/>
        <v>0</v>
      </c>
      <c r="M237" s="33"/>
      <c r="N237" s="329"/>
      <c r="O237" s="156"/>
      <c r="P237" s="156"/>
      <c r="Q237" s="156"/>
      <c r="R237" s="167"/>
      <c r="S237" s="24"/>
    </row>
    <row r="238" spans="1:19" s="25" customFormat="1" ht="15">
      <c r="A238" s="141" t="s">
        <v>452</v>
      </c>
      <c r="B238" s="228" t="s">
        <v>650</v>
      </c>
      <c r="C238" s="195">
        <v>12</v>
      </c>
      <c r="D238" s="196" t="s">
        <v>20</v>
      </c>
      <c r="E238" s="197"/>
      <c r="F238" s="196">
        <f t="shared" ref="F238" si="66">C238*E238</f>
        <v>0</v>
      </c>
      <c r="G238" s="271"/>
      <c r="H238" s="301"/>
      <c r="I238" s="23"/>
      <c r="J238" s="34">
        <f t="shared" ref="J238" si="67">F238/3</f>
        <v>0</v>
      </c>
      <c r="K238" s="34">
        <f t="shared" ref="K238" si="68">F238/3</f>
        <v>0</v>
      </c>
      <c r="L238" s="34">
        <f t="shared" ref="L238" si="69">F238/3</f>
        <v>0</v>
      </c>
      <c r="M238" s="33"/>
      <c r="N238" s="329"/>
      <c r="O238" s="156"/>
      <c r="P238" s="156"/>
      <c r="Q238" s="156"/>
      <c r="R238" s="167"/>
      <c r="S238" s="24"/>
    </row>
    <row r="239" spans="1:19" s="25" customFormat="1" ht="15">
      <c r="A239" s="141" t="s">
        <v>453</v>
      </c>
      <c r="B239" s="228" t="s">
        <v>649</v>
      </c>
      <c r="C239" s="195">
        <v>60</v>
      </c>
      <c r="D239" s="196" t="s">
        <v>20</v>
      </c>
      <c r="E239" s="197"/>
      <c r="F239" s="196">
        <f t="shared" si="58"/>
        <v>0</v>
      </c>
      <c r="G239" s="271"/>
      <c r="H239" s="301"/>
      <c r="I239" s="23"/>
      <c r="J239" s="34">
        <f t="shared" si="59"/>
        <v>0</v>
      </c>
      <c r="K239" s="34">
        <f t="shared" si="60"/>
        <v>0</v>
      </c>
      <c r="L239" s="34">
        <f t="shared" si="61"/>
        <v>0</v>
      </c>
      <c r="M239" s="33"/>
      <c r="N239" s="329"/>
      <c r="O239" s="156"/>
      <c r="P239" s="156"/>
      <c r="Q239" s="156"/>
      <c r="R239" s="167"/>
      <c r="S239" s="24"/>
    </row>
    <row r="240" spans="1:19" s="25" customFormat="1" ht="15">
      <c r="A240" s="141" t="s">
        <v>454</v>
      </c>
      <c r="B240" s="228" t="s">
        <v>430</v>
      </c>
      <c r="C240" s="195">
        <v>5</v>
      </c>
      <c r="D240" s="196" t="s">
        <v>20</v>
      </c>
      <c r="E240" s="197"/>
      <c r="F240" s="196">
        <f t="shared" si="58"/>
        <v>0</v>
      </c>
      <c r="G240" s="271"/>
      <c r="H240" s="301"/>
      <c r="I240" s="23"/>
      <c r="J240" s="34">
        <f t="shared" si="59"/>
        <v>0</v>
      </c>
      <c r="K240" s="34">
        <f t="shared" si="60"/>
        <v>0</v>
      </c>
      <c r="L240" s="34">
        <f t="shared" si="61"/>
        <v>0</v>
      </c>
      <c r="M240" s="33"/>
      <c r="N240" s="329"/>
      <c r="O240" s="156"/>
      <c r="P240" s="156"/>
      <c r="Q240" s="156"/>
      <c r="R240" s="167"/>
      <c r="S240" s="24"/>
    </row>
    <row r="241" spans="1:19" s="25" customFormat="1" ht="15">
      <c r="A241" s="141" t="s">
        <v>455</v>
      </c>
      <c r="B241" s="228" t="s">
        <v>431</v>
      </c>
      <c r="C241" s="195">
        <v>65</v>
      </c>
      <c r="D241" s="196" t="s">
        <v>20</v>
      </c>
      <c r="E241" s="197"/>
      <c r="F241" s="196">
        <f t="shared" si="58"/>
        <v>0</v>
      </c>
      <c r="G241" s="271"/>
      <c r="H241" s="301"/>
      <c r="I241" s="23"/>
      <c r="J241" s="34">
        <f t="shared" si="59"/>
        <v>0</v>
      </c>
      <c r="K241" s="34">
        <f t="shared" si="60"/>
        <v>0</v>
      </c>
      <c r="L241" s="34">
        <f t="shared" si="61"/>
        <v>0</v>
      </c>
      <c r="M241" s="33"/>
      <c r="N241" s="329"/>
      <c r="O241" s="156"/>
      <c r="P241" s="156"/>
      <c r="Q241" s="156"/>
      <c r="R241" s="167"/>
      <c r="S241" s="24"/>
    </row>
    <row r="242" spans="1:19" s="25" customFormat="1" ht="15">
      <c r="A242" s="141" t="s">
        <v>456</v>
      </c>
      <c r="B242" s="228" t="s">
        <v>432</v>
      </c>
      <c r="C242" s="235">
        <v>15</v>
      </c>
      <c r="D242" s="196" t="s">
        <v>35</v>
      </c>
      <c r="E242" s="197"/>
      <c r="F242" s="196">
        <f t="shared" si="58"/>
        <v>0</v>
      </c>
      <c r="G242" s="271"/>
      <c r="H242" s="305"/>
      <c r="I242" s="23"/>
      <c r="J242" s="34">
        <f t="shared" si="59"/>
        <v>0</v>
      </c>
      <c r="K242" s="34">
        <f t="shared" si="60"/>
        <v>0</v>
      </c>
      <c r="L242" s="34">
        <f t="shared" si="61"/>
        <v>0</v>
      </c>
      <c r="M242" s="148"/>
      <c r="N242" s="330"/>
      <c r="O242" s="169"/>
      <c r="P242" s="170"/>
      <c r="Q242" s="170"/>
      <c r="R242" s="167"/>
      <c r="S242" s="24"/>
    </row>
    <row r="243" spans="1:19" s="25" customFormat="1" ht="32.25" customHeight="1">
      <c r="A243" s="141" t="s">
        <v>457</v>
      </c>
      <c r="B243" s="194" t="s">
        <v>648</v>
      </c>
      <c r="C243" s="235">
        <v>130</v>
      </c>
      <c r="D243" s="196" t="s">
        <v>35</v>
      </c>
      <c r="E243" s="197"/>
      <c r="F243" s="196">
        <f t="shared" si="58"/>
        <v>0</v>
      </c>
      <c r="G243" s="271"/>
      <c r="H243" s="305"/>
      <c r="I243" s="23"/>
      <c r="J243" s="34">
        <f t="shared" si="59"/>
        <v>0</v>
      </c>
      <c r="K243" s="34">
        <f t="shared" si="60"/>
        <v>0</v>
      </c>
      <c r="L243" s="34">
        <f t="shared" si="61"/>
        <v>0</v>
      </c>
      <c r="M243" s="148"/>
      <c r="N243" s="330"/>
      <c r="O243" s="169"/>
      <c r="P243" s="170"/>
      <c r="Q243" s="170"/>
      <c r="R243" s="167"/>
      <c r="S243" s="24"/>
    </row>
    <row r="244" spans="1:19" s="25" customFormat="1" ht="15">
      <c r="A244" s="141" t="s">
        <v>459</v>
      </c>
      <c r="B244" s="228" t="s">
        <v>434</v>
      </c>
      <c r="C244" s="235">
        <v>600</v>
      </c>
      <c r="D244" s="196" t="s">
        <v>35</v>
      </c>
      <c r="E244" s="197"/>
      <c r="F244" s="196">
        <f t="shared" si="58"/>
        <v>0</v>
      </c>
      <c r="G244" s="271"/>
      <c r="H244" s="305"/>
      <c r="I244" s="23"/>
      <c r="J244" s="34">
        <f t="shared" si="59"/>
        <v>0</v>
      </c>
      <c r="K244" s="34">
        <f t="shared" si="60"/>
        <v>0</v>
      </c>
      <c r="L244" s="34">
        <f t="shared" si="61"/>
        <v>0</v>
      </c>
      <c r="M244" s="148"/>
      <c r="N244" s="330"/>
      <c r="O244" s="169"/>
      <c r="P244" s="170"/>
      <c r="Q244" s="170"/>
      <c r="R244" s="167"/>
      <c r="S244" s="24"/>
    </row>
    <row r="245" spans="1:19" s="25" customFormat="1" ht="15">
      <c r="A245" s="141" t="s">
        <v>651</v>
      </c>
      <c r="B245" s="228" t="s">
        <v>435</v>
      </c>
      <c r="C245" s="236">
        <v>10</v>
      </c>
      <c r="D245" s="196" t="s">
        <v>35</v>
      </c>
      <c r="E245" s="197"/>
      <c r="F245" s="196">
        <f t="shared" si="58"/>
        <v>0</v>
      </c>
      <c r="G245" s="271"/>
      <c r="H245" s="305"/>
      <c r="I245" s="23"/>
      <c r="J245" s="34">
        <f t="shared" si="59"/>
        <v>0</v>
      </c>
      <c r="K245" s="34">
        <f t="shared" si="60"/>
        <v>0</v>
      </c>
      <c r="L245" s="34">
        <f t="shared" si="61"/>
        <v>0</v>
      </c>
      <c r="M245" s="148"/>
      <c r="N245" s="330"/>
      <c r="O245" s="169"/>
      <c r="P245" s="170"/>
      <c r="Q245" s="170"/>
      <c r="R245" s="167"/>
      <c r="S245" s="24"/>
    </row>
    <row r="246" spans="1:19" s="25" customFormat="1" ht="15">
      <c r="A246" s="141" t="s">
        <v>666</v>
      </c>
      <c r="B246" s="228" t="s">
        <v>660</v>
      </c>
      <c r="C246" s="236">
        <v>65</v>
      </c>
      <c r="D246" s="196" t="s">
        <v>20</v>
      </c>
      <c r="E246" s="197"/>
      <c r="F246" s="196">
        <f t="shared" ref="F246:F247" si="70">C246*E246</f>
        <v>0</v>
      </c>
      <c r="G246" s="271"/>
      <c r="H246" s="305"/>
      <c r="I246" s="23"/>
      <c r="J246" s="34">
        <f t="shared" si="59"/>
        <v>0</v>
      </c>
      <c r="K246" s="34">
        <f t="shared" si="60"/>
        <v>0</v>
      </c>
      <c r="L246" s="34">
        <f t="shared" si="61"/>
        <v>0</v>
      </c>
      <c r="M246" s="148"/>
      <c r="N246" s="330"/>
      <c r="O246" s="169"/>
      <c r="P246" s="170"/>
      <c r="Q246" s="170"/>
      <c r="R246" s="167"/>
      <c r="S246" s="24"/>
    </row>
    <row r="247" spans="1:19" s="25" customFormat="1" ht="15">
      <c r="A247" s="141" t="s">
        <v>667</v>
      </c>
      <c r="B247" s="228" t="s">
        <v>661</v>
      </c>
      <c r="C247" s="236">
        <v>18</v>
      </c>
      <c r="D247" s="196" t="s">
        <v>20</v>
      </c>
      <c r="E247" s="197"/>
      <c r="F247" s="196">
        <f t="shared" si="70"/>
        <v>0</v>
      </c>
      <c r="G247" s="271"/>
      <c r="H247" s="305"/>
      <c r="I247" s="23"/>
      <c r="J247" s="34">
        <f t="shared" ref="J247:J250" si="71">F247/3</f>
        <v>0</v>
      </c>
      <c r="K247" s="34">
        <f t="shared" ref="K247:K250" si="72">F247/3</f>
        <v>0</v>
      </c>
      <c r="L247" s="34">
        <f t="shared" ref="L247:L250" si="73">F247/3</f>
        <v>0</v>
      </c>
      <c r="M247" s="148"/>
      <c r="N247" s="330"/>
      <c r="O247" s="169"/>
      <c r="P247" s="170"/>
      <c r="Q247" s="170"/>
      <c r="R247" s="167"/>
      <c r="S247" s="24"/>
    </row>
    <row r="248" spans="1:19" s="25" customFormat="1" ht="15">
      <c r="A248" s="141" t="s">
        <v>668</v>
      </c>
      <c r="B248" s="228" t="s">
        <v>644</v>
      </c>
      <c r="C248" s="236">
        <v>31</v>
      </c>
      <c r="D248" s="196" t="s">
        <v>20</v>
      </c>
      <c r="E248" s="197"/>
      <c r="F248" s="196">
        <f t="shared" ref="F248:F251" si="74">C248*E248</f>
        <v>0</v>
      </c>
      <c r="G248" s="271"/>
      <c r="H248" s="305"/>
      <c r="I248" s="23"/>
      <c r="J248" s="34">
        <f t="shared" si="71"/>
        <v>0</v>
      </c>
      <c r="K248" s="34">
        <f t="shared" si="72"/>
        <v>0</v>
      </c>
      <c r="L248" s="34">
        <f t="shared" si="73"/>
        <v>0</v>
      </c>
      <c r="M248" s="148"/>
      <c r="N248" s="330"/>
      <c r="O248" s="169"/>
      <c r="P248" s="170"/>
      <c r="Q248" s="170"/>
      <c r="R248" s="167"/>
      <c r="S248" s="24"/>
    </row>
    <row r="249" spans="1:19" s="25" customFormat="1" ht="15">
      <c r="A249" s="141" t="s">
        <v>669</v>
      </c>
      <c r="B249" s="228" t="s">
        <v>663</v>
      </c>
      <c r="C249" s="236">
        <v>65</v>
      </c>
      <c r="D249" s="196" t="s">
        <v>20</v>
      </c>
      <c r="E249" s="197"/>
      <c r="F249" s="196">
        <f t="shared" ref="F249" si="75">C249*E249</f>
        <v>0</v>
      </c>
      <c r="G249" s="271"/>
      <c r="H249" s="305"/>
      <c r="I249" s="23"/>
      <c r="J249" s="34">
        <f t="shared" ref="J249" si="76">F249/3</f>
        <v>0</v>
      </c>
      <c r="K249" s="34">
        <f t="shared" ref="K249" si="77">F249/3</f>
        <v>0</v>
      </c>
      <c r="L249" s="34">
        <f t="shared" ref="L249" si="78">F249/3</f>
        <v>0</v>
      </c>
      <c r="M249" s="148"/>
      <c r="N249" s="330"/>
      <c r="O249" s="169"/>
      <c r="P249" s="170"/>
      <c r="Q249" s="170"/>
      <c r="R249" s="167"/>
      <c r="S249" s="24"/>
    </row>
    <row r="250" spans="1:19" s="25" customFormat="1" ht="15">
      <c r="A250" s="141" t="s">
        <v>670</v>
      </c>
      <c r="B250" s="228" t="s">
        <v>662</v>
      </c>
      <c r="C250" s="236">
        <v>210</v>
      </c>
      <c r="D250" s="196" t="s">
        <v>20</v>
      </c>
      <c r="E250" s="197"/>
      <c r="F250" s="196">
        <f t="shared" si="74"/>
        <v>0</v>
      </c>
      <c r="G250" s="271"/>
      <c r="H250" s="305"/>
      <c r="I250" s="23"/>
      <c r="J250" s="34">
        <f t="shared" si="71"/>
        <v>0</v>
      </c>
      <c r="K250" s="34">
        <f t="shared" si="72"/>
        <v>0</v>
      </c>
      <c r="L250" s="34">
        <f t="shared" si="73"/>
        <v>0</v>
      </c>
      <c r="M250" s="148"/>
      <c r="N250" s="330"/>
      <c r="O250" s="169"/>
      <c r="P250" s="170"/>
      <c r="Q250" s="170"/>
      <c r="R250" s="167"/>
      <c r="S250" s="24"/>
    </row>
    <row r="251" spans="1:19" s="25" customFormat="1" ht="15">
      <c r="A251" s="141" t="s">
        <v>671</v>
      </c>
      <c r="B251" s="228" t="s">
        <v>664</v>
      </c>
      <c r="C251" s="236">
        <v>1</v>
      </c>
      <c r="D251" s="196" t="s">
        <v>20</v>
      </c>
      <c r="E251" s="197"/>
      <c r="F251" s="196">
        <f t="shared" si="74"/>
        <v>0</v>
      </c>
      <c r="G251" s="271"/>
      <c r="H251" s="305"/>
      <c r="I251" s="23"/>
      <c r="J251" s="34">
        <f t="shared" ref="J251:J252" si="79">F251/3</f>
        <v>0</v>
      </c>
      <c r="K251" s="34">
        <f t="shared" ref="K251:K252" si="80">F251/3</f>
        <v>0</v>
      </c>
      <c r="L251" s="34">
        <f t="shared" ref="L251:L252" si="81">F251/3</f>
        <v>0</v>
      </c>
      <c r="M251" s="148"/>
      <c r="N251" s="330"/>
      <c r="O251" s="169"/>
      <c r="P251" s="170"/>
      <c r="Q251" s="170"/>
      <c r="R251" s="167"/>
      <c r="S251" s="24"/>
    </row>
    <row r="252" spans="1:19" s="25" customFormat="1" ht="15">
      <c r="A252" s="141" t="s">
        <v>679</v>
      </c>
      <c r="B252" s="228" t="s">
        <v>665</v>
      </c>
      <c r="C252" s="236">
        <v>1</v>
      </c>
      <c r="D252" s="196" t="s">
        <v>20</v>
      </c>
      <c r="E252" s="197"/>
      <c r="F252" s="196">
        <f t="shared" ref="F252" si="82">C252*E252</f>
        <v>0</v>
      </c>
      <c r="G252" s="271"/>
      <c r="H252" s="305"/>
      <c r="I252" s="23"/>
      <c r="J252" s="34">
        <f t="shared" si="79"/>
        <v>0</v>
      </c>
      <c r="K252" s="34">
        <f t="shared" si="80"/>
        <v>0</v>
      </c>
      <c r="L252" s="34">
        <f t="shared" si="81"/>
        <v>0</v>
      </c>
      <c r="M252" s="148"/>
      <c r="N252" s="330"/>
      <c r="O252" s="169"/>
      <c r="P252" s="170"/>
      <c r="Q252" s="170"/>
      <c r="R252" s="167"/>
      <c r="S252" s="24"/>
    </row>
    <row r="253" spans="1:19" s="415" customFormat="1" ht="15">
      <c r="A253" s="464" t="s">
        <v>458</v>
      </c>
      <c r="B253" s="404"/>
      <c r="C253" s="407"/>
      <c r="D253" s="416"/>
      <c r="E253" s="416"/>
      <c r="F253" s="416"/>
      <c r="G253" s="408">
        <f>SUM(F254:F256)</f>
        <v>0</v>
      </c>
      <c r="H253" s="417">
        <f>SUM(H254:H256)</f>
        <v>0</v>
      </c>
      <c r="I253" s="418">
        <f t="shared" ref="I253:N253" si="83">SUM(I254:I256)</f>
        <v>0</v>
      </c>
      <c r="J253" s="418">
        <f t="shared" si="83"/>
        <v>0</v>
      </c>
      <c r="K253" s="418">
        <f t="shared" si="83"/>
        <v>0</v>
      </c>
      <c r="L253" s="418">
        <f t="shared" si="83"/>
        <v>0</v>
      </c>
      <c r="M253" s="418">
        <f t="shared" si="83"/>
        <v>0</v>
      </c>
      <c r="N253" s="419">
        <f t="shared" si="83"/>
        <v>0</v>
      </c>
      <c r="O253" s="420"/>
      <c r="P253" s="420"/>
      <c r="Q253" s="420"/>
      <c r="R253" s="413"/>
      <c r="S253" s="414"/>
    </row>
    <row r="254" spans="1:19" s="25" customFormat="1" ht="15">
      <c r="A254" s="141" t="s">
        <v>376</v>
      </c>
      <c r="B254" s="238" t="s">
        <v>647</v>
      </c>
      <c r="C254" s="202">
        <v>8</v>
      </c>
      <c r="D254" s="207" t="s">
        <v>20</v>
      </c>
      <c r="E254" s="237"/>
      <c r="F254" s="196">
        <f>C254*E254</f>
        <v>0</v>
      </c>
      <c r="G254" s="271"/>
      <c r="H254" s="301"/>
      <c r="I254" s="34">
        <f>F254/3</f>
        <v>0</v>
      </c>
      <c r="J254" s="34">
        <f>F254/3</f>
        <v>0</v>
      </c>
      <c r="K254" s="34">
        <f>F254/3</f>
        <v>0</v>
      </c>
      <c r="L254" s="142"/>
      <c r="M254" s="33"/>
      <c r="N254" s="329"/>
      <c r="O254" s="156"/>
      <c r="P254" s="156"/>
      <c r="Q254" s="156"/>
      <c r="R254" s="167"/>
      <c r="S254" s="24"/>
    </row>
    <row r="255" spans="1:19" s="25" customFormat="1" ht="15">
      <c r="A255" s="141" t="s">
        <v>377</v>
      </c>
      <c r="B255" s="238" t="s">
        <v>672</v>
      </c>
      <c r="C255" s="195">
        <v>9</v>
      </c>
      <c r="D255" s="196" t="s">
        <v>20</v>
      </c>
      <c r="E255" s="237"/>
      <c r="F255" s="196">
        <f>C255*E255</f>
        <v>0</v>
      </c>
      <c r="G255" s="271"/>
      <c r="H255" s="301"/>
      <c r="I255" s="34">
        <f>F255/3</f>
        <v>0</v>
      </c>
      <c r="J255" s="34">
        <f>F255/3</f>
        <v>0</v>
      </c>
      <c r="K255" s="34">
        <f>F255/3</f>
        <v>0</v>
      </c>
      <c r="L255" s="142"/>
      <c r="M255" s="33"/>
      <c r="N255" s="329"/>
      <c r="O255" s="156"/>
      <c r="P255" s="156"/>
      <c r="Q255" s="156"/>
      <c r="R255" s="167"/>
      <c r="S255" s="24"/>
    </row>
    <row r="256" spans="1:19" s="25" customFormat="1" ht="15">
      <c r="A256" s="141" t="s">
        <v>378</v>
      </c>
      <c r="B256" s="239" t="s">
        <v>646</v>
      </c>
      <c r="C256" s="195">
        <v>8</v>
      </c>
      <c r="D256" s="196" t="s">
        <v>22</v>
      </c>
      <c r="E256" s="237"/>
      <c r="F256" s="196">
        <f>C256*E256</f>
        <v>0</v>
      </c>
      <c r="G256" s="271"/>
      <c r="H256" s="301"/>
      <c r="I256" s="34">
        <f>F256/3</f>
        <v>0</v>
      </c>
      <c r="J256" s="34">
        <f>F256/3</f>
        <v>0</v>
      </c>
      <c r="K256" s="34">
        <f>F256/3</f>
        <v>0</v>
      </c>
      <c r="L256" s="142"/>
      <c r="M256" s="33"/>
      <c r="N256" s="329"/>
      <c r="O256" s="156"/>
      <c r="P256" s="156"/>
      <c r="Q256" s="156"/>
      <c r="R256" s="167"/>
      <c r="S256" s="24"/>
    </row>
    <row r="257" spans="1:19" s="154" customFormat="1" ht="27" customHeight="1">
      <c r="A257" s="483" t="s">
        <v>375</v>
      </c>
      <c r="B257" s="484"/>
      <c r="C257" s="149"/>
      <c r="D257" s="150"/>
      <c r="E257" s="151"/>
      <c r="F257" s="151"/>
      <c r="G257" s="283"/>
      <c r="H257" s="306"/>
      <c r="I257" s="152"/>
      <c r="J257" s="152"/>
      <c r="K257" s="152"/>
      <c r="L257" s="152"/>
      <c r="M257" s="152"/>
      <c r="N257" s="153"/>
      <c r="O257" s="262"/>
      <c r="P257" s="262"/>
      <c r="Q257" s="262"/>
      <c r="R257" s="260"/>
      <c r="S257" s="24"/>
    </row>
    <row r="258" spans="1:19" s="424" customFormat="1" ht="15">
      <c r="A258" s="485" t="s">
        <v>512</v>
      </c>
      <c r="B258" s="486"/>
      <c r="C258" s="421"/>
      <c r="D258" s="422"/>
      <c r="E258" s="423"/>
      <c r="F258" s="423"/>
      <c r="G258" s="408">
        <f>SUM(F259,F264,F279,F296)</f>
        <v>0</v>
      </c>
      <c r="H258" s="417">
        <f>SUM(H259:H302)</f>
        <v>0</v>
      </c>
      <c r="I258" s="418">
        <f t="shared" ref="I258:M258" si="84">SUM(I259:I302)</f>
        <v>0</v>
      </c>
      <c r="J258" s="418">
        <f t="shared" si="84"/>
        <v>0</v>
      </c>
      <c r="K258" s="418">
        <f>SUM(K259:K302)</f>
        <v>0</v>
      </c>
      <c r="L258" s="418">
        <f>SUM(L259:L302)</f>
        <v>0</v>
      </c>
      <c r="M258" s="418">
        <f t="shared" si="84"/>
        <v>0</v>
      </c>
      <c r="N258" s="419">
        <f>SUM(N259:N302)</f>
        <v>0</v>
      </c>
      <c r="O258" s="420"/>
      <c r="P258" s="420"/>
      <c r="Q258" s="420"/>
      <c r="R258" s="413"/>
      <c r="S258" s="414"/>
    </row>
    <row r="259" spans="1:19" s="10" customFormat="1" ht="15">
      <c r="A259" s="104" t="s">
        <v>467</v>
      </c>
      <c r="B259" s="94" t="s">
        <v>28</v>
      </c>
      <c r="C259" s="95"/>
      <c r="D259" s="96"/>
      <c r="E259" s="97"/>
      <c r="F259" s="98">
        <f>SUM(F260:F263)</f>
        <v>0</v>
      </c>
      <c r="G259" s="269"/>
      <c r="H259" s="290"/>
      <c r="I259" s="98"/>
      <c r="J259" s="98"/>
      <c r="K259" s="99"/>
      <c r="L259" s="99"/>
      <c r="M259" s="98"/>
      <c r="N259" s="319"/>
      <c r="O259" s="263"/>
      <c r="P259" s="263"/>
      <c r="Q259" s="263"/>
      <c r="R259" s="263"/>
    </row>
    <row r="260" spans="1:19" s="10" customFormat="1" ht="14.25">
      <c r="A260" s="39" t="s">
        <v>468</v>
      </c>
      <c r="B260" s="194" t="s">
        <v>411</v>
      </c>
      <c r="C260" s="210">
        <v>300</v>
      </c>
      <c r="D260" s="203" t="s">
        <v>22</v>
      </c>
      <c r="E260" s="197"/>
      <c r="F260" s="197">
        <f>C260*E260</f>
        <v>0</v>
      </c>
      <c r="G260" s="273"/>
      <c r="H260" s="294"/>
      <c r="I260" s="30"/>
      <c r="J260" s="29"/>
      <c r="K260" s="49">
        <f>F260</f>
        <v>0</v>
      </c>
      <c r="L260" s="180"/>
      <c r="M260" s="59"/>
      <c r="N260" s="89"/>
      <c r="O260" s="263"/>
      <c r="P260" s="263"/>
      <c r="Q260" s="263"/>
      <c r="R260" s="263"/>
    </row>
    <row r="261" spans="1:19" s="10" customFormat="1" ht="14.25">
      <c r="A261" s="39" t="s">
        <v>469</v>
      </c>
      <c r="B261" s="194" t="s">
        <v>413</v>
      </c>
      <c r="C261" s="210">
        <v>3</v>
      </c>
      <c r="D261" s="216" t="s">
        <v>20</v>
      </c>
      <c r="E261" s="197"/>
      <c r="F261" s="197">
        <f>C261*E261</f>
        <v>0</v>
      </c>
      <c r="G261" s="273"/>
      <c r="H261" s="294"/>
      <c r="I261" s="29"/>
      <c r="J261" s="29"/>
      <c r="K261" s="49">
        <f>F261</f>
        <v>0</v>
      </c>
      <c r="L261" s="180"/>
      <c r="M261" s="29"/>
      <c r="N261" s="89"/>
      <c r="O261" s="263"/>
      <c r="P261" s="263"/>
      <c r="Q261" s="263"/>
      <c r="R261" s="263"/>
    </row>
    <row r="262" spans="1:19" s="10" customFormat="1" ht="14.25">
      <c r="A262" s="39" t="s">
        <v>470</v>
      </c>
      <c r="B262" s="194" t="s">
        <v>192</v>
      </c>
      <c r="C262" s="210">
        <v>300</v>
      </c>
      <c r="D262" s="197" t="s">
        <v>22</v>
      </c>
      <c r="E262" s="197"/>
      <c r="F262" s="197">
        <f>E262*C262</f>
        <v>0</v>
      </c>
      <c r="G262" s="270"/>
      <c r="H262" s="294"/>
      <c r="I262" s="29"/>
      <c r="J262" s="29"/>
      <c r="K262" s="49">
        <f>F262</f>
        <v>0</v>
      </c>
      <c r="L262" s="180"/>
      <c r="M262" s="59"/>
      <c r="N262" s="89"/>
      <c r="O262" s="161"/>
      <c r="P262" s="161"/>
      <c r="Q262" s="161"/>
      <c r="R262" s="161"/>
    </row>
    <row r="263" spans="1:19" s="10" customFormat="1" ht="14.25">
      <c r="A263" s="39" t="s">
        <v>471</v>
      </c>
      <c r="B263" s="217" t="s">
        <v>213</v>
      </c>
      <c r="C263" s="210">
        <v>50</v>
      </c>
      <c r="D263" s="197" t="s">
        <v>22</v>
      </c>
      <c r="E263" s="197"/>
      <c r="F263" s="197">
        <f>E263*C263</f>
        <v>0</v>
      </c>
      <c r="G263" s="270"/>
      <c r="H263" s="294"/>
      <c r="I263" s="29"/>
      <c r="J263" s="29"/>
      <c r="K263" s="49">
        <f>F263</f>
        <v>0</v>
      </c>
      <c r="L263" s="180"/>
      <c r="M263" s="59"/>
      <c r="N263" s="89"/>
      <c r="O263" s="161"/>
      <c r="P263" s="161"/>
      <c r="Q263" s="161"/>
      <c r="R263" s="161"/>
    </row>
    <row r="264" spans="1:19" s="25" customFormat="1" ht="15">
      <c r="A264" s="137" t="s">
        <v>472</v>
      </c>
      <c r="B264" s="138" t="s">
        <v>32</v>
      </c>
      <c r="C264" s="143"/>
      <c r="D264" s="144"/>
      <c r="E264" s="139"/>
      <c r="F264" s="140">
        <f>SUM(F265:F278)</f>
        <v>0</v>
      </c>
      <c r="G264" s="284"/>
      <c r="H264" s="307"/>
      <c r="I264" s="140"/>
      <c r="J264" s="140"/>
      <c r="K264" s="258"/>
      <c r="L264" s="140"/>
      <c r="M264" s="145"/>
      <c r="N264" s="146"/>
      <c r="O264" s="168"/>
      <c r="P264" s="168"/>
      <c r="Q264" s="168"/>
      <c r="R264" s="167"/>
      <c r="S264" s="24"/>
    </row>
    <row r="265" spans="1:19" s="25" customFormat="1" ht="15">
      <c r="A265" s="141" t="s">
        <v>473</v>
      </c>
      <c r="B265" s="218" t="s">
        <v>178</v>
      </c>
      <c r="C265" s="195">
        <v>268</v>
      </c>
      <c r="D265" s="203" t="s">
        <v>22</v>
      </c>
      <c r="E265" s="197"/>
      <c r="F265" s="32">
        <f t="shared" ref="F265:F278" si="85">C265*E265</f>
        <v>0</v>
      </c>
      <c r="G265" s="271"/>
      <c r="H265" s="301"/>
      <c r="I265" s="33"/>
      <c r="J265" s="33"/>
      <c r="K265" s="147">
        <f t="shared" ref="K265:K278" si="86">F265/3</f>
        <v>0</v>
      </c>
      <c r="L265" s="34">
        <f t="shared" ref="L265:L278" si="87">F265/3</f>
        <v>0</v>
      </c>
      <c r="M265" s="34">
        <f t="shared" ref="M265:M278" si="88">F265/3</f>
        <v>0</v>
      </c>
      <c r="N265" s="184"/>
      <c r="O265" s="156"/>
      <c r="P265" s="156"/>
      <c r="Q265" s="156"/>
      <c r="R265" s="167"/>
      <c r="S265" s="24"/>
    </row>
    <row r="266" spans="1:19" s="25" customFormat="1" ht="15">
      <c r="A266" s="141" t="s">
        <v>474</v>
      </c>
      <c r="B266" s="211" t="s">
        <v>196</v>
      </c>
      <c r="C266" s="195">
        <v>79.430000000000007</v>
      </c>
      <c r="D266" s="203" t="s">
        <v>35</v>
      </c>
      <c r="E266" s="197"/>
      <c r="F266" s="32">
        <f t="shared" si="85"/>
        <v>0</v>
      </c>
      <c r="G266" s="271"/>
      <c r="H266" s="301"/>
      <c r="I266" s="33"/>
      <c r="J266" s="33"/>
      <c r="K266" s="147">
        <f t="shared" si="86"/>
        <v>0</v>
      </c>
      <c r="L266" s="34">
        <f t="shared" si="87"/>
        <v>0</v>
      </c>
      <c r="M266" s="34">
        <f t="shared" si="88"/>
        <v>0</v>
      </c>
      <c r="N266" s="184"/>
      <c r="O266" s="156"/>
      <c r="P266" s="156"/>
      <c r="Q266" s="156"/>
      <c r="R266" s="167"/>
      <c r="S266" s="24"/>
    </row>
    <row r="267" spans="1:19" s="25" customFormat="1" ht="15">
      <c r="A267" s="141" t="s">
        <v>475</v>
      </c>
      <c r="B267" s="206" t="s">
        <v>180</v>
      </c>
      <c r="C267" s="195">
        <v>268</v>
      </c>
      <c r="D267" s="203" t="s">
        <v>22</v>
      </c>
      <c r="E267" s="207"/>
      <c r="F267" s="196">
        <f t="shared" si="85"/>
        <v>0</v>
      </c>
      <c r="G267" s="271"/>
      <c r="H267" s="301"/>
      <c r="I267" s="33"/>
      <c r="J267" s="33"/>
      <c r="K267" s="147">
        <f t="shared" si="86"/>
        <v>0</v>
      </c>
      <c r="L267" s="34">
        <f t="shared" si="87"/>
        <v>0</v>
      </c>
      <c r="M267" s="34">
        <f t="shared" si="88"/>
        <v>0</v>
      </c>
      <c r="N267" s="184"/>
      <c r="O267" s="156"/>
      <c r="P267" s="156"/>
      <c r="Q267" s="156"/>
      <c r="R267" s="167"/>
      <c r="S267" s="24"/>
    </row>
    <row r="268" spans="1:19" s="25" customFormat="1" ht="15">
      <c r="A268" s="141" t="s">
        <v>476</v>
      </c>
      <c r="B268" s="194" t="s">
        <v>379</v>
      </c>
      <c r="C268" s="195">
        <v>8844</v>
      </c>
      <c r="D268" s="203" t="s">
        <v>380</v>
      </c>
      <c r="E268" s="197"/>
      <c r="F268" s="196">
        <f t="shared" si="85"/>
        <v>0</v>
      </c>
      <c r="G268" s="271"/>
      <c r="H268" s="301"/>
      <c r="I268" s="33"/>
      <c r="J268" s="33"/>
      <c r="K268" s="147">
        <f t="shared" si="86"/>
        <v>0</v>
      </c>
      <c r="L268" s="34">
        <f t="shared" si="87"/>
        <v>0</v>
      </c>
      <c r="M268" s="34">
        <f t="shared" si="88"/>
        <v>0</v>
      </c>
      <c r="N268" s="184"/>
      <c r="O268" s="156"/>
      <c r="P268" s="156"/>
      <c r="Q268" s="156"/>
      <c r="R268" s="167"/>
      <c r="S268" s="24"/>
    </row>
    <row r="269" spans="1:19" s="25" customFormat="1" ht="15">
      <c r="A269" s="141" t="s">
        <v>477</v>
      </c>
      <c r="B269" s="194" t="s">
        <v>381</v>
      </c>
      <c r="C269" s="195">
        <v>268</v>
      </c>
      <c r="D269" s="203" t="s">
        <v>22</v>
      </c>
      <c r="E269" s="197"/>
      <c r="F269" s="196">
        <f t="shared" si="85"/>
        <v>0</v>
      </c>
      <c r="G269" s="271"/>
      <c r="H269" s="301"/>
      <c r="I269" s="33"/>
      <c r="J269" s="33"/>
      <c r="K269" s="147">
        <f t="shared" si="86"/>
        <v>0</v>
      </c>
      <c r="L269" s="34">
        <f t="shared" si="87"/>
        <v>0</v>
      </c>
      <c r="M269" s="34">
        <f t="shared" si="88"/>
        <v>0</v>
      </c>
      <c r="N269" s="184"/>
      <c r="O269" s="156"/>
      <c r="P269" s="156"/>
      <c r="Q269" s="156"/>
      <c r="R269" s="167"/>
      <c r="S269" s="24"/>
    </row>
    <row r="270" spans="1:19" s="25" customFormat="1" ht="15">
      <c r="A270" s="141" t="s">
        <v>478</v>
      </c>
      <c r="B270" s="194" t="s">
        <v>43</v>
      </c>
      <c r="C270" s="210">
        <v>4</v>
      </c>
      <c r="D270" s="212" t="s">
        <v>35</v>
      </c>
      <c r="E270" s="197"/>
      <c r="F270" s="32">
        <f t="shared" si="85"/>
        <v>0</v>
      </c>
      <c r="G270" s="271"/>
      <c r="H270" s="301"/>
      <c r="I270" s="33"/>
      <c r="J270" s="33"/>
      <c r="K270" s="147">
        <f t="shared" si="86"/>
        <v>0</v>
      </c>
      <c r="L270" s="34">
        <f t="shared" si="87"/>
        <v>0</v>
      </c>
      <c r="M270" s="34">
        <f t="shared" si="88"/>
        <v>0</v>
      </c>
      <c r="N270" s="184"/>
      <c r="O270" s="156"/>
      <c r="P270" s="156"/>
      <c r="Q270" s="156"/>
      <c r="R270" s="167"/>
      <c r="S270" s="24"/>
    </row>
    <row r="271" spans="1:19" s="25" customFormat="1" ht="15">
      <c r="A271" s="141" t="s">
        <v>479</v>
      </c>
      <c r="B271" s="194" t="s">
        <v>460</v>
      </c>
      <c r="C271" s="210">
        <v>4</v>
      </c>
      <c r="D271" s="212" t="s">
        <v>35</v>
      </c>
      <c r="E271" s="197"/>
      <c r="F271" s="32">
        <f t="shared" si="85"/>
        <v>0</v>
      </c>
      <c r="G271" s="271"/>
      <c r="H271" s="301"/>
      <c r="I271" s="33"/>
      <c r="J271" s="33"/>
      <c r="K271" s="147">
        <f t="shared" si="86"/>
        <v>0</v>
      </c>
      <c r="L271" s="34">
        <f t="shared" si="87"/>
        <v>0</v>
      </c>
      <c r="M271" s="34">
        <f t="shared" si="88"/>
        <v>0</v>
      </c>
      <c r="N271" s="184"/>
      <c r="O271" s="156"/>
      <c r="P271" s="156"/>
      <c r="Q271" s="156"/>
      <c r="R271" s="167"/>
      <c r="S271" s="24"/>
    </row>
    <row r="272" spans="1:19" s="25" customFormat="1" ht="15">
      <c r="A272" s="141" t="s">
        <v>480</v>
      </c>
      <c r="B272" s="217" t="s">
        <v>203</v>
      </c>
      <c r="C272" s="210">
        <v>79.430000000000007</v>
      </c>
      <c r="D272" s="212" t="s">
        <v>35</v>
      </c>
      <c r="E272" s="197"/>
      <c r="F272" s="32">
        <f t="shared" si="85"/>
        <v>0</v>
      </c>
      <c r="G272" s="271"/>
      <c r="H272" s="301"/>
      <c r="I272" s="33"/>
      <c r="J272" s="33"/>
      <c r="K272" s="147">
        <f t="shared" si="86"/>
        <v>0</v>
      </c>
      <c r="L272" s="34">
        <f t="shared" si="87"/>
        <v>0</v>
      </c>
      <c r="M272" s="34">
        <f t="shared" si="88"/>
        <v>0</v>
      </c>
      <c r="N272" s="184"/>
      <c r="O272" s="156"/>
      <c r="P272" s="156"/>
      <c r="Q272" s="156"/>
      <c r="R272" s="167"/>
      <c r="S272" s="24"/>
    </row>
    <row r="273" spans="1:19" s="25" customFormat="1" ht="15">
      <c r="A273" s="141" t="s">
        <v>481</v>
      </c>
      <c r="B273" s="194" t="s">
        <v>49</v>
      </c>
      <c r="C273" s="195">
        <v>117</v>
      </c>
      <c r="D273" s="203" t="s">
        <v>35</v>
      </c>
      <c r="E273" s="197"/>
      <c r="F273" s="32">
        <f t="shared" si="85"/>
        <v>0</v>
      </c>
      <c r="G273" s="271"/>
      <c r="H273" s="301"/>
      <c r="I273" s="33"/>
      <c r="J273" s="33"/>
      <c r="K273" s="147">
        <f t="shared" si="86"/>
        <v>0</v>
      </c>
      <c r="L273" s="34">
        <f t="shared" si="87"/>
        <v>0</v>
      </c>
      <c r="M273" s="34">
        <f t="shared" si="88"/>
        <v>0</v>
      </c>
      <c r="N273" s="184"/>
      <c r="O273" s="156"/>
      <c r="P273" s="156"/>
      <c r="Q273" s="156"/>
      <c r="R273" s="167"/>
      <c r="S273" s="24"/>
    </row>
    <row r="274" spans="1:19" s="25" customFormat="1" ht="15">
      <c r="A274" s="141" t="s">
        <v>481</v>
      </c>
      <c r="B274" s="248" t="s">
        <v>634</v>
      </c>
      <c r="C274" s="247">
        <v>12</v>
      </c>
      <c r="D274" s="249" t="s">
        <v>20</v>
      </c>
      <c r="E274" s="36"/>
      <c r="F274" s="32">
        <f t="shared" ref="F274" si="89">C274*E274</f>
        <v>0</v>
      </c>
      <c r="G274" s="271"/>
      <c r="H274" s="301"/>
      <c r="I274" s="33"/>
      <c r="J274" s="33"/>
      <c r="K274" s="147">
        <f t="shared" ref="K274" si="90">F274/3</f>
        <v>0</v>
      </c>
      <c r="L274" s="34">
        <f t="shared" ref="L274" si="91">F274/3</f>
        <v>0</v>
      </c>
      <c r="M274" s="34">
        <f t="shared" ref="M274" si="92">F274/3</f>
        <v>0</v>
      </c>
      <c r="N274" s="184"/>
      <c r="O274" s="156"/>
      <c r="P274" s="156"/>
      <c r="Q274" s="156"/>
      <c r="R274" s="167"/>
      <c r="S274" s="24"/>
    </row>
    <row r="275" spans="1:19" s="25" customFormat="1" ht="15">
      <c r="A275" s="141" t="s">
        <v>482</v>
      </c>
      <c r="B275" s="217" t="s">
        <v>216</v>
      </c>
      <c r="C275" s="210">
        <v>3</v>
      </c>
      <c r="D275" s="216" t="s">
        <v>20</v>
      </c>
      <c r="E275" s="197"/>
      <c r="F275" s="32">
        <f t="shared" si="85"/>
        <v>0</v>
      </c>
      <c r="G275" s="271"/>
      <c r="H275" s="301"/>
      <c r="I275" s="33"/>
      <c r="J275" s="33"/>
      <c r="K275" s="147">
        <f t="shared" si="86"/>
        <v>0</v>
      </c>
      <c r="L275" s="34">
        <f t="shared" si="87"/>
        <v>0</v>
      </c>
      <c r="M275" s="34">
        <f t="shared" si="88"/>
        <v>0</v>
      </c>
      <c r="N275" s="184"/>
      <c r="O275" s="156"/>
      <c r="P275" s="156"/>
      <c r="Q275" s="156"/>
      <c r="R275" s="167"/>
      <c r="S275" s="24"/>
    </row>
    <row r="276" spans="1:19" s="25" customFormat="1" ht="15">
      <c r="A276" s="141" t="s">
        <v>483</v>
      </c>
      <c r="B276" s="198" t="s">
        <v>422</v>
      </c>
      <c r="C276" s="199">
        <v>20</v>
      </c>
      <c r="D276" s="201" t="s">
        <v>35</v>
      </c>
      <c r="E276" s="200"/>
      <c r="F276" s="32">
        <f t="shared" si="85"/>
        <v>0</v>
      </c>
      <c r="G276" s="271"/>
      <c r="H276" s="301"/>
      <c r="I276" s="33"/>
      <c r="J276" s="33"/>
      <c r="K276" s="147">
        <f t="shared" si="86"/>
        <v>0</v>
      </c>
      <c r="L276" s="34">
        <f t="shared" si="87"/>
        <v>0</v>
      </c>
      <c r="M276" s="34">
        <f t="shared" si="88"/>
        <v>0</v>
      </c>
      <c r="N276" s="184"/>
      <c r="O276" s="156"/>
      <c r="P276" s="156"/>
      <c r="Q276" s="156"/>
      <c r="R276" s="167"/>
      <c r="S276" s="24"/>
    </row>
    <row r="277" spans="1:19" s="25" customFormat="1" ht="15">
      <c r="A277" s="141" t="s">
        <v>484</v>
      </c>
      <c r="B277" s="194" t="s">
        <v>382</v>
      </c>
      <c r="C277" s="195">
        <v>39</v>
      </c>
      <c r="D277" s="203" t="s">
        <v>35</v>
      </c>
      <c r="E277" s="197"/>
      <c r="F277" s="196">
        <f t="shared" si="85"/>
        <v>0</v>
      </c>
      <c r="G277" s="271"/>
      <c r="H277" s="301"/>
      <c r="I277" s="33"/>
      <c r="J277" s="33"/>
      <c r="K277" s="147">
        <f t="shared" si="86"/>
        <v>0</v>
      </c>
      <c r="L277" s="34">
        <f t="shared" si="87"/>
        <v>0</v>
      </c>
      <c r="M277" s="34">
        <f t="shared" si="88"/>
        <v>0</v>
      </c>
      <c r="N277" s="184"/>
      <c r="O277" s="156"/>
      <c r="P277" s="156"/>
      <c r="Q277" s="156"/>
      <c r="R277" s="167"/>
      <c r="S277" s="24"/>
    </row>
    <row r="278" spans="1:19" s="25" customFormat="1" ht="15">
      <c r="A278" s="141" t="s">
        <v>485</v>
      </c>
      <c r="B278" s="194" t="s">
        <v>383</v>
      </c>
      <c r="C278" s="210">
        <v>39</v>
      </c>
      <c r="D278" s="212" t="s">
        <v>22</v>
      </c>
      <c r="E278" s="197"/>
      <c r="F278" s="32">
        <f t="shared" si="85"/>
        <v>0</v>
      </c>
      <c r="G278" s="271"/>
      <c r="H278" s="301"/>
      <c r="I278" s="33"/>
      <c r="J278" s="33"/>
      <c r="K278" s="147">
        <f t="shared" si="86"/>
        <v>0</v>
      </c>
      <c r="L278" s="34">
        <f t="shared" si="87"/>
        <v>0</v>
      </c>
      <c r="M278" s="34">
        <f t="shared" si="88"/>
        <v>0</v>
      </c>
      <c r="N278" s="184"/>
      <c r="O278" s="156"/>
      <c r="P278" s="156"/>
      <c r="Q278" s="156"/>
      <c r="R278" s="167"/>
      <c r="S278" s="24"/>
    </row>
    <row r="279" spans="1:19" s="10" customFormat="1" ht="15">
      <c r="A279" s="104" t="s">
        <v>486</v>
      </c>
      <c r="B279" s="94" t="s">
        <v>62</v>
      </c>
      <c r="C279" s="95"/>
      <c r="D279" s="96"/>
      <c r="E279" s="97"/>
      <c r="F279" s="98">
        <f>SUM(F280:F295)</f>
        <v>0</v>
      </c>
      <c r="G279" s="269"/>
      <c r="H279" s="290"/>
      <c r="I279" s="98"/>
      <c r="J279" s="98"/>
      <c r="K279" s="257"/>
      <c r="L279" s="98"/>
      <c r="M279" s="99"/>
      <c r="N279" s="100"/>
      <c r="O279" s="161"/>
      <c r="P279" s="161"/>
      <c r="Q279" s="161"/>
      <c r="R279" s="161"/>
    </row>
    <row r="280" spans="1:19" s="10" customFormat="1" ht="14.25">
      <c r="A280" s="193" t="s">
        <v>487</v>
      </c>
      <c r="B280" s="217" t="s">
        <v>198</v>
      </c>
      <c r="C280" s="210">
        <v>268</v>
      </c>
      <c r="D280" s="212" t="s">
        <v>22</v>
      </c>
      <c r="E280" s="197"/>
      <c r="F280" s="28">
        <f>E280*C280</f>
        <v>0</v>
      </c>
      <c r="G280" s="273"/>
      <c r="H280" s="294"/>
      <c r="I280" s="180"/>
      <c r="J280" s="180"/>
      <c r="K280" s="49">
        <f t="shared" ref="K280:K295" si="93">F280/4</f>
        <v>0</v>
      </c>
      <c r="L280" s="31">
        <f t="shared" ref="L280:L295" si="94">F280/4</f>
        <v>0</v>
      </c>
      <c r="M280" s="31">
        <f t="shared" ref="M280:M295" si="95">F280/4</f>
        <v>0</v>
      </c>
      <c r="N280" s="325">
        <f t="shared" ref="N280:N295" si="96">F280/4</f>
        <v>0</v>
      </c>
      <c r="O280" s="161"/>
      <c r="P280" s="161"/>
      <c r="Q280" s="161"/>
      <c r="R280" s="161"/>
    </row>
    <row r="281" spans="1:19" s="10" customFormat="1" ht="14.25">
      <c r="A281" s="193" t="s">
        <v>488</v>
      </c>
      <c r="B281" s="217" t="s">
        <v>199</v>
      </c>
      <c r="C281" s="210">
        <v>268</v>
      </c>
      <c r="D281" s="212" t="s">
        <v>22</v>
      </c>
      <c r="E281" s="197"/>
      <c r="F281" s="28">
        <f>E281*C281</f>
        <v>0</v>
      </c>
      <c r="G281" s="273"/>
      <c r="H281" s="294"/>
      <c r="I281" s="180"/>
      <c r="J281" s="180"/>
      <c r="K281" s="49">
        <f t="shared" si="93"/>
        <v>0</v>
      </c>
      <c r="L281" s="31">
        <f t="shared" si="94"/>
        <v>0</v>
      </c>
      <c r="M281" s="31">
        <f t="shared" si="95"/>
        <v>0</v>
      </c>
      <c r="N281" s="325">
        <f t="shared" si="96"/>
        <v>0</v>
      </c>
      <c r="O281" s="161"/>
      <c r="P281" s="161"/>
      <c r="Q281" s="161"/>
      <c r="R281" s="161"/>
    </row>
    <row r="282" spans="1:19" s="10" customFormat="1" ht="14.25">
      <c r="A282" s="193" t="s">
        <v>489</v>
      </c>
      <c r="B282" s="217" t="s">
        <v>253</v>
      </c>
      <c r="C282" s="210">
        <v>5</v>
      </c>
      <c r="D282" s="195" t="s">
        <v>22</v>
      </c>
      <c r="E282" s="197"/>
      <c r="F282" s="28">
        <f>C282*E282</f>
        <v>0</v>
      </c>
      <c r="G282" s="273"/>
      <c r="H282" s="294"/>
      <c r="I282" s="180"/>
      <c r="J282" s="180"/>
      <c r="K282" s="49">
        <f t="shared" si="93"/>
        <v>0</v>
      </c>
      <c r="L282" s="31">
        <f t="shared" si="94"/>
        <v>0</v>
      </c>
      <c r="M282" s="31">
        <f t="shared" si="95"/>
        <v>0</v>
      </c>
      <c r="N282" s="325">
        <f t="shared" si="96"/>
        <v>0</v>
      </c>
      <c r="O282" s="161"/>
      <c r="P282" s="161"/>
      <c r="Q282" s="161"/>
      <c r="R282" s="161"/>
    </row>
    <row r="283" spans="1:19" s="10" customFormat="1" ht="14.25">
      <c r="A283" s="193" t="s">
        <v>490</v>
      </c>
      <c r="B283" s="217" t="s">
        <v>177</v>
      </c>
      <c r="C283" s="210">
        <v>25</v>
      </c>
      <c r="D283" s="210" t="s">
        <v>35</v>
      </c>
      <c r="E283" s="197"/>
      <c r="F283" s="28">
        <f t="shared" ref="F283:F289" si="97">E283*C283</f>
        <v>0</v>
      </c>
      <c r="G283" s="273"/>
      <c r="H283" s="294"/>
      <c r="I283" s="180"/>
      <c r="J283" s="180"/>
      <c r="K283" s="49">
        <f t="shared" si="93"/>
        <v>0</v>
      </c>
      <c r="L283" s="31">
        <f t="shared" si="94"/>
        <v>0</v>
      </c>
      <c r="M283" s="31">
        <f t="shared" si="95"/>
        <v>0</v>
      </c>
      <c r="N283" s="325">
        <f t="shared" si="96"/>
        <v>0</v>
      </c>
      <c r="O283" s="161"/>
      <c r="P283" s="161"/>
      <c r="Q283" s="161"/>
      <c r="R283" s="161"/>
    </row>
    <row r="284" spans="1:19" s="10" customFormat="1" ht="14.25">
      <c r="A284" s="193" t="s">
        <v>491</v>
      </c>
      <c r="B284" s="217" t="s">
        <v>176</v>
      </c>
      <c r="C284" s="210">
        <v>30</v>
      </c>
      <c r="D284" s="210" t="s">
        <v>35</v>
      </c>
      <c r="E284" s="197"/>
      <c r="F284" s="28">
        <f t="shared" si="97"/>
        <v>0</v>
      </c>
      <c r="G284" s="273"/>
      <c r="H284" s="294"/>
      <c r="I284" s="180"/>
      <c r="J284" s="180"/>
      <c r="K284" s="49">
        <f t="shared" si="93"/>
        <v>0</v>
      </c>
      <c r="L284" s="31">
        <f t="shared" si="94"/>
        <v>0</v>
      </c>
      <c r="M284" s="31">
        <f t="shared" si="95"/>
        <v>0</v>
      </c>
      <c r="N284" s="325">
        <f t="shared" si="96"/>
        <v>0</v>
      </c>
      <c r="O284" s="161"/>
      <c r="P284" s="161"/>
      <c r="Q284" s="161"/>
      <c r="R284" s="161"/>
    </row>
    <row r="285" spans="1:19" s="10" customFormat="1" ht="14.25">
      <c r="A285" s="193" t="s">
        <v>492</v>
      </c>
      <c r="B285" s="217" t="s">
        <v>206</v>
      </c>
      <c r="C285" s="210">
        <v>300</v>
      </c>
      <c r="D285" s="210" t="s">
        <v>35</v>
      </c>
      <c r="E285" s="197"/>
      <c r="F285" s="28">
        <f t="shared" si="97"/>
        <v>0</v>
      </c>
      <c r="G285" s="273"/>
      <c r="H285" s="294"/>
      <c r="I285" s="180"/>
      <c r="J285" s="180"/>
      <c r="K285" s="49">
        <f t="shared" si="93"/>
        <v>0</v>
      </c>
      <c r="L285" s="31">
        <f t="shared" si="94"/>
        <v>0</v>
      </c>
      <c r="M285" s="31">
        <f t="shared" si="95"/>
        <v>0</v>
      </c>
      <c r="N285" s="325">
        <f t="shared" si="96"/>
        <v>0</v>
      </c>
      <c r="O285" s="161"/>
      <c r="P285" s="161"/>
      <c r="Q285" s="161"/>
      <c r="R285" s="161"/>
    </row>
    <row r="286" spans="1:19" s="10" customFormat="1" ht="14.25">
      <c r="A286" s="193" t="s">
        <v>493</v>
      </c>
      <c r="B286" s="217" t="s">
        <v>207</v>
      </c>
      <c r="C286" s="210">
        <v>600</v>
      </c>
      <c r="D286" s="210" t="s">
        <v>35</v>
      </c>
      <c r="E286" s="197"/>
      <c r="F286" s="28">
        <f t="shared" si="97"/>
        <v>0</v>
      </c>
      <c r="G286" s="273"/>
      <c r="H286" s="294"/>
      <c r="I286" s="180"/>
      <c r="J286" s="180"/>
      <c r="K286" s="49">
        <f t="shared" si="93"/>
        <v>0</v>
      </c>
      <c r="L286" s="31">
        <f t="shared" si="94"/>
        <v>0</v>
      </c>
      <c r="M286" s="31">
        <f t="shared" si="95"/>
        <v>0</v>
      </c>
      <c r="N286" s="325">
        <f t="shared" si="96"/>
        <v>0</v>
      </c>
      <c r="O286" s="161"/>
      <c r="P286" s="161"/>
      <c r="Q286" s="161"/>
      <c r="R286" s="161"/>
    </row>
    <row r="287" spans="1:19" s="10" customFormat="1" ht="14.25">
      <c r="A287" s="193" t="s">
        <v>494</v>
      </c>
      <c r="B287" s="217" t="s">
        <v>214</v>
      </c>
      <c r="C287" s="210">
        <f>0.65*4*10</f>
        <v>26</v>
      </c>
      <c r="D287" s="222" t="s">
        <v>35</v>
      </c>
      <c r="E287" s="197"/>
      <c r="F287" s="28">
        <f t="shared" si="97"/>
        <v>0</v>
      </c>
      <c r="G287" s="273"/>
      <c r="H287" s="294"/>
      <c r="I287" s="180"/>
      <c r="J287" s="180"/>
      <c r="K287" s="49">
        <f t="shared" si="93"/>
        <v>0</v>
      </c>
      <c r="L287" s="31">
        <f t="shared" si="94"/>
        <v>0</v>
      </c>
      <c r="M287" s="31">
        <f t="shared" si="95"/>
        <v>0</v>
      </c>
      <c r="N287" s="325">
        <f t="shared" si="96"/>
        <v>0</v>
      </c>
      <c r="O287" s="161"/>
      <c r="P287" s="161"/>
      <c r="Q287" s="161"/>
      <c r="R287" s="161"/>
    </row>
    <row r="288" spans="1:19" s="10" customFormat="1" ht="14.25">
      <c r="A288" s="193" t="s">
        <v>495</v>
      </c>
      <c r="B288" s="217" t="s">
        <v>215</v>
      </c>
      <c r="C288" s="210">
        <f>3*4*10</f>
        <v>120</v>
      </c>
      <c r="D288" s="222" t="s">
        <v>20</v>
      </c>
      <c r="E288" s="197"/>
      <c r="F288" s="28">
        <f t="shared" si="97"/>
        <v>0</v>
      </c>
      <c r="G288" s="273"/>
      <c r="H288" s="294"/>
      <c r="I288" s="180"/>
      <c r="J288" s="180"/>
      <c r="K288" s="49">
        <f t="shared" si="93"/>
        <v>0</v>
      </c>
      <c r="L288" s="31">
        <f t="shared" si="94"/>
        <v>0</v>
      </c>
      <c r="M288" s="31">
        <f t="shared" si="95"/>
        <v>0</v>
      </c>
      <c r="N288" s="325">
        <f t="shared" si="96"/>
        <v>0</v>
      </c>
      <c r="O288" s="161"/>
      <c r="P288" s="161"/>
      <c r="Q288" s="161"/>
      <c r="R288" s="161"/>
    </row>
    <row r="289" spans="1:19" s="25" customFormat="1" ht="14.25">
      <c r="A289" s="193" t="s">
        <v>496</v>
      </c>
      <c r="B289" s="194" t="s">
        <v>254</v>
      </c>
      <c r="C289" s="195">
        <v>120</v>
      </c>
      <c r="D289" s="222" t="s">
        <v>35</v>
      </c>
      <c r="E289" s="197"/>
      <c r="F289" s="26">
        <f t="shared" si="97"/>
        <v>0</v>
      </c>
      <c r="G289" s="271"/>
      <c r="H289" s="308"/>
      <c r="I289" s="23"/>
      <c r="J289" s="23"/>
      <c r="K289" s="49">
        <f t="shared" si="93"/>
        <v>0</v>
      </c>
      <c r="L289" s="31">
        <f t="shared" si="94"/>
        <v>0</v>
      </c>
      <c r="M289" s="31">
        <f t="shared" si="95"/>
        <v>0</v>
      </c>
      <c r="N289" s="325">
        <f t="shared" si="96"/>
        <v>0</v>
      </c>
      <c r="O289" s="162"/>
      <c r="P289" s="162"/>
      <c r="Q289" s="162"/>
      <c r="R289" s="162"/>
    </row>
    <row r="290" spans="1:19" s="25" customFormat="1" ht="14.25">
      <c r="A290" s="193" t="s">
        <v>497</v>
      </c>
      <c r="B290" s="194" t="s">
        <v>255</v>
      </c>
      <c r="C290" s="195">
        <v>24</v>
      </c>
      <c r="D290" s="222" t="s">
        <v>20</v>
      </c>
      <c r="E290" s="197"/>
      <c r="F290" s="196">
        <f>E290*C290</f>
        <v>0</v>
      </c>
      <c r="G290" s="271"/>
      <c r="H290" s="308"/>
      <c r="I290" s="23"/>
      <c r="J290" s="23"/>
      <c r="K290" s="49">
        <f t="shared" si="93"/>
        <v>0</v>
      </c>
      <c r="L290" s="31">
        <f t="shared" si="94"/>
        <v>0</v>
      </c>
      <c r="M290" s="31">
        <f t="shared" si="95"/>
        <v>0</v>
      </c>
      <c r="N290" s="325">
        <f t="shared" si="96"/>
        <v>0</v>
      </c>
      <c r="O290" s="162"/>
      <c r="P290" s="162"/>
      <c r="Q290" s="162"/>
      <c r="R290" s="162"/>
    </row>
    <row r="291" spans="1:19" s="25" customFormat="1" ht="14.25">
      <c r="A291" s="193" t="s">
        <v>498</v>
      </c>
      <c r="B291" s="194" t="s">
        <v>256</v>
      </c>
      <c r="C291" s="195">
        <v>24</v>
      </c>
      <c r="D291" s="222" t="s">
        <v>20</v>
      </c>
      <c r="E291" s="197"/>
      <c r="F291" s="196">
        <f t="shared" ref="F291:F292" si="98">E291*C291</f>
        <v>0</v>
      </c>
      <c r="G291" s="271"/>
      <c r="H291" s="308"/>
      <c r="I291" s="23"/>
      <c r="J291" s="23"/>
      <c r="K291" s="49">
        <f t="shared" si="93"/>
        <v>0</v>
      </c>
      <c r="L291" s="31">
        <f t="shared" si="94"/>
        <v>0</v>
      </c>
      <c r="M291" s="31">
        <f t="shared" si="95"/>
        <v>0</v>
      </c>
      <c r="N291" s="325">
        <f t="shared" si="96"/>
        <v>0</v>
      </c>
      <c r="O291" s="162"/>
      <c r="P291" s="162"/>
      <c r="Q291" s="162"/>
      <c r="R291" s="162"/>
    </row>
    <row r="292" spans="1:19" s="25" customFormat="1" ht="14.25">
      <c r="A292" s="193" t="s">
        <v>499</v>
      </c>
      <c r="B292" s="194" t="s">
        <v>257</v>
      </c>
      <c r="C292" s="195">
        <v>24</v>
      </c>
      <c r="D292" s="222" t="s">
        <v>20</v>
      </c>
      <c r="E292" s="197"/>
      <c r="F292" s="196">
        <f t="shared" si="98"/>
        <v>0</v>
      </c>
      <c r="G292" s="271"/>
      <c r="H292" s="308"/>
      <c r="I292" s="23"/>
      <c r="J292" s="23"/>
      <c r="K292" s="49">
        <f t="shared" si="93"/>
        <v>0</v>
      </c>
      <c r="L292" s="31">
        <f t="shared" si="94"/>
        <v>0</v>
      </c>
      <c r="M292" s="31">
        <f t="shared" si="95"/>
        <v>0</v>
      </c>
      <c r="N292" s="325">
        <f t="shared" si="96"/>
        <v>0</v>
      </c>
      <c r="O292" s="162"/>
      <c r="P292" s="162"/>
      <c r="Q292" s="162"/>
      <c r="R292" s="162"/>
    </row>
    <row r="293" spans="1:19" s="10" customFormat="1" ht="14.25">
      <c r="A293" s="193" t="s">
        <v>500</v>
      </c>
      <c r="B293" s="211" t="s">
        <v>70</v>
      </c>
      <c r="C293" s="210">
        <v>10</v>
      </c>
      <c r="D293" s="212" t="s">
        <v>59</v>
      </c>
      <c r="E293" s="197"/>
      <c r="F293" s="197">
        <f>C293*E293</f>
        <v>0</v>
      </c>
      <c r="G293" s="273"/>
      <c r="H293" s="294"/>
      <c r="I293" s="180"/>
      <c r="J293" s="180"/>
      <c r="K293" s="49">
        <f t="shared" si="93"/>
        <v>0</v>
      </c>
      <c r="L293" s="31">
        <f t="shared" si="94"/>
        <v>0</v>
      </c>
      <c r="M293" s="31">
        <f t="shared" si="95"/>
        <v>0</v>
      </c>
      <c r="N293" s="325">
        <f t="shared" si="96"/>
        <v>0</v>
      </c>
      <c r="O293" s="161"/>
      <c r="P293" s="161"/>
      <c r="Q293" s="161"/>
      <c r="R293" s="161"/>
    </row>
    <row r="294" spans="1:19" s="10" customFormat="1" ht="14.25">
      <c r="A294" s="193" t="s">
        <v>501</v>
      </c>
      <c r="B294" s="211" t="s">
        <v>72</v>
      </c>
      <c r="C294" s="210">
        <v>7</v>
      </c>
      <c r="D294" s="212" t="s">
        <v>59</v>
      </c>
      <c r="E294" s="197"/>
      <c r="F294" s="197">
        <f>C294*E294</f>
        <v>0</v>
      </c>
      <c r="G294" s="273"/>
      <c r="H294" s="294"/>
      <c r="I294" s="180"/>
      <c r="J294" s="180"/>
      <c r="K294" s="49">
        <f t="shared" si="93"/>
        <v>0</v>
      </c>
      <c r="L294" s="31">
        <f t="shared" si="94"/>
        <v>0</v>
      </c>
      <c r="M294" s="31">
        <f t="shared" si="95"/>
        <v>0</v>
      </c>
      <c r="N294" s="325">
        <f t="shared" si="96"/>
        <v>0</v>
      </c>
      <c r="O294" s="161"/>
      <c r="P294" s="161"/>
      <c r="Q294" s="161"/>
      <c r="R294" s="161"/>
    </row>
    <row r="295" spans="1:19" s="10" customFormat="1" ht="14.25">
      <c r="A295" s="193" t="s">
        <v>502</v>
      </c>
      <c r="B295" s="211" t="s">
        <v>74</v>
      </c>
      <c r="C295" s="210">
        <v>7</v>
      </c>
      <c r="D295" s="212" t="s">
        <v>59</v>
      </c>
      <c r="E295" s="197"/>
      <c r="F295" s="197">
        <f>C295*E295</f>
        <v>0</v>
      </c>
      <c r="G295" s="273"/>
      <c r="H295" s="294"/>
      <c r="I295" s="180"/>
      <c r="J295" s="180"/>
      <c r="K295" s="49">
        <f t="shared" si="93"/>
        <v>0</v>
      </c>
      <c r="L295" s="31">
        <f t="shared" si="94"/>
        <v>0</v>
      </c>
      <c r="M295" s="31">
        <f t="shared" si="95"/>
        <v>0</v>
      </c>
      <c r="N295" s="325">
        <f t="shared" si="96"/>
        <v>0</v>
      </c>
      <c r="O295" s="161"/>
      <c r="P295" s="161"/>
      <c r="Q295" s="161"/>
      <c r="R295" s="161"/>
    </row>
    <row r="296" spans="1:19" s="25" customFormat="1" ht="15">
      <c r="A296" s="137" t="s">
        <v>503</v>
      </c>
      <c r="B296" s="138" t="s">
        <v>678</v>
      </c>
      <c r="C296" s="143"/>
      <c r="D296" s="144"/>
      <c r="E296" s="139"/>
      <c r="F296" s="140">
        <f>SUM(F297:F302)</f>
        <v>0</v>
      </c>
      <c r="G296" s="284"/>
      <c r="H296" s="307"/>
      <c r="I296" s="140"/>
      <c r="J296" s="140"/>
      <c r="K296" s="140"/>
      <c r="L296" s="145"/>
      <c r="M296" s="140"/>
      <c r="N296" s="331"/>
      <c r="O296" s="259"/>
      <c r="P296" s="259"/>
      <c r="Q296" s="259"/>
      <c r="R296" s="260"/>
      <c r="S296" s="261"/>
    </row>
    <row r="297" spans="1:19" s="25" customFormat="1" ht="15">
      <c r="A297" s="141" t="s">
        <v>504</v>
      </c>
      <c r="B297" s="194" t="s">
        <v>77</v>
      </c>
      <c r="C297" s="202">
        <f>90.8</f>
        <v>90.8</v>
      </c>
      <c r="D297" s="213" t="s">
        <v>35</v>
      </c>
      <c r="E297" s="207"/>
      <c r="F297" s="197">
        <f t="shared" ref="F297" si="99">C297*E297</f>
        <v>0</v>
      </c>
      <c r="G297" s="271"/>
      <c r="H297" s="301"/>
      <c r="I297" s="33"/>
      <c r="J297" s="33"/>
      <c r="K297" s="23"/>
      <c r="L297" s="34">
        <f t="shared" ref="L297:L302" si="100">F297/3</f>
        <v>0</v>
      </c>
      <c r="M297" s="147">
        <f t="shared" ref="M297:M302" si="101">F297/3</f>
        <v>0</v>
      </c>
      <c r="N297" s="332">
        <f t="shared" ref="N297:N302" si="102">F297/3</f>
        <v>0</v>
      </c>
      <c r="O297" s="156"/>
      <c r="P297" s="156"/>
      <c r="Q297" s="156"/>
      <c r="R297" s="167"/>
      <c r="S297" s="24"/>
    </row>
    <row r="298" spans="1:19" s="25" customFormat="1" ht="15">
      <c r="A298" s="141" t="s">
        <v>505</v>
      </c>
      <c r="B298" s="194" t="s">
        <v>385</v>
      </c>
      <c r="C298" s="233">
        <f>246.8*20%</f>
        <v>49.360000000000007</v>
      </c>
      <c r="D298" s="203" t="s">
        <v>22</v>
      </c>
      <c r="E298" s="197"/>
      <c r="F298" s="32">
        <f t="shared" ref="F298:F302" si="103">C298*E298</f>
        <v>0</v>
      </c>
      <c r="G298" s="271"/>
      <c r="H298" s="301"/>
      <c r="I298" s="33"/>
      <c r="J298" s="33"/>
      <c r="K298" s="23"/>
      <c r="L298" s="34">
        <f t="shared" si="100"/>
        <v>0</v>
      </c>
      <c r="M298" s="147">
        <f t="shared" si="101"/>
        <v>0</v>
      </c>
      <c r="N298" s="332">
        <f t="shared" si="102"/>
        <v>0</v>
      </c>
      <c r="O298" s="156"/>
      <c r="P298" s="156"/>
      <c r="Q298" s="156"/>
      <c r="R298" s="167"/>
      <c r="S298" s="24"/>
    </row>
    <row r="299" spans="1:19" s="25" customFormat="1" ht="15">
      <c r="A299" s="141" t="s">
        <v>506</v>
      </c>
      <c r="B299" s="194" t="s">
        <v>386</v>
      </c>
      <c r="C299" s="195">
        <v>246.8</v>
      </c>
      <c r="D299" s="203" t="s">
        <v>22</v>
      </c>
      <c r="E299" s="196"/>
      <c r="F299" s="197">
        <f t="shared" si="103"/>
        <v>0</v>
      </c>
      <c r="G299" s="271"/>
      <c r="H299" s="301"/>
      <c r="I299" s="33"/>
      <c r="J299" s="33"/>
      <c r="K299" s="23"/>
      <c r="L299" s="34">
        <f t="shared" si="100"/>
        <v>0</v>
      </c>
      <c r="M299" s="147">
        <f t="shared" si="101"/>
        <v>0</v>
      </c>
      <c r="N299" s="332">
        <f t="shared" si="102"/>
        <v>0</v>
      </c>
      <c r="O299" s="156"/>
      <c r="P299" s="156"/>
      <c r="Q299" s="156"/>
      <c r="R299" s="167"/>
      <c r="S299" s="24"/>
    </row>
    <row r="300" spans="1:19" s="25" customFormat="1" ht="15">
      <c r="A300" s="141" t="s">
        <v>507</v>
      </c>
      <c r="B300" s="217" t="s">
        <v>234</v>
      </c>
      <c r="C300" s="195">
        <v>246.8</v>
      </c>
      <c r="D300" s="212" t="s">
        <v>22</v>
      </c>
      <c r="E300" s="197"/>
      <c r="F300" s="28">
        <f>C300*E300</f>
        <v>0</v>
      </c>
      <c r="G300" s="271"/>
      <c r="H300" s="301"/>
      <c r="I300" s="33"/>
      <c r="J300" s="33"/>
      <c r="K300" s="23"/>
      <c r="L300" s="34">
        <f t="shared" si="100"/>
        <v>0</v>
      </c>
      <c r="M300" s="147">
        <f t="shared" si="101"/>
        <v>0</v>
      </c>
      <c r="N300" s="332">
        <f t="shared" si="102"/>
        <v>0</v>
      </c>
      <c r="O300" s="156"/>
      <c r="P300" s="156"/>
      <c r="Q300" s="156"/>
      <c r="R300" s="167"/>
      <c r="S300" s="24"/>
    </row>
    <row r="301" spans="1:19" s="25" customFormat="1" ht="15">
      <c r="A301" s="141" t="s">
        <v>508</v>
      </c>
      <c r="B301" s="217" t="s">
        <v>205</v>
      </c>
      <c r="C301" s="210">
        <v>246.8</v>
      </c>
      <c r="D301" s="212" t="s">
        <v>22</v>
      </c>
      <c r="E301" s="197"/>
      <c r="F301" s="197">
        <f t="shared" ref="F301" si="104">C301*E301</f>
        <v>0</v>
      </c>
      <c r="G301" s="271"/>
      <c r="H301" s="301"/>
      <c r="I301" s="33"/>
      <c r="J301" s="33"/>
      <c r="K301" s="23"/>
      <c r="L301" s="34">
        <f t="shared" si="100"/>
        <v>0</v>
      </c>
      <c r="M301" s="147">
        <f t="shared" si="101"/>
        <v>0</v>
      </c>
      <c r="N301" s="332">
        <f t="shared" si="102"/>
        <v>0</v>
      </c>
      <c r="O301" s="156"/>
      <c r="P301" s="156"/>
      <c r="Q301" s="156"/>
      <c r="R301" s="167"/>
      <c r="S301" s="24"/>
    </row>
    <row r="302" spans="1:19" s="25" customFormat="1" ht="15">
      <c r="A302" s="141" t="s">
        <v>509</v>
      </c>
      <c r="B302" s="206" t="s">
        <v>80</v>
      </c>
      <c r="C302" s="195">
        <v>246.8</v>
      </c>
      <c r="D302" s="213" t="s">
        <v>22</v>
      </c>
      <c r="E302" s="207"/>
      <c r="F302" s="197">
        <f t="shared" si="103"/>
        <v>0</v>
      </c>
      <c r="G302" s="271"/>
      <c r="H302" s="301"/>
      <c r="I302" s="33"/>
      <c r="J302" s="33"/>
      <c r="K302" s="23"/>
      <c r="L302" s="34">
        <f t="shared" si="100"/>
        <v>0</v>
      </c>
      <c r="M302" s="147">
        <f t="shared" si="101"/>
        <v>0</v>
      </c>
      <c r="N302" s="332">
        <f t="shared" si="102"/>
        <v>0</v>
      </c>
      <c r="O302" s="156"/>
      <c r="P302" s="156"/>
      <c r="Q302" s="156"/>
      <c r="R302" s="167"/>
      <c r="S302" s="24"/>
    </row>
    <row r="303" spans="1:19" s="433" customFormat="1" ht="18" customHeight="1">
      <c r="A303" s="487" t="s">
        <v>589</v>
      </c>
      <c r="B303" s="488"/>
      <c r="C303" s="425"/>
      <c r="D303" s="426"/>
      <c r="E303" s="427"/>
      <c r="F303" s="427"/>
      <c r="G303" s="428">
        <f>SUM(F304:F310)</f>
        <v>0</v>
      </c>
      <c r="H303" s="429">
        <f t="shared" ref="H303:N303" si="105">SUM(H304:H310)</f>
        <v>0</v>
      </c>
      <c r="I303" s="430">
        <f t="shared" si="105"/>
        <v>0</v>
      </c>
      <c r="J303" s="430">
        <f t="shared" si="105"/>
        <v>0</v>
      </c>
      <c r="K303" s="430">
        <f t="shared" si="105"/>
        <v>0</v>
      </c>
      <c r="L303" s="430">
        <f t="shared" si="105"/>
        <v>0</v>
      </c>
      <c r="M303" s="430">
        <f t="shared" si="105"/>
        <v>0</v>
      </c>
      <c r="N303" s="431">
        <f t="shared" si="105"/>
        <v>0</v>
      </c>
      <c r="O303" s="432"/>
      <c r="P303" s="432"/>
    </row>
    <row r="304" spans="1:19" s="242" customFormat="1" ht="14.25">
      <c r="A304" s="183" t="s">
        <v>574</v>
      </c>
      <c r="B304" s="243" t="s">
        <v>513</v>
      </c>
      <c r="C304" s="244">
        <v>4.5</v>
      </c>
      <c r="D304" s="245" t="s">
        <v>123</v>
      </c>
      <c r="E304" s="36"/>
      <c r="F304" s="158">
        <f t="shared" ref="F304:F310" si="106">E304*C304</f>
        <v>0</v>
      </c>
      <c r="G304" s="282"/>
      <c r="H304" s="304"/>
      <c r="I304" s="181"/>
      <c r="J304" s="181"/>
      <c r="K304" s="256"/>
      <c r="L304" s="182">
        <f>F304/2</f>
        <v>0</v>
      </c>
      <c r="M304" s="246">
        <f>F304/2</f>
        <v>0</v>
      </c>
      <c r="N304" s="333"/>
      <c r="O304" s="240"/>
      <c r="P304" s="241"/>
    </row>
    <row r="305" spans="1:19" s="242" customFormat="1" ht="14.25">
      <c r="A305" s="183" t="s">
        <v>576</v>
      </c>
      <c r="B305" s="243" t="s">
        <v>514</v>
      </c>
      <c r="C305" s="244">
        <v>84.57</v>
      </c>
      <c r="D305" s="245" t="s">
        <v>22</v>
      </c>
      <c r="E305" s="36"/>
      <c r="F305" s="158">
        <f t="shared" si="106"/>
        <v>0</v>
      </c>
      <c r="G305" s="282"/>
      <c r="H305" s="304"/>
      <c r="I305" s="181"/>
      <c r="J305" s="181"/>
      <c r="K305" s="256"/>
      <c r="L305" s="182">
        <f t="shared" ref="L305:L310" si="107">F305/2</f>
        <v>0</v>
      </c>
      <c r="M305" s="246">
        <f t="shared" ref="M305:M310" si="108">F305/2</f>
        <v>0</v>
      </c>
      <c r="N305" s="333"/>
      <c r="O305" s="240"/>
      <c r="P305" s="241"/>
    </row>
    <row r="306" spans="1:19" s="242" customFormat="1" ht="15" customHeight="1">
      <c r="A306" s="183" t="s">
        <v>590</v>
      </c>
      <c r="B306" s="243" t="s">
        <v>673</v>
      </c>
      <c r="C306" s="244">
        <v>50</v>
      </c>
      <c r="D306" s="245" t="s">
        <v>22</v>
      </c>
      <c r="E306" s="36"/>
      <c r="F306" s="158">
        <f t="shared" si="106"/>
        <v>0</v>
      </c>
      <c r="G306" s="282"/>
      <c r="H306" s="304"/>
      <c r="I306" s="181"/>
      <c r="J306" s="181"/>
      <c r="K306" s="256"/>
      <c r="L306" s="182">
        <f t="shared" ref="L306" si="109">F306/2</f>
        <v>0</v>
      </c>
      <c r="M306" s="246">
        <f t="shared" ref="M306" si="110">F306/2</f>
        <v>0</v>
      </c>
      <c r="N306" s="333"/>
      <c r="O306" s="240"/>
      <c r="P306" s="241"/>
    </row>
    <row r="307" spans="1:19" s="242" customFormat="1" ht="15" customHeight="1">
      <c r="A307" s="183" t="s">
        <v>591</v>
      </c>
      <c r="B307" s="243" t="s">
        <v>675</v>
      </c>
      <c r="C307" s="244">
        <v>1</v>
      </c>
      <c r="D307" s="245" t="s">
        <v>674</v>
      </c>
      <c r="E307" s="36"/>
      <c r="F307" s="158">
        <f t="shared" si="106"/>
        <v>0</v>
      </c>
      <c r="G307" s="282"/>
      <c r="H307" s="304"/>
      <c r="I307" s="181"/>
      <c r="J307" s="181"/>
      <c r="K307" s="256"/>
      <c r="L307" s="182">
        <f t="shared" ref="L307" si="111">F307/2</f>
        <v>0</v>
      </c>
      <c r="M307" s="246">
        <f t="shared" ref="M307" si="112">F307/2</f>
        <v>0</v>
      </c>
      <c r="N307" s="333"/>
      <c r="O307" s="240"/>
      <c r="P307" s="241"/>
    </row>
    <row r="308" spans="1:19" s="242" customFormat="1" ht="15" customHeight="1">
      <c r="A308" s="183" t="s">
        <v>592</v>
      </c>
      <c r="B308" s="243" t="s">
        <v>515</v>
      </c>
      <c r="C308" s="244">
        <v>38</v>
      </c>
      <c r="D308" s="245" t="s">
        <v>35</v>
      </c>
      <c r="E308" s="36"/>
      <c r="F308" s="158">
        <f t="shared" si="106"/>
        <v>0</v>
      </c>
      <c r="G308" s="282"/>
      <c r="H308" s="304"/>
      <c r="I308" s="181"/>
      <c r="J308" s="181"/>
      <c r="K308" s="256"/>
      <c r="L308" s="182">
        <f t="shared" si="107"/>
        <v>0</v>
      </c>
      <c r="M308" s="246">
        <f t="shared" si="108"/>
        <v>0</v>
      </c>
      <c r="N308" s="333"/>
      <c r="O308" s="240"/>
      <c r="P308" s="241"/>
    </row>
    <row r="309" spans="1:19" s="242" customFormat="1" ht="15" customHeight="1">
      <c r="A309" s="183" t="s">
        <v>676</v>
      </c>
      <c r="B309" s="243" t="s">
        <v>516</v>
      </c>
      <c r="C309" s="244">
        <v>14.3</v>
      </c>
      <c r="D309" s="245" t="s">
        <v>22</v>
      </c>
      <c r="E309" s="36"/>
      <c r="F309" s="158">
        <f t="shared" si="106"/>
        <v>0</v>
      </c>
      <c r="G309" s="282"/>
      <c r="H309" s="304"/>
      <c r="I309" s="181"/>
      <c r="J309" s="181"/>
      <c r="K309" s="256"/>
      <c r="L309" s="182">
        <f t="shared" si="107"/>
        <v>0</v>
      </c>
      <c r="M309" s="246">
        <f t="shared" si="108"/>
        <v>0</v>
      </c>
      <c r="N309" s="333"/>
      <c r="O309" s="240"/>
      <c r="P309" s="241"/>
    </row>
    <row r="310" spans="1:19" s="252" customFormat="1" ht="15" customHeight="1">
      <c r="A310" s="183" t="s">
        <v>677</v>
      </c>
      <c r="B310" s="248" t="s">
        <v>517</v>
      </c>
      <c r="C310" s="247">
        <v>5</v>
      </c>
      <c r="D310" s="249" t="s">
        <v>22</v>
      </c>
      <c r="E310" s="36"/>
      <c r="F310" s="158">
        <f t="shared" si="106"/>
        <v>0</v>
      </c>
      <c r="G310" s="282"/>
      <c r="H310" s="304"/>
      <c r="I310" s="181"/>
      <c r="J310" s="181"/>
      <c r="K310" s="255"/>
      <c r="L310" s="182">
        <f t="shared" si="107"/>
        <v>0</v>
      </c>
      <c r="M310" s="246">
        <f t="shared" si="108"/>
        <v>0</v>
      </c>
      <c r="N310" s="333"/>
      <c r="O310" s="250"/>
      <c r="P310" s="251"/>
    </row>
    <row r="311" spans="1:19" s="441" customFormat="1" ht="15">
      <c r="A311" s="487" t="s">
        <v>593</v>
      </c>
      <c r="B311" s="488"/>
      <c r="C311" s="434"/>
      <c r="D311" s="435"/>
      <c r="E311" s="425"/>
      <c r="F311" s="425"/>
      <c r="G311" s="428">
        <f>SUM(F312:F314)</f>
        <v>0</v>
      </c>
      <c r="H311" s="436">
        <f t="shared" ref="H311:N311" si="113">SUM(H312:H314)</f>
        <v>0</v>
      </c>
      <c r="I311" s="437">
        <f t="shared" si="113"/>
        <v>0</v>
      </c>
      <c r="J311" s="437">
        <f t="shared" si="113"/>
        <v>0</v>
      </c>
      <c r="K311" s="437">
        <f t="shared" si="113"/>
        <v>0</v>
      </c>
      <c r="L311" s="437">
        <f t="shared" si="113"/>
        <v>0</v>
      </c>
      <c r="M311" s="437">
        <f t="shared" si="113"/>
        <v>0</v>
      </c>
      <c r="N311" s="438">
        <f t="shared" si="113"/>
        <v>0</v>
      </c>
      <c r="O311" s="439"/>
      <c r="P311" s="440"/>
    </row>
    <row r="312" spans="1:19" s="252" customFormat="1" ht="14.25">
      <c r="A312" s="183" t="s">
        <v>523</v>
      </c>
      <c r="B312" s="243" t="s">
        <v>518</v>
      </c>
      <c r="C312" s="244">
        <v>650</v>
      </c>
      <c r="D312" s="245" t="s">
        <v>22</v>
      </c>
      <c r="E312" s="36"/>
      <c r="F312" s="158">
        <f>E312*C312</f>
        <v>0</v>
      </c>
      <c r="G312" s="282"/>
      <c r="H312" s="304"/>
      <c r="I312" s="181"/>
      <c r="J312" s="181"/>
      <c r="K312" s="181"/>
      <c r="L312" s="253"/>
      <c r="M312" s="264">
        <f>F312/2</f>
        <v>0</v>
      </c>
      <c r="N312" s="334">
        <f>F312/2</f>
        <v>0</v>
      </c>
      <c r="O312" s="254"/>
      <c r="P312" s="251"/>
    </row>
    <row r="313" spans="1:19" s="252" customFormat="1" ht="14.25">
      <c r="A313" s="183" t="s">
        <v>524</v>
      </c>
      <c r="B313" s="243" t="s">
        <v>519</v>
      </c>
      <c r="C313" s="244">
        <v>1300</v>
      </c>
      <c r="D313" s="245" t="s">
        <v>22</v>
      </c>
      <c r="E313" s="36"/>
      <c r="F313" s="158">
        <f>E313*C313</f>
        <v>0</v>
      </c>
      <c r="G313" s="282"/>
      <c r="H313" s="304"/>
      <c r="I313" s="181"/>
      <c r="J313" s="181"/>
      <c r="K313" s="181"/>
      <c r="L313" s="253"/>
      <c r="M313" s="264">
        <f t="shared" ref="M313:M314" si="114">F313/2</f>
        <v>0</v>
      </c>
      <c r="N313" s="334">
        <f t="shared" ref="N313:N314" si="115">F313/2</f>
        <v>0</v>
      </c>
      <c r="O313" s="254"/>
      <c r="P313" s="251"/>
    </row>
    <row r="314" spans="1:19" s="252" customFormat="1" ht="14.25">
      <c r="A314" s="183" t="s">
        <v>525</v>
      </c>
      <c r="B314" s="243" t="s">
        <v>520</v>
      </c>
      <c r="C314" s="244">
        <v>1300</v>
      </c>
      <c r="D314" s="245" t="s">
        <v>22</v>
      </c>
      <c r="E314" s="36"/>
      <c r="F314" s="158">
        <f>E314*C314</f>
        <v>0</v>
      </c>
      <c r="G314" s="282"/>
      <c r="H314" s="304"/>
      <c r="I314" s="181"/>
      <c r="J314" s="181"/>
      <c r="K314" s="181"/>
      <c r="L314" s="253"/>
      <c r="M314" s="264">
        <f t="shared" si="114"/>
        <v>0</v>
      </c>
      <c r="N314" s="334">
        <f t="shared" si="115"/>
        <v>0</v>
      </c>
      <c r="O314" s="254"/>
      <c r="P314" s="251"/>
    </row>
    <row r="315" spans="1:19" s="415" customFormat="1" ht="15">
      <c r="A315" s="464" t="s">
        <v>594</v>
      </c>
      <c r="B315" s="404"/>
      <c r="C315" s="405"/>
      <c r="D315" s="406"/>
      <c r="E315" s="407"/>
      <c r="F315" s="410"/>
      <c r="G315" s="408">
        <f>F316+F321</f>
        <v>0</v>
      </c>
      <c r="H315" s="409">
        <f>SUM(H316:H327)</f>
        <v>0</v>
      </c>
      <c r="I315" s="410">
        <f t="shared" ref="I315:N315" si="116">SUM(I316:I327)</f>
        <v>0</v>
      </c>
      <c r="J315" s="410">
        <f t="shared" si="116"/>
        <v>0</v>
      </c>
      <c r="K315" s="410">
        <f t="shared" si="116"/>
        <v>0</v>
      </c>
      <c r="L315" s="410">
        <f t="shared" si="116"/>
        <v>0</v>
      </c>
      <c r="M315" s="410">
        <f t="shared" si="116"/>
        <v>0</v>
      </c>
      <c r="N315" s="411">
        <f t="shared" si="116"/>
        <v>0</v>
      </c>
      <c r="O315" s="412"/>
      <c r="P315" s="412"/>
      <c r="Q315" s="412"/>
      <c r="R315" s="413"/>
      <c r="S315" s="414"/>
    </row>
    <row r="316" spans="1:19" s="10" customFormat="1" ht="15">
      <c r="A316" s="104" t="s">
        <v>510</v>
      </c>
      <c r="B316" s="267" t="s">
        <v>573</v>
      </c>
      <c r="C316" s="97"/>
      <c r="D316" s="108"/>
      <c r="E316" s="109"/>
      <c r="F316" s="98">
        <f>SUM(F317:F320)</f>
        <v>0</v>
      </c>
      <c r="G316" s="275"/>
      <c r="H316" s="296"/>
      <c r="I316" s="110"/>
      <c r="J316" s="110"/>
      <c r="K316" s="111"/>
      <c r="L316" s="111"/>
      <c r="M316" s="110"/>
      <c r="N316" s="323"/>
    </row>
    <row r="317" spans="1:19" s="10" customFormat="1" ht="14.25">
      <c r="A317" s="39" t="s">
        <v>595</v>
      </c>
      <c r="B317" s="206" t="s">
        <v>99</v>
      </c>
      <c r="C317" s="202">
        <v>60</v>
      </c>
      <c r="D317" s="213" t="s">
        <v>22</v>
      </c>
      <c r="E317" s="207"/>
      <c r="F317" s="43">
        <f>E317*C317</f>
        <v>0</v>
      </c>
      <c r="G317" s="273"/>
      <c r="H317" s="298"/>
      <c r="I317" s="40"/>
      <c r="J317" s="40"/>
      <c r="K317" s="40"/>
      <c r="L317" s="180"/>
      <c r="M317" s="180"/>
      <c r="N317" s="88">
        <f>F317</f>
        <v>0</v>
      </c>
    </row>
    <row r="318" spans="1:19" s="10" customFormat="1" ht="14.25">
      <c r="A318" s="39" t="s">
        <v>596</v>
      </c>
      <c r="B318" s="206" t="s">
        <v>315</v>
      </c>
      <c r="C318" s="202">
        <v>60</v>
      </c>
      <c r="D318" s="213" t="s">
        <v>22</v>
      </c>
      <c r="E318" s="207"/>
      <c r="F318" s="43">
        <f>E318*C318</f>
        <v>0</v>
      </c>
      <c r="G318" s="273"/>
      <c r="H318" s="298"/>
      <c r="I318" s="40"/>
      <c r="J318" s="40"/>
      <c r="K318" s="40"/>
      <c r="L318" s="180"/>
      <c r="M318" s="180"/>
      <c r="N318" s="88">
        <f>F318</f>
        <v>0</v>
      </c>
    </row>
    <row r="319" spans="1:19" s="10" customFormat="1" ht="14.25">
      <c r="A319" s="39" t="s">
        <v>597</v>
      </c>
      <c r="B319" s="217" t="s">
        <v>351</v>
      </c>
      <c r="C319" s="202">
        <v>60</v>
      </c>
      <c r="D319" s="212" t="s">
        <v>22</v>
      </c>
      <c r="E319" s="197"/>
      <c r="F319" s="197">
        <f>C319*E319</f>
        <v>0</v>
      </c>
      <c r="G319" s="273"/>
      <c r="H319" s="298"/>
      <c r="I319" s="40"/>
      <c r="J319" s="40"/>
      <c r="K319" s="40"/>
      <c r="L319" s="180"/>
      <c r="M319" s="180"/>
      <c r="N319" s="88">
        <f>F319</f>
        <v>0</v>
      </c>
    </row>
    <row r="320" spans="1:19" s="10" customFormat="1" ht="14.25">
      <c r="A320" s="39" t="s">
        <v>598</v>
      </c>
      <c r="B320" s="194" t="s">
        <v>577</v>
      </c>
      <c r="C320" s="202">
        <v>30</v>
      </c>
      <c r="D320" s="212" t="s">
        <v>22</v>
      </c>
      <c r="E320" s="197"/>
      <c r="F320" s="197">
        <f>C320*E320</f>
        <v>0</v>
      </c>
      <c r="G320" s="273"/>
      <c r="H320" s="298"/>
      <c r="I320" s="40"/>
      <c r="J320" s="40"/>
      <c r="K320" s="40"/>
      <c r="L320" s="180"/>
      <c r="M320" s="180"/>
      <c r="N320" s="88">
        <f>F320</f>
        <v>0</v>
      </c>
    </row>
    <row r="321" spans="1:19" s="10" customFormat="1" ht="15">
      <c r="A321" s="104" t="s">
        <v>511</v>
      </c>
      <c r="B321" s="267" t="s">
        <v>575</v>
      </c>
      <c r="C321" s="97"/>
      <c r="D321" s="108"/>
      <c r="E321" s="109"/>
      <c r="F321" s="98">
        <f>SUM(F322:F327)</f>
        <v>0</v>
      </c>
      <c r="G321" s="275"/>
      <c r="H321" s="296"/>
      <c r="I321" s="110"/>
      <c r="J321" s="110"/>
      <c r="K321" s="111"/>
      <c r="L321" s="111"/>
      <c r="M321" s="110"/>
      <c r="N321" s="323"/>
    </row>
    <row r="322" spans="1:19" s="25" customFormat="1" ht="35.25" customHeight="1">
      <c r="A322" s="193" t="s">
        <v>599</v>
      </c>
      <c r="B322" s="194" t="s">
        <v>373</v>
      </c>
      <c r="C322" s="202">
        <v>410</v>
      </c>
      <c r="D322" s="207" t="s">
        <v>22</v>
      </c>
      <c r="E322" s="207"/>
      <c r="F322" s="196">
        <f t="shared" ref="F322:F327" si="117">E322*C322</f>
        <v>0</v>
      </c>
      <c r="G322" s="271"/>
      <c r="H322" s="301"/>
      <c r="I322" s="33"/>
      <c r="J322" s="33"/>
      <c r="K322" s="33"/>
      <c r="L322" s="34">
        <f>F322/2</f>
        <v>0</v>
      </c>
      <c r="M322" s="34">
        <f>F322/2</f>
        <v>0</v>
      </c>
      <c r="N322" s="335"/>
      <c r="O322" s="162"/>
      <c r="P322" s="162"/>
      <c r="Q322" s="162"/>
      <c r="R322" s="167"/>
      <c r="S322" s="24"/>
    </row>
    <row r="323" spans="1:19" s="25" customFormat="1" ht="15">
      <c r="A323" s="193" t="s">
        <v>600</v>
      </c>
      <c r="B323" s="198" t="s">
        <v>412</v>
      </c>
      <c r="C323" s="202">
        <v>3</v>
      </c>
      <c r="D323" s="207" t="s">
        <v>123</v>
      </c>
      <c r="E323" s="207"/>
      <c r="F323" s="196">
        <f t="shared" si="117"/>
        <v>0</v>
      </c>
      <c r="G323" s="285"/>
      <c r="H323" s="301"/>
      <c r="I323" s="33"/>
      <c r="J323" s="33"/>
      <c r="K323" s="33"/>
      <c r="L323" s="34">
        <f t="shared" ref="L323:L327" si="118">F323/2</f>
        <v>0</v>
      </c>
      <c r="M323" s="34">
        <f t="shared" ref="M323:M327" si="119">F323/2</f>
        <v>0</v>
      </c>
      <c r="N323" s="335"/>
      <c r="O323" s="162"/>
      <c r="P323" s="162"/>
      <c r="Q323" s="162"/>
      <c r="R323" s="167"/>
      <c r="S323" s="24"/>
    </row>
    <row r="324" spans="1:19" s="25" customFormat="1" ht="15">
      <c r="A324" s="193" t="s">
        <v>601</v>
      </c>
      <c r="B324" s="198" t="s">
        <v>526</v>
      </c>
      <c r="C324" s="202">
        <v>10</v>
      </c>
      <c r="D324" s="207" t="s">
        <v>123</v>
      </c>
      <c r="E324" s="207"/>
      <c r="F324" s="196">
        <f t="shared" si="117"/>
        <v>0</v>
      </c>
      <c r="G324" s="285"/>
      <c r="H324" s="301"/>
      <c r="I324" s="33"/>
      <c r="J324" s="33"/>
      <c r="K324" s="33"/>
      <c r="L324" s="34">
        <f t="shared" si="118"/>
        <v>0</v>
      </c>
      <c r="M324" s="34">
        <f t="shared" si="119"/>
        <v>0</v>
      </c>
      <c r="N324" s="335"/>
      <c r="O324" s="162"/>
      <c r="P324" s="162"/>
      <c r="Q324" s="162"/>
      <c r="R324" s="167"/>
      <c r="S324" s="24"/>
    </row>
    <row r="325" spans="1:19" s="25" customFormat="1" ht="15">
      <c r="A325" s="193" t="s">
        <v>602</v>
      </c>
      <c r="B325" s="198" t="s">
        <v>528</v>
      </c>
      <c r="C325" s="202">
        <v>10</v>
      </c>
      <c r="D325" s="207" t="s">
        <v>527</v>
      </c>
      <c r="E325" s="207"/>
      <c r="F325" s="196">
        <f t="shared" si="117"/>
        <v>0</v>
      </c>
      <c r="G325" s="285"/>
      <c r="H325" s="301"/>
      <c r="I325" s="33"/>
      <c r="J325" s="33"/>
      <c r="K325" s="33"/>
      <c r="L325" s="34">
        <f t="shared" si="118"/>
        <v>0</v>
      </c>
      <c r="M325" s="34">
        <f t="shared" si="119"/>
        <v>0</v>
      </c>
      <c r="N325" s="335"/>
      <c r="O325" s="162"/>
      <c r="P325" s="162"/>
      <c r="Q325" s="162"/>
      <c r="R325" s="167"/>
      <c r="S325" s="24"/>
    </row>
    <row r="326" spans="1:19" s="25" customFormat="1" ht="15">
      <c r="A326" s="193" t="s">
        <v>603</v>
      </c>
      <c r="B326" s="198" t="s">
        <v>530</v>
      </c>
      <c r="C326" s="202">
        <v>15</v>
      </c>
      <c r="D326" s="207" t="s">
        <v>35</v>
      </c>
      <c r="E326" s="207"/>
      <c r="F326" s="196">
        <f t="shared" si="117"/>
        <v>0</v>
      </c>
      <c r="G326" s="285"/>
      <c r="H326" s="301"/>
      <c r="I326" s="33"/>
      <c r="J326" s="33"/>
      <c r="K326" s="33"/>
      <c r="L326" s="34">
        <f t="shared" si="118"/>
        <v>0</v>
      </c>
      <c r="M326" s="34">
        <f t="shared" si="119"/>
        <v>0</v>
      </c>
      <c r="N326" s="335"/>
      <c r="O326" s="162"/>
      <c r="P326" s="162"/>
      <c r="Q326" s="162"/>
      <c r="R326" s="167"/>
      <c r="S326" s="24"/>
    </row>
    <row r="327" spans="1:19" s="25" customFormat="1" ht="15">
      <c r="A327" s="193" t="s">
        <v>604</v>
      </c>
      <c r="B327" s="198" t="s">
        <v>529</v>
      </c>
      <c r="C327" s="202">
        <v>20</v>
      </c>
      <c r="D327" s="207" t="s">
        <v>35</v>
      </c>
      <c r="E327" s="207"/>
      <c r="F327" s="196">
        <f t="shared" si="117"/>
        <v>0</v>
      </c>
      <c r="G327" s="285"/>
      <c r="H327" s="301"/>
      <c r="I327" s="33"/>
      <c r="J327" s="33"/>
      <c r="K327" s="33"/>
      <c r="L327" s="34">
        <f t="shared" si="118"/>
        <v>0</v>
      </c>
      <c r="M327" s="34">
        <f t="shared" si="119"/>
        <v>0</v>
      </c>
      <c r="N327" s="335"/>
      <c r="O327" s="162"/>
      <c r="P327" s="162"/>
      <c r="Q327" s="162"/>
      <c r="R327" s="167"/>
      <c r="S327" s="24"/>
    </row>
    <row r="328" spans="1:19" s="365" customFormat="1" ht="15">
      <c r="A328" s="485" t="s">
        <v>605</v>
      </c>
      <c r="B328" s="486"/>
      <c r="C328" s="388"/>
      <c r="D328" s="389"/>
      <c r="E328" s="390"/>
      <c r="F328" s="390"/>
      <c r="G328" s="361">
        <f>SUM(F329:F342)</f>
        <v>0</v>
      </c>
      <c r="H328" s="362">
        <f t="shared" ref="H328:N328" si="120">SUM(H329:H342)</f>
        <v>0</v>
      </c>
      <c r="I328" s="363">
        <f t="shared" si="120"/>
        <v>0</v>
      </c>
      <c r="J328" s="363">
        <f t="shared" si="120"/>
        <v>0</v>
      </c>
      <c r="K328" s="363">
        <f t="shared" si="120"/>
        <v>0</v>
      </c>
      <c r="L328" s="363">
        <f t="shared" si="120"/>
        <v>0</v>
      </c>
      <c r="M328" s="363">
        <f t="shared" si="120"/>
        <v>0</v>
      </c>
      <c r="N328" s="364">
        <f t="shared" si="120"/>
        <v>0</v>
      </c>
      <c r="O328" s="403"/>
      <c r="P328" s="403"/>
      <c r="Q328" s="403"/>
      <c r="R328" s="403"/>
    </row>
    <row r="329" spans="1:19" s="25" customFormat="1" ht="14.25">
      <c r="A329" s="39" t="s">
        <v>606</v>
      </c>
      <c r="B329" s="224" t="s">
        <v>389</v>
      </c>
      <c r="C329" s="202">
        <f>100*12</f>
        <v>1200</v>
      </c>
      <c r="D329" s="213" t="s">
        <v>165</v>
      </c>
      <c r="E329" s="207"/>
      <c r="F329" s="196">
        <f t="shared" ref="F329:F342" si="121">C329*E329</f>
        <v>0</v>
      </c>
      <c r="G329" s="271"/>
      <c r="H329" s="292">
        <f t="shared" ref="H329:H342" si="122">F329/7</f>
        <v>0</v>
      </c>
      <c r="I329" s="49">
        <f t="shared" ref="I329:I342" si="123">F329/7</f>
        <v>0</v>
      </c>
      <c r="J329" s="49">
        <f t="shared" ref="J329:J342" si="124">F329/7</f>
        <v>0</v>
      </c>
      <c r="K329" s="49">
        <f t="shared" ref="K329:K342" si="125">F329/7</f>
        <v>0</v>
      </c>
      <c r="L329" s="49">
        <f t="shared" ref="L329:L342" si="126">F329/7</f>
        <v>0</v>
      </c>
      <c r="M329" s="49">
        <f t="shared" ref="M329:M342" si="127">F329/7</f>
        <v>0</v>
      </c>
      <c r="N329" s="186">
        <f t="shared" ref="N329:N342" si="128">F329/7</f>
        <v>0</v>
      </c>
      <c r="O329" s="162"/>
      <c r="P329" s="162"/>
      <c r="Q329" s="162"/>
      <c r="R329" s="162"/>
    </row>
    <row r="330" spans="1:19" s="25" customFormat="1" ht="14.25">
      <c r="A330" s="39" t="s">
        <v>607</v>
      </c>
      <c r="B330" s="224" t="s">
        <v>522</v>
      </c>
      <c r="C330" s="202">
        <f>100*6</f>
        <v>600</v>
      </c>
      <c r="D330" s="213" t="s">
        <v>165</v>
      </c>
      <c r="E330" s="207"/>
      <c r="F330" s="196">
        <f t="shared" ref="F330:F331" si="129">C330*E330</f>
        <v>0</v>
      </c>
      <c r="G330" s="271"/>
      <c r="H330" s="292">
        <f t="shared" si="122"/>
        <v>0</v>
      </c>
      <c r="I330" s="49">
        <f t="shared" si="123"/>
        <v>0</v>
      </c>
      <c r="J330" s="49">
        <f t="shared" si="124"/>
        <v>0</v>
      </c>
      <c r="K330" s="49">
        <f t="shared" si="125"/>
        <v>0</v>
      </c>
      <c r="L330" s="49">
        <f t="shared" si="126"/>
        <v>0</v>
      </c>
      <c r="M330" s="49">
        <f t="shared" si="127"/>
        <v>0</v>
      </c>
      <c r="N330" s="186">
        <f t="shared" si="128"/>
        <v>0</v>
      </c>
      <c r="O330" s="162"/>
      <c r="P330" s="162"/>
      <c r="Q330" s="162"/>
      <c r="R330" s="162"/>
    </row>
    <row r="331" spans="1:19" s="25" customFormat="1" ht="14.25">
      <c r="A331" s="39" t="s">
        <v>608</v>
      </c>
      <c r="B331" s="224" t="s">
        <v>461</v>
      </c>
      <c r="C331" s="202">
        <f>100*12</f>
        <v>1200</v>
      </c>
      <c r="D331" s="213" t="s">
        <v>165</v>
      </c>
      <c r="E331" s="207"/>
      <c r="F331" s="196">
        <f t="shared" si="129"/>
        <v>0</v>
      </c>
      <c r="G331" s="271"/>
      <c r="H331" s="292">
        <f t="shared" si="122"/>
        <v>0</v>
      </c>
      <c r="I331" s="49">
        <f t="shared" si="123"/>
        <v>0</v>
      </c>
      <c r="J331" s="49">
        <f t="shared" si="124"/>
        <v>0</v>
      </c>
      <c r="K331" s="49">
        <f t="shared" si="125"/>
        <v>0</v>
      </c>
      <c r="L331" s="49">
        <f t="shared" si="126"/>
        <v>0</v>
      </c>
      <c r="M331" s="49">
        <f t="shared" si="127"/>
        <v>0</v>
      </c>
      <c r="N331" s="186">
        <f t="shared" si="128"/>
        <v>0</v>
      </c>
      <c r="O331" s="162"/>
      <c r="P331" s="162"/>
      <c r="Q331" s="162"/>
      <c r="R331" s="162"/>
    </row>
    <row r="332" spans="1:19" s="25" customFormat="1" ht="14.25">
      <c r="A332" s="39" t="s">
        <v>609</v>
      </c>
      <c r="B332" s="228" t="s">
        <v>388</v>
      </c>
      <c r="C332" s="195">
        <f>220*12</f>
        <v>2640</v>
      </c>
      <c r="D332" s="203" t="s">
        <v>165</v>
      </c>
      <c r="E332" s="197"/>
      <c r="F332" s="196">
        <f t="shared" si="121"/>
        <v>0</v>
      </c>
      <c r="G332" s="271"/>
      <c r="H332" s="292">
        <f t="shared" si="122"/>
        <v>0</v>
      </c>
      <c r="I332" s="49">
        <f t="shared" si="123"/>
        <v>0</v>
      </c>
      <c r="J332" s="49">
        <f t="shared" si="124"/>
        <v>0</v>
      </c>
      <c r="K332" s="49">
        <f t="shared" si="125"/>
        <v>0</v>
      </c>
      <c r="L332" s="49">
        <f t="shared" si="126"/>
        <v>0</v>
      </c>
      <c r="M332" s="49">
        <f t="shared" si="127"/>
        <v>0</v>
      </c>
      <c r="N332" s="186">
        <f t="shared" si="128"/>
        <v>0</v>
      </c>
      <c r="O332" s="162"/>
      <c r="P332" s="162"/>
      <c r="Q332" s="162"/>
      <c r="R332" s="162"/>
    </row>
    <row r="333" spans="1:19" s="25" customFormat="1" ht="14.25">
      <c r="A333" s="39" t="s">
        <v>610</v>
      </c>
      <c r="B333" s="228" t="s">
        <v>387</v>
      </c>
      <c r="C333" s="195">
        <f>220*12*4</f>
        <v>10560</v>
      </c>
      <c r="D333" s="203" t="s">
        <v>165</v>
      </c>
      <c r="E333" s="197"/>
      <c r="F333" s="196">
        <f t="shared" si="121"/>
        <v>0</v>
      </c>
      <c r="G333" s="271"/>
      <c r="H333" s="292">
        <f t="shared" si="122"/>
        <v>0</v>
      </c>
      <c r="I333" s="49">
        <f t="shared" si="123"/>
        <v>0</v>
      </c>
      <c r="J333" s="49">
        <f t="shared" si="124"/>
        <v>0</v>
      </c>
      <c r="K333" s="49">
        <f t="shared" si="125"/>
        <v>0</v>
      </c>
      <c r="L333" s="49">
        <f t="shared" si="126"/>
        <v>0</v>
      </c>
      <c r="M333" s="49">
        <f t="shared" si="127"/>
        <v>0</v>
      </c>
      <c r="N333" s="186">
        <f t="shared" si="128"/>
        <v>0</v>
      </c>
      <c r="O333" s="162"/>
      <c r="P333" s="162"/>
      <c r="Q333" s="162"/>
      <c r="R333" s="162"/>
    </row>
    <row r="334" spans="1:19" s="25" customFormat="1" ht="14.25">
      <c r="A334" s="39" t="s">
        <v>611</v>
      </c>
      <c r="B334" s="228" t="s">
        <v>390</v>
      </c>
      <c r="C334" s="222">
        <f>220*6*2</f>
        <v>2640</v>
      </c>
      <c r="D334" s="203" t="s">
        <v>165</v>
      </c>
      <c r="E334" s="197"/>
      <c r="F334" s="196">
        <f t="shared" si="121"/>
        <v>0</v>
      </c>
      <c r="G334" s="271"/>
      <c r="H334" s="292">
        <f t="shared" si="122"/>
        <v>0</v>
      </c>
      <c r="I334" s="49">
        <f t="shared" si="123"/>
        <v>0</v>
      </c>
      <c r="J334" s="49">
        <f t="shared" si="124"/>
        <v>0</v>
      </c>
      <c r="K334" s="49">
        <f t="shared" si="125"/>
        <v>0</v>
      </c>
      <c r="L334" s="49">
        <f t="shared" si="126"/>
        <v>0</v>
      </c>
      <c r="M334" s="49">
        <f t="shared" si="127"/>
        <v>0</v>
      </c>
      <c r="N334" s="186">
        <f t="shared" si="128"/>
        <v>0</v>
      </c>
      <c r="O334" s="162"/>
      <c r="P334" s="162"/>
      <c r="Q334" s="162"/>
      <c r="R334" s="162"/>
    </row>
    <row r="335" spans="1:19" s="25" customFormat="1" ht="14.25">
      <c r="A335" s="39" t="s">
        <v>612</v>
      </c>
      <c r="B335" s="224" t="s">
        <v>391</v>
      </c>
      <c r="C335" s="202">
        <f>220*12</f>
        <v>2640</v>
      </c>
      <c r="D335" s="213" t="s">
        <v>165</v>
      </c>
      <c r="E335" s="207"/>
      <c r="F335" s="196">
        <f t="shared" si="121"/>
        <v>0</v>
      </c>
      <c r="G335" s="286"/>
      <c r="H335" s="292">
        <f t="shared" si="122"/>
        <v>0</v>
      </c>
      <c r="I335" s="49">
        <f t="shared" si="123"/>
        <v>0</v>
      </c>
      <c r="J335" s="49">
        <f t="shared" si="124"/>
        <v>0</v>
      </c>
      <c r="K335" s="49">
        <f t="shared" si="125"/>
        <v>0</v>
      </c>
      <c r="L335" s="49">
        <f t="shared" si="126"/>
        <v>0</v>
      </c>
      <c r="M335" s="49">
        <f t="shared" si="127"/>
        <v>0</v>
      </c>
      <c r="N335" s="186">
        <f t="shared" si="128"/>
        <v>0</v>
      </c>
      <c r="O335" s="162"/>
      <c r="P335" s="162"/>
      <c r="Q335" s="162"/>
      <c r="R335" s="162"/>
    </row>
    <row r="336" spans="1:19" s="25" customFormat="1" ht="14.25">
      <c r="A336" s="39" t="s">
        <v>613</v>
      </c>
      <c r="B336" s="228" t="s">
        <v>392</v>
      </c>
      <c r="C336" s="195">
        <f>220*12</f>
        <v>2640</v>
      </c>
      <c r="D336" s="203" t="s">
        <v>165</v>
      </c>
      <c r="E336" s="197"/>
      <c r="F336" s="196">
        <f t="shared" si="121"/>
        <v>0</v>
      </c>
      <c r="G336" s="286"/>
      <c r="H336" s="292">
        <f t="shared" si="122"/>
        <v>0</v>
      </c>
      <c r="I336" s="49">
        <f t="shared" si="123"/>
        <v>0</v>
      </c>
      <c r="J336" s="49">
        <f t="shared" si="124"/>
        <v>0</v>
      </c>
      <c r="K336" s="49">
        <f t="shared" si="125"/>
        <v>0</v>
      </c>
      <c r="L336" s="49">
        <f t="shared" si="126"/>
        <v>0</v>
      </c>
      <c r="M336" s="49">
        <f t="shared" si="127"/>
        <v>0</v>
      </c>
      <c r="N336" s="186">
        <f t="shared" si="128"/>
        <v>0</v>
      </c>
      <c r="O336" s="162"/>
      <c r="P336" s="162"/>
      <c r="Q336" s="162"/>
      <c r="R336" s="162"/>
    </row>
    <row r="337" spans="1:18" s="25" customFormat="1" ht="14.25">
      <c r="A337" s="39" t="s">
        <v>614</v>
      </c>
      <c r="B337" s="228" t="s">
        <v>393</v>
      </c>
      <c r="C337" s="195">
        <f>220*10*2</f>
        <v>4400</v>
      </c>
      <c r="D337" s="203" t="s">
        <v>165</v>
      </c>
      <c r="E337" s="197"/>
      <c r="F337" s="196">
        <f t="shared" si="121"/>
        <v>0</v>
      </c>
      <c r="G337" s="271"/>
      <c r="H337" s="292">
        <f t="shared" si="122"/>
        <v>0</v>
      </c>
      <c r="I337" s="49">
        <f t="shared" si="123"/>
        <v>0</v>
      </c>
      <c r="J337" s="49">
        <f t="shared" si="124"/>
        <v>0</v>
      </c>
      <c r="K337" s="49">
        <f t="shared" si="125"/>
        <v>0</v>
      </c>
      <c r="L337" s="49">
        <f t="shared" si="126"/>
        <v>0</v>
      </c>
      <c r="M337" s="49">
        <f t="shared" si="127"/>
        <v>0</v>
      </c>
      <c r="N337" s="186">
        <f t="shared" si="128"/>
        <v>0</v>
      </c>
      <c r="O337" s="162"/>
      <c r="P337" s="162"/>
      <c r="Q337" s="162"/>
      <c r="R337" s="162"/>
    </row>
    <row r="338" spans="1:18" s="25" customFormat="1" ht="14.25">
      <c r="A338" s="39" t="s">
        <v>615</v>
      </c>
      <c r="B338" s="228" t="s">
        <v>394</v>
      </c>
      <c r="C338" s="195">
        <f>220*3*1</f>
        <v>660</v>
      </c>
      <c r="D338" s="203" t="s">
        <v>165</v>
      </c>
      <c r="E338" s="197"/>
      <c r="F338" s="196">
        <f t="shared" si="121"/>
        <v>0</v>
      </c>
      <c r="G338" s="271"/>
      <c r="H338" s="292">
        <f t="shared" si="122"/>
        <v>0</v>
      </c>
      <c r="I338" s="49">
        <f t="shared" si="123"/>
        <v>0</v>
      </c>
      <c r="J338" s="49">
        <f t="shared" si="124"/>
        <v>0</v>
      </c>
      <c r="K338" s="49">
        <f t="shared" si="125"/>
        <v>0</v>
      </c>
      <c r="L338" s="49">
        <f t="shared" si="126"/>
        <v>0</v>
      </c>
      <c r="M338" s="49">
        <f t="shared" si="127"/>
        <v>0</v>
      </c>
      <c r="N338" s="186">
        <f t="shared" si="128"/>
        <v>0</v>
      </c>
      <c r="O338" s="162"/>
      <c r="P338" s="162"/>
      <c r="Q338" s="162"/>
      <c r="R338" s="162"/>
    </row>
    <row r="339" spans="1:18" s="25" customFormat="1" ht="14.25">
      <c r="A339" s="39" t="s">
        <v>616</v>
      </c>
      <c r="B339" s="228" t="s">
        <v>241</v>
      </c>
      <c r="C339" s="195">
        <f>220*3</f>
        <v>660</v>
      </c>
      <c r="D339" s="203" t="s">
        <v>165</v>
      </c>
      <c r="E339" s="197"/>
      <c r="F339" s="196">
        <f t="shared" si="121"/>
        <v>0</v>
      </c>
      <c r="G339" s="271"/>
      <c r="H339" s="292">
        <f t="shared" si="122"/>
        <v>0</v>
      </c>
      <c r="I339" s="49">
        <f t="shared" si="123"/>
        <v>0</v>
      </c>
      <c r="J339" s="49">
        <f t="shared" si="124"/>
        <v>0</v>
      </c>
      <c r="K339" s="49">
        <f t="shared" si="125"/>
        <v>0</v>
      </c>
      <c r="L339" s="49">
        <f t="shared" si="126"/>
        <v>0</v>
      </c>
      <c r="M339" s="49">
        <f t="shared" si="127"/>
        <v>0</v>
      </c>
      <c r="N339" s="186">
        <f t="shared" si="128"/>
        <v>0</v>
      </c>
      <c r="O339" s="162"/>
      <c r="P339" s="162"/>
      <c r="Q339" s="162"/>
      <c r="R339" s="162"/>
    </row>
    <row r="340" spans="1:18" s="25" customFormat="1" ht="14.25">
      <c r="A340" s="39" t="s">
        <v>617</v>
      </c>
      <c r="B340" s="228" t="s">
        <v>395</v>
      </c>
      <c r="C340" s="195">
        <f>220*6</f>
        <v>1320</v>
      </c>
      <c r="D340" s="203" t="s">
        <v>165</v>
      </c>
      <c r="E340" s="197"/>
      <c r="F340" s="196">
        <f t="shared" si="121"/>
        <v>0</v>
      </c>
      <c r="G340" s="271"/>
      <c r="H340" s="292">
        <f t="shared" si="122"/>
        <v>0</v>
      </c>
      <c r="I340" s="49">
        <f t="shared" si="123"/>
        <v>0</v>
      </c>
      <c r="J340" s="49">
        <f t="shared" si="124"/>
        <v>0</v>
      </c>
      <c r="K340" s="49">
        <f t="shared" si="125"/>
        <v>0</v>
      </c>
      <c r="L340" s="49">
        <f t="shared" si="126"/>
        <v>0</v>
      </c>
      <c r="M340" s="49">
        <f t="shared" si="127"/>
        <v>0</v>
      </c>
      <c r="N340" s="186">
        <f t="shared" si="128"/>
        <v>0</v>
      </c>
      <c r="O340" s="162"/>
      <c r="P340" s="162"/>
      <c r="Q340" s="162"/>
      <c r="R340" s="162"/>
    </row>
    <row r="341" spans="1:18" s="25" customFormat="1" ht="14.25">
      <c r="A341" s="39" t="s">
        <v>618</v>
      </c>
      <c r="B341" s="228" t="s">
        <v>396</v>
      </c>
      <c r="C341" s="195">
        <f>220*6</f>
        <v>1320</v>
      </c>
      <c r="D341" s="203" t="s">
        <v>165</v>
      </c>
      <c r="E341" s="197"/>
      <c r="F341" s="196">
        <f t="shared" si="121"/>
        <v>0</v>
      </c>
      <c r="G341" s="271"/>
      <c r="H341" s="292">
        <f t="shared" si="122"/>
        <v>0</v>
      </c>
      <c r="I341" s="49">
        <f t="shared" si="123"/>
        <v>0</v>
      </c>
      <c r="J341" s="49">
        <f t="shared" si="124"/>
        <v>0</v>
      </c>
      <c r="K341" s="49">
        <f t="shared" si="125"/>
        <v>0</v>
      </c>
      <c r="L341" s="49">
        <f t="shared" si="126"/>
        <v>0</v>
      </c>
      <c r="M341" s="49">
        <f t="shared" si="127"/>
        <v>0</v>
      </c>
      <c r="N341" s="186">
        <f t="shared" si="128"/>
        <v>0</v>
      </c>
      <c r="O341" s="162"/>
      <c r="P341" s="162"/>
      <c r="Q341" s="162"/>
      <c r="R341" s="162"/>
    </row>
    <row r="342" spans="1:18" s="25" customFormat="1" ht="14.25">
      <c r="A342" s="39" t="s">
        <v>619</v>
      </c>
      <c r="B342" s="228" t="s">
        <v>645</v>
      </c>
      <c r="C342" s="195">
        <f>220*6*2</f>
        <v>2640</v>
      </c>
      <c r="D342" s="203" t="s">
        <v>165</v>
      </c>
      <c r="E342" s="197"/>
      <c r="F342" s="196">
        <f t="shared" si="121"/>
        <v>0</v>
      </c>
      <c r="G342" s="271"/>
      <c r="H342" s="292">
        <f t="shared" si="122"/>
        <v>0</v>
      </c>
      <c r="I342" s="49">
        <f t="shared" si="123"/>
        <v>0</v>
      </c>
      <c r="J342" s="49">
        <f t="shared" si="124"/>
        <v>0</v>
      </c>
      <c r="K342" s="49">
        <f t="shared" si="125"/>
        <v>0</v>
      </c>
      <c r="L342" s="49">
        <f t="shared" si="126"/>
        <v>0</v>
      </c>
      <c r="M342" s="49">
        <f t="shared" si="127"/>
        <v>0</v>
      </c>
      <c r="N342" s="186">
        <f t="shared" si="128"/>
        <v>0</v>
      </c>
      <c r="O342" s="162"/>
      <c r="P342" s="162"/>
      <c r="Q342" s="162"/>
      <c r="R342" s="162"/>
    </row>
    <row r="343" spans="1:18" s="365" customFormat="1" ht="15">
      <c r="A343" s="485" t="s">
        <v>620</v>
      </c>
      <c r="B343" s="486"/>
      <c r="C343" s="388"/>
      <c r="D343" s="389"/>
      <c r="E343" s="390"/>
      <c r="F343" s="390"/>
      <c r="G343" s="371">
        <f>SUM(F344:F356)</f>
        <v>0</v>
      </c>
      <c r="H343" s="409">
        <f>SUM(H344:H356)</f>
        <v>0</v>
      </c>
      <c r="I343" s="410">
        <f t="shared" ref="I343:N343" si="130">SUM(I344:I356)</f>
        <v>0</v>
      </c>
      <c r="J343" s="410">
        <f t="shared" si="130"/>
        <v>0</v>
      </c>
      <c r="K343" s="410">
        <f t="shared" si="130"/>
        <v>0</v>
      </c>
      <c r="L343" s="410">
        <f t="shared" si="130"/>
        <v>0</v>
      </c>
      <c r="M343" s="410">
        <f t="shared" si="130"/>
        <v>0</v>
      </c>
      <c r="N343" s="411">
        <f t="shared" si="130"/>
        <v>0</v>
      </c>
      <c r="O343" s="403"/>
      <c r="P343" s="403"/>
      <c r="Q343" s="403"/>
      <c r="R343" s="403"/>
    </row>
    <row r="344" spans="1:18" s="25" customFormat="1" ht="14.25">
      <c r="A344" s="39" t="s">
        <v>621</v>
      </c>
      <c r="B344" s="194" t="s">
        <v>421</v>
      </c>
      <c r="C344" s="195">
        <v>1</v>
      </c>
      <c r="D344" s="203" t="s">
        <v>20</v>
      </c>
      <c r="E344" s="197"/>
      <c r="F344" s="196">
        <f>E344*C344</f>
        <v>0</v>
      </c>
      <c r="G344" s="271"/>
      <c r="H344" s="311"/>
      <c r="I344" s="34">
        <f>F344/2</f>
        <v>0</v>
      </c>
      <c r="J344" s="132">
        <f>F344/2</f>
        <v>0</v>
      </c>
      <c r="K344" s="90"/>
      <c r="L344" s="90"/>
      <c r="M344" s="40"/>
      <c r="N344" s="91"/>
      <c r="O344" s="162"/>
      <c r="P344" s="162"/>
      <c r="Q344" s="162"/>
      <c r="R344" s="162"/>
    </row>
    <row r="345" spans="1:18" s="25" customFormat="1" ht="15">
      <c r="A345" s="39" t="s">
        <v>622</v>
      </c>
      <c r="B345" s="228" t="s">
        <v>305</v>
      </c>
      <c r="C345" s="195">
        <v>1</v>
      </c>
      <c r="D345" s="203" t="s">
        <v>20</v>
      </c>
      <c r="E345" s="197"/>
      <c r="F345" s="196">
        <f>C345*E345</f>
        <v>0</v>
      </c>
      <c r="G345" s="271"/>
      <c r="H345" s="336"/>
      <c r="I345" s="34">
        <f>F345/2</f>
        <v>0</v>
      </c>
      <c r="J345" s="132">
        <f>F345/2</f>
        <v>0</v>
      </c>
      <c r="K345" s="37"/>
      <c r="L345" s="37"/>
      <c r="M345" s="160"/>
      <c r="N345" s="185"/>
      <c r="O345" s="167"/>
      <c r="P345" s="167"/>
      <c r="Q345" s="162"/>
      <c r="R345" s="162"/>
    </row>
    <row r="346" spans="1:18" s="25" customFormat="1" ht="14.25">
      <c r="A346" s="39" t="s">
        <v>623</v>
      </c>
      <c r="B346" s="194" t="s">
        <v>166</v>
      </c>
      <c r="C346" s="195">
        <v>1</v>
      </c>
      <c r="D346" s="203" t="s">
        <v>20</v>
      </c>
      <c r="E346" s="197"/>
      <c r="F346" s="196">
        <f>E346*C346</f>
        <v>0</v>
      </c>
      <c r="G346" s="271"/>
      <c r="H346" s="311"/>
      <c r="I346" s="34">
        <f>F346/2</f>
        <v>0</v>
      </c>
      <c r="J346" s="132">
        <f>F346/2</f>
        <v>0</v>
      </c>
      <c r="K346" s="90"/>
      <c r="L346" s="90"/>
      <c r="M346" s="40"/>
      <c r="N346" s="91"/>
      <c r="O346" s="162"/>
      <c r="P346" s="162"/>
      <c r="Q346" s="162"/>
      <c r="R346" s="162"/>
    </row>
    <row r="347" spans="1:18" s="25" customFormat="1" ht="14.25">
      <c r="A347" s="39" t="s">
        <v>624</v>
      </c>
      <c r="B347" s="194" t="s">
        <v>401</v>
      </c>
      <c r="C347" s="202">
        <v>12</v>
      </c>
      <c r="D347" s="203" t="s">
        <v>20</v>
      </c>
      <c r="E347" s="197"/>
      <c r="F347" s="196">
        <f t="shared" ref="F347:F356" si="131">E347*C347</f>
        <v>0</v>
      </c>
      <c r="G347" s="271"/>
      <c r="H347" s="292">
        <f>F347/7</f>
        <v>0</v>
      </c>
      <c r="I347" s="49">
        <f>F347/7</f>
        <v>0</v>
      </c>
      <c r="J347" s="49">
        <f>F347/7</f>
        <v>0</v>
      </c>
      <c r="K347" s="49">
        <f>F347/7</f>
        <v>0</v>
      </c>
      <c r="L347" s="49">
        <f>F347/7</f>
        <v>0</v>
      </c>
      <c r="M347" s="49">
        <f>F347/7</f>
        <v>0</v>
      </c>
      <c r="N347" s="186">
        <f>F347/7</f>
        <v>0</v>
      </c>
      <c r="O347" s="162"/>
      <c r="P347" s="162"/>
      <c r="Q347" s="162"/>
      <c r="R347" s="162"/>
    </row>
    <row r="348" spans="1:18" s="25" customFormat="1" ht="14.25">
      <c r="A348" s="39" t="s">
        <v>625</v>
      </c>
      <c r="B348" s="198" t="s">
        <v>167</v>
      </c>
      <c r="C348" s="202">
        <v>1120</v>
      </c>
      <c r="D348" s="201" t="s">
        <v>22</v>
      </c>
      <c r="E348" s="200"/>
      <c r="F348" s="196">
        <f t="shared" si="131"/>
        <v>0</v>
      </c>
      <c r="G348" s="285"/>
      <c r="H348" s="301"/>
      <c r="I348" s="33"/>
      <c r="J348" s="33"/>
      <c r="K348" s="33"/>
      <c r="L348" s="33"/>
      <c r="M348" s="33"/>
      <c r="N348" s="48">
        <f>F348</f>
        <v>0</v>
      </c>
      <c r="O348" s="162"/>
      <c r="P348" s="162"/>
      <c r="Q348" s="162"/>
      <c r="R348" s="162"/>
    </row>
    <row r="349" spans="1:18" s="25" customFormat="1" ht="14.25">
      <c r="A349" s="39" t="s">
        <v>626</v>
      </c>
      <c r="B349" s="198" t="s">
        <v>462</v>
      </c>
      <c r="C349" s="195">
        <v>0.112</v>
      </c>
      <c r="D349" s="203" t="s">
        <v>466</v>
      </c>
      <c r="E349" s="197"/>
      <c r="F349" s="196">
        <f>E349*C349</f>
        <v>0</v>
      </c>
      <c r="G349" s="285"/>
      <c r="H349" s="301"/>
      <c r="I349" s="33"/>
      <c r="J349" s="33"/>
      <c r="K349" s="33"/>
      <c r="L349" s="33"/>
      <c r="M349" s="33"/>
      <c r="N349" s="48">
        <f>F349</f>
        <v>0</v>
      </c>
      <c r="O349" s="162"/>
      <c r="P349" s="162"/>
      <c r="Q349" s="162"/>
      <c r="R349" s="162"/>
    </row>
    <row r="350" spans="1:18" s="25" customFormat="1" ht="14.25">
      <c r="A350" s="39" t="s">
        <v>627</v>
      </c>
      <c r="B350" s="194" t="s">
        <v>242</v>
      </c>
      <c r="C350" s="202">
        <v>12</v>
      </c>
      <c r="D350" s="203" t="s">
        <v>35</v>
      </c>
      <c r="E350" s="197"/>
      <c r="F350" s="196">
        <f t="shared" si="131"/>
        <v>0</v>
      </c>
      <c r="G350" s="285"/>
      <c r="H350" s="292">
        <f t="shared" ref="H350:H354" si="132">F350/7</f>
        <v>0</v>
      </c>
      <c r="I350" s="49">
        <f t="shared" ref="I350:I354" si="133">F350/7</f>
        <v>0</v>
      </c>
      <c r="J350" s="49">
        <f t="shared" ref="J350:J354" si="134">F350/7</f>
        <v>0</v>
      </c>
      <c r="K350" s="49">
        <f t="shared" ref="K350:K354" si="135">F350/7</f>
        <v>0</v>
      </c>
      <c r="L350" s="49">
        <f t="shared" ref="L350:L354" si="136">F350/7</f>
        <v>0</v>
      </c>
      <c r="M350" s="49">
        <f t="shared" ref="M350:M354" si="137">F350/7</f>
        <v>0</v>
      </c>
      <c r="N350" s="186">
        <f t="shared" ref="N350:N354" si="138">F350/7</f>
        <v>0</v>
      </c>
      <c r="O350" s="162"/>
      <c r="P350" s="162"/>
      <c r="Q350" s="162"/>
      <c r="R350" s="162"/>
    </row>
    <row r="351" spans="1:18" s="25" customFormat="1" ht="14.25">
      <c r="A351" s="39" t="s">
        <v>628</v>
      </c>
      <c r="B351" s="198" t="s">
        <v>243</v>
      </c>
      <c r="C351" s="199">
        <v>12</v>
      </c>
      <c r="D351" s="201" t="s">
        <v>464</v>
      </c>
      <c r="E351" s="200"/>
      <c r="F351" s="196">
        <f t="shared" si="131"/>
        <v>0</v>
      </c>
      <c r="G351" s="271"/>
      <c r="H351" s="292">
        <f t="shared" si="132"/>
        <v>0</v>
      </c>
      <c r="I351" s="49">
        <f t="shared" si="133"/>
        <v>0</v>
      </c>
      <c r="J351" s="49">
        <f t="shared" si="134"/>
        <v>0</v>
      </c>
      <c r="K351" s="49">
        <f t="shared" si="135"/>
        <v>0</v>
      </c>
      <c r="L351" s="49">
        <f t="shared" si="136"/>
        <v>0</v>
      </c>
      <c r="M351" s="49">
        <f t="shared" si="137"/>
        <v>0</v>
      </c>
      <c r="N351" s="186">
        <f t="shared" si="138"/>
        <v>0</v>
      </c>
      <c r="O351" s="162"/>
      <c r="P351" s="162"/>
      <c r="Q351" s="162"/>
      <c r="R351" s="162"/>
    </row>
    <row r="352" spans="1:18" s="25" customFormat="1" ht="14.25">
      <c r="A352" s="39" t="s">
        <v>629</v>
      </c>
      <c r="B352" s="194" t="s">
        <v>244</v>
      </c>
      <c r="C352" s="195">
        <v>100</v>
      </c>
      <c r="D352" s="203" t="s">
        <v>123</v>
      </c>
      <c r="E352" s="197"/>
      <c r="F352" s="196">
        <f t="shared" si="131"/>
        <v>0</v>
      </c>
      <c r="G352" s="271"/>
      <c r="H352" s="292">
        <f t="shared" si="132"/>
        <v>0</v>
      </c>
      <c r="I352" s="49">
        <f t="shared" si="133"/>
        <v>0</v>
      </c>
      <c r="J352" s="49">
        <f t="shared" si="134"/>
        <v>0</v>
      </c>
      <c r="K352" s="49">
        <f t="shared" si="135"/>
        <v>0</v>
      </c>
      <c r="L352" s="49">
        <f t="shared" si="136"/>
        <v>0</v>
      </c>
      <c r="M352" s="49">
        <f t="shared" si="137"/>
        <v>0</v>
      </c>
      <c r="N352" s="186">
        <f t="shared" si="138"/>
        <v>0</v>
      </c>
      <c r="O352" s="162"/>
      <c r="P352" s="162"/>
      <c r="Q352" s="162"/>
      <c r="R352" s="162"/>
    </row>
    <row r="353" spans="1:18" s="25" customFormat="1" ht="14.25">
      <c r="A353" s="39" t="s">
        <v>630</v>
      </c>
      <c r="B353" s="194" t="s">
        <v>245</v>
      </c>
      <c r="C353" s="195">
        <v>100</v>
      </c>
      <c r="D353" s="203" t="s">
        <v>123</v>
      </c>
      <c r="E353" s="197"/>
      <c r="F353" s="196">
        <f t="shared" si="131"/>
        <v>0</v>
      </c>
      <c r="G353" s="271"/>
      <c r="H353" s="292">
        <f t="shared" si="132"/>
        <v>0</v>
      </c>
      <c r="I353" s="49">
        <f t="shared" si="133"/>
        <v>0</v>
      </c>
      <c r="J353" s="49">
        <f t="shared" si="134"/>
        <v>0</v>
      </c>
      <c r="K353" s="49">
        <f t="shared" si="135"/>
        <v>0</v>
      </c>
      <c r="L353" s="49">
        <f t="shared" si="136"/>
        <v>0</v>
      </c>
      <c r="M353" s="49">
        <f t="shared" si="137"/>
        <v>0</v>
      </c>
      <c r="N353" s="186">
        <f t="shared" si="138"/>
        <v>0</v>
      </c>
      <c r="O353" s="162"/>
      <c r="P353" s="162"/>
      <c r="Q353" s="162"/>
      <c r="R353" s="162"/>
    </row>
    <row r="354" spans="1:18" s="25" customFormat="1" ht="14.25">
      <c r="A354" s="39" t="s">
        <v>631</v>
      </c>
      <c r="B354" s="194" t="s">
        <v>169</v>
      </c>
      <c r="C354" s="195">
        <v>1500</v>
      </c>
      <c r="D354" s="203" t="s">
        <v>168</v>
      </c>
      <c r="E354" s="197"/>
      <c r="F354" s="196">
        <f t="shared" si="131"/>
        <v>0</v>
      </c>
      <c r="G354" s="271"/>
      <c r="H354" s="292">
        <f t="shared" si="132"/>
        <v>0</v>
      </c>
      <c r="I354" s="49">
        <f t="shared" si="133"/>
        <v>0</v>
      </c>
      <c r="J354" s="49">
        <f t="shared" si="134"/>
        <v>0</v>
      </c>
      <c r="K354" s="49">
        <f t="shared" si="135"/>
        <v>0</v>
      </c>
      <c r="L354" s="49">
        <f t="shared" si="136"/>
        <v>0</v>
      </c>
      <c r="M354" s="49">
        <f t="shared" si="137"/>
        <v>0</v>
      </c>
      <c r="N354" s="186">
        <f t="shared" si="138"/>
        <v>0</v>
      </c>
      <c r="O354" s="162"/>
      <c r="P354" s="162"/>
      <c r="Q354" s="162"/>
      <c r="R354" s="162"/>
    </row>
    <row r="355" spans="1:18" s="25" customFormat="1" ht="14.25">
      <c r="A355" s="39" t="s">
        <v>632</v>
      </c>
      <c r="B355" s="194" t="s">
        <v>463</v>
      </c>
      <c r="C355" s="195">
        <v>50</v>
      </c>
      <c r="D355" s="203" t="s">
        <v>123</v>
      </c>
      <c r="E355" s="197"/>
      <c r="F355" s="196">
        <f t="shared" ref="F355" si="139">E355*C355</f>
        <v>0</v>
      </c>
      <c r="G355" s="271"/>
      <c r="H355" s="301"/>
      <c r="I355" s="33"/>
      <c r="J355" s="33"/>
      <c r="K355" s="33"/>
      <c r="L355" s="33"/>
      <c r="M355" s="33"/>
      <c r="N355" s="48">
        <f>F355</f>
        <v>0</v>
      </c>
    </row>
    <row r="356" spans="1:18" s="25" customFormat="1" ht="14.25">
      <c r="A356" s="39" t="s">
        <v>633</v>
      </c>
      <c r="B356" s="194" t="s">
        <v>170</v>
      </c>
      <c r="C356" s="202">
        <v>1120</v>
      </c>
      <c r="D356" s="203" t="s">
        <v>22</v>
      </c>
      <c r="E356" s="197"/>
      <c r="F356" s="196">
        <f t="shared" si="131"/>
        <v>0</v>
      </c>
      <c r="G356" s="271"/>
      <c r="H356" s="301"/>
      <c r="I356" s="33"/>
      <c r="J356" s="33"/>
      <c r="K356" s="33"/>
      <c r="L356" s="33"/>
      <c r="M356" s="33"/>
      <c r="N356" s="48">
        <f>F356</f>
        <v>0</v>
      </c>
    </row>
    <row r="357" spans="1:18" s="10" customFormat="1" ht="15">
      <c r="A357" s="489" t="s">
        <v>171</v>
      </c>
      <c r="B357" s="490"/>
      <c r="C357" s="176"/>
      <c r="D357" s="177"/>
      <c r="E357" s="178"/>
      <c r="F357" s="179"/>
      <c r="G357" s="287">
        <f>SUM(G9:G356)</f>
        <v>0</v>
      </c>
      <c r="H357" s="317">
        <f t="shared" ref="H357:N357" si="140">H9+H48+H128+H134+H151+H163+H179+H195+H210+H220+H226+H230+H253+H258+H303+H311+H315+H328+H343</f>
        <v>0</v>
      </c>
      <c r="I357" s="313">
        <f t="shared" si="140"/>
        <v>0</v>
      </c>
      <c r="J357" s="313">
        <f t="shared" si="140"/>
        <v>0</v>
      </c>
      <c r="K357" s="313">
        <f t="shared" si="140"/>
        <v>0</v>
      </c>
      <c r="L357" s="313">
        <f t="shared" si="140"/>
        <v>0</v>
      </c>
      <c r="M357" s="313">
        <f t="shared" si="140"/>
        <v>0</v>
      </c>
      <c r="N357" s="318">
        <f t="shared" si="140"/>
        <v>0</v>
      </c>
      <c r="O357" s="134"/>
    </row>
    <row r="358" spans="1:18" s="10" customFormat="1" ht="15">
      <c r="A358" s="157" t="s">
        <v>397</v>
      </c>
      <c r="B358" s="76"/>
      <c r="C358" s="77"/>
      <c r="D358" s="78"/>
      <c r="E358" s="79"/>
      <c r="F358" s="80"/>
      <c r="G358" s="288">
        <f>G357*0.245</f>
        <v>0</v>
      </c>
      <c r="H358" s="309">
        <f>H357*0.245</f>
        <v>0</v>
      </c>
      <c r="I358" s="81">
        <f t="shared" ref="I358:N358" si="141">I357*0.245</f>
        <v>0</v>
      </c>
      <c r="J358" s="81">
        <f t="shared" si="141"/>
        <v>0</v>
      </c>
      <c r="K358" s="81">
        <f t="shared" si="141"/>
        <v>0</v>
      </c>
      <c r="L358" s="81">
        <f t="shared" si="141"/>
        <v>0</v>
      </c>
      <c r="M358" s="81">
        <f t="shared" si="141"/>
        <v>0</v>
      </c>
      <c r="N358" s="187">
        <f t="shared" si="141"/>
        <v>0</v>
      </c>
    </row>
    <row r="359" spans="1:18" s="10" customFormat="1" ht="15.75" thickBot="1">
      <c r="A359" s="82" t="s">
        <v>172</v>
      </c>
      <c r="B359" s="83"/>
      <c r="C359" s="17"/>
      <c r="D359" s="84"/>
      <c r="E359" s="85"/>
      <c r="F359" s="8"/>
      <c r="G359" s="289">
        <f>G358+G357</f>
        <v>0</v>
      </c>
      <c r="H359" s="310">
        <f t="shared" ref="H359:M359" si="142">H358+H357</f>
        <v>0</v>
      </c>
      <c r="I359" s="86">
        <f>I358+I357</f>
        <v>0</v>
      </c>
      <c r="J359" s="86">
        <f t="shared" si="142"/>
        <v>0</v>
      </c>
      <c r="K359" s="86">
        <f t="shared" si="142"/>
        <v>0</v>
      </c>
      <c r="L359" s="86">
        <f t="shared" si="142"/>
        <v>0</v>
      </c>
      <c r="M359" s="86">
        <f t="shared" si="142"/>
        <v>0</v>
      </c>
      <c r="N359" s="188">
        <f>N358+N357</f>
        <v>0</v>
      </c>
      <c r="O359" s="131"/>
    </row>
    <row r="360" spans="1:18" s="444" customFormat="1" ht="18" customHeight="1">
      <c r="A360" s="442" t="s">
        <v>579</v>
      </c>
      <c r="B360" s="443"/>
      <c r="C360" s="443"/>
      <c r="D360" s="443" t="s">
        <v>418</v>
      </c>
      <c r="E360" s="443"/>
      <c r="F360" s="466" t="s">
        <v>640</v>
      </c>
      <c r="G360" s="443"/>
      <c r="H360" s="445"/>
      <c r="I360" s="446"/>
      <c r="J360" s="446"/>
      <c r="K360" s="447"/>
      <c r="L360" s="447"/>
      <c r="M360" s="447"/>
      <c r="N360" s="448"/>
    </row>
    <row r="361" spans="1:18" s="444" customFormat="1" ht="18" customHeight="1">
      <c r="A361" s="445" t="s">
        <v>584</v>
      </c>
      <c r="B361" s="446"/>
      <c r="C361" s="446"/>
      <c r="D361" s="446"/>
      <c r="E361" s="446"/>
      <c r="F361" s="467"/>
      <c r="G361" s="446"/>
      <c r="H361" s="445"/>
      <c r="I361" s="446"/>
      <c r="J361" s="446"/>
      <c r="K361" s="447"/>
      <c r="L361" s="447"/>
      <c r="M361" s="447"/>
      <c r="N361" s="448"/>
    </row>
    <row r="362" spans="1:18" s="444" customFormat="1" ht="18" customHeight="1">
      <c r="A362" s="445" t="s">
        <v>580</v>
      </c>
      <c r="B362" s="446"/>
      <c r="C362" s="446"/>
      <c r="D362" s="446"/>
      <c r="E362" s="446"/>
      <c r="F362" s="467"/>
      <c r="G362" s="446"/>
      <c r="H362" s="445"/>
      <c r="I362" s="446"/>
      <c r="J362" s="463"/>
      <c r="K362" s="447"/>
      <c r="L362" s="447"/>
      <c r="M362" s="447"/>
      <c r="N362" s="448"/>
    </row>
    <row r="363" spans="1:18" s="444" customFormat="1" ht="18" customHeight="1">
      <c r="A363" s="445" t="s">
        <v>583</v>
      </c>
      <c r="B363" s="446"/>
      <c r="C363" s="446"/>
      <c r="D363" s="446"/>
      <c r="E363" s="446"/>
      <c r="F363" s="469" t="s">
        <v>639</v>
      </c>
      <c r="G363" s="446"/>
      <c r="H363" s="445"/>
      <c r="I363" s="491"/>
      <c r="J363" s="491"/>
      <c r="K363" s="447"/>
      <c r="L363" s="447"/>
      <c r="M363" s="447"/>
      <c r="N363" s="448"/>
    </row>
    <row r="364" spans="1:18" s="444" customFormat="1" ht="18" customHeight="1">
      <c r="A364" s="445" t="s">
        <v>585</v>
      </c>
      <c r="B364" s="446"/>
      <c r="C364" s="446"/>
      <c r="D364" s="446"/>
      <c r="E364" s="446"/>
      <c r="F364" s="463" t="s">
        <v>641</v>
      </c>
      <c r="G364" s="465"/>
      <c r="H364" s="445"/>
      <c r="I364" s="491"/>
      <c r="J364" s="491"/>
      <c r="K364" s="447"/>
      <c r="L364" s="447"/>
      <c r="M364" s="447"/>
      <c r="N364" s="448"/>
    </row>
    <row r="365" spans="1:18" s="444" customFormat="1" ht="18" customHeight="1">
      <c r="A365" s="445" t="s">
        <v>582</v>
      </c>
      <c r="B365" s="446"/>
      <c r="C365" s="446"/>
      <c r="D365" s="446"/>
      <c r="E365" s="446"/>
      <c r="F365" s="470" t="s">
        <v>642</v>
      </c>
      <c r="G365" s="465"/>
      <c r="H365" s="449"/>
      <c r="I365" s="491"/>
      <c r="J365" s="491"/>
      <c r="K365" s="447"/>
      <c r="L365" s="447"/>
      <c r="M365" s="447"/>
      <c r="N365" s="448"/>
    </row>
    <row r="366" spans="1:18" s="444" customFormat="1" ht="18" customHeight="1" thickBot="1">
      <c r="A366" s="450" t="s">
        <v>581</v>
      </c>
      <c r="B366" s="451"/>
      <c r="C366" s="451"/>
      <c r="D366" s="451"/>
      <c r="E366" s="451"/>
      <c r="F366" s="471" t="s">
        <v>643</v>
      </c>
      <c r="G366" s="468"/>
      <c r="H366" s="450"/>
      <c r="I366" s="481"/>
      <c r="J366" s="481"/>
      <c r="K366" s="452"/>
      <c r="L366" s="452"/>
      <c r="M366" s="452"/>
      <c r="N366" s="453"/>
    </row>
    <row r="367" spans="1:18" ht="15">
      <c r="A367" s="70"/>
      <c r="B367" s="71"/>
      <c r="C367" s="72"/>
      <c r="D367" s="72"/>
      <c r="E367" s="73"/>
      <c r="F367" s="72"/>
      <c r="G367" s="72"/>
      <c r="H367" s="74"/>
      <c r="I367" s="74"/>
      <c r="J367" s="74"/>
      <c r="K367" s="74"/>
      <c r="L367" s="74"/>
      <c r="M367" s="75"/>
      <c r="N367" s="74"/>
    </row>
    <row r="368" spans="1:18">
      <c r="A368" s="2"/>
      <c r="B368" s="13"/>
      <c r="C368" s="7"/>
      <c r="D368" s="7"/>
      <c r="E368" s="22"/>
      <c r="F368" s="1"/>
      <c r="G368" s="1"/>
      <c r="H368" s="64"/>
      <c r="I368" s="64"/>
      <c r="J368" s="64"/>
      <c r="K368" s="64"/>
      <c r="L368" s="64"/>
      <c r="M368" s="65"/>
      <c r="N368" s="64"/>
    </row>
    <row r="369" spans="1:14">
      <c r="A369" s="2"/>
      <c r="B369" s="18"/>
      <c r="C369" s="9"/>
      <c r="D369" s="7"/>
      <c r="E369" s="22"/>
      <c r="F369" s="1"/>
      <c r="G369" s="1"/>
      <c r="H369" s="64"/>
      <c r="I369" s="64"/>
      <c r="J369" s="64"/>
      <c r="K369" s="64"/>
      <c r="L369" s="64"/>
      <c r="M369" s="65"/>
      <c r="N369" s="64"/>
    </row>
    <row r="370" spans="1:14">
      <c r="A370" s="2"/>
      <c r="B370" s="13"/>
      <c r="C370" s="7"/>
      <c r="D370" s="7"/>
      <c r="E370" s="22"/>
      <c r="F370" s="1"/>
      <c r="G370" s="1"/>
      <c r="H370" s="64"/>
      <c r="I370" s="64"/>
      <c r="J370" s="64"/>
      <c r="K370" s="64"/>
      <c r="L370" s="64"/>
      <c r="M370" s="65"/>
      <c r="N370" s="64"/>
    </row>
    <row r="371" spans="1:14">
      <c r="A371" s="2"/>
      <c r="B371" s="13"/>
      <c r="C371" s="7"/>
      <c r="D371" s="7"/>
      <c r="E371" s="22"/>
      <c r="F371" s="1"/>
      <c r="G371" s="1"/>
      <c r="H371" s="64"/>
      <c r="I371" s="64"/>
      <c r="J371" s="64"/>
      <c r="K371" s="64"/>
      <c r="L371" s="64"/>
      <c r="M371" s="65"/>
      <c r="N371" s="64"/>
    </row>
    <row r="372" spans="1:14">
      <c r="A372" s="4"/>
      <c r="B372" s="13"/>
      <c r="C372" s="474"/>
      <c r="D372" s="474"/>
      <c r="E372" s="475"/>
      <c r="F372" s="476"/>
      <c r="G372" s="1"/>
      <c r="H372" s="64"/>
      <c r="I372" s="64"/>
      <c r="J372" s="64"/>
      <c r="K372" s="64"/>
      <c r="L372" s="64"/>
      <c r="M372" s="65"/>
      <c r="N372" s="64"/>
    </row>
    <row r="373" spans="1:14">
      <c r="A373" s="4"/>
      <c r="B373" s="13"/>
      <c r="C373" s="474"/>
      <c r="D373" s="474"/>
      <c r="E373" s="475"/>
      <c r="F373" s="476"/>
      <c r="G373" s="1"/>
      <c r="H373" s="64"/>
      <c r="I373" s="64"/>
      <c r="J373" s="64"/>
      <c r="K373" s="64"/>
      <c r="L373" s="64"/>
      <c r="M373" s="65"/>
      <c r="N373" s="64"/>
    </row>
    <row r="374" spans="1:14">
      <c r="A374" s="4"/>
      <c r="B374" s="19"/>
      <c r="C374" s="477"/>
      <c r="D374" s="474"/>
      <c r="E374" s="478"/>
      <c r="F374" s="476"/>
      <c r="G374" s="1"/>
      <c r="H374" s="64"/>
      <c r="I374" s="64"/>
      <c r="J374" s="64"/>
      <c r="K374" s="64"/>
      <c r="L374" s="64"/>
      <c r="M374" s="65"/>
      <c r="N374" s="64"/>
    </row>
    <row r="375" spans="1:14">
      <c r="A375" s="4"/>
      <c r="B375" s="13"/>
      <c r="C375" s="474"/>
      <c r="D375" s="474"/>
      <c r="E375" s="475"/>
      <c r="F375" s="476"/>
      <c r="G375" s="1"/>
      <c r="H375" s="64"/>
      <c r="I375" s="64"/>
      <c r="J375" s="64"/>
      <c r="K375" s="64"/>
      <c r="L375" s="64"/>
      <c r="M375" s="65"/>
      <c r="N375" s="64"/>
    </row>
    <row r="376" spans="1:14">
      <c r="A376" s="4"/>
      <c r="B376" s="13"/>
      <c r="C376" s="474"/>
      <c r="D376" s="474"/>
      <c r="E376" s="475"/>
      <c r="F376" s="476"/>
      <c r="G376" s="1"/>
      <c r="H376" s="64"/>
      <c r="I376" s="64"/>
      <c r="J376" s="64"/>
      <c r="K376" s="64"/>
      <c r="L376" s="64"/>
      <c r="M376" s="65"/>
      <c r="N376" s="64"/>
    </row>
    <row r="377" spans="1:14">
      <c r="A377" s="4"/>
      <c r="B377" s="13"/>
      <c r="C377" s="7"/>
      <c r="D377" s="7"/>
      <c r="E377" s="22"/>
      <c r="F377" s="1"/>
      <c r="G377" s="1"/>
      <c r="H377" s="64"/>
      <c r="I377" s="64"/>
      <c r="J377" s="64"/>
      <c r="K377" s="64"/>
      <c r="L377" s="64"/>
      <c r="M377" s="65"/>
      <c r="N377" s="64"/>
    </row>
    <row r="378" spans="1:14">
      <c r="A378" s="4"/>
      <c r="B378" s="13"/>
      <c r="C378" s="7"/>
      <c r="D378" s="7"/>
      <c r="E378" s="22"/>
      <c r="F378" s="1"/>
      <c r="G378" s="1"/>
      <c r="H378" s="64"/>
      <c r="I378" s="64"/>
      <c r="J378" s="64"/>
      <c r="K378" s="64"/>
      <c r="L378" s="64"/>
      <c r="M378" s="65"/>
      <c r="N378" s="64"/>
    </row>
    <row r="379" spans="1:14">
      <c r="A379" s="4"/>
      <c r="B379" s="19"/>
      <c r="C379" s="14"/>
      <c r="D379" s="12"/>
      <c r="E379" s="22"/>
      <c r="F379" s="1"/>
      <c r="G379" s="1"/>
      <c r="H379" s="64"/>
      <c r="I379" s="64"/>
      <c r="J379" s="64"/>
      <c r="K379" s="64"/>
      <c r="L379" s="64"/>
      <c r="M379" s="65"/>
      <c r="N379" s="64"/>
    </row>
    <row r="380" spans="1:14">
      <c r="A380" s="4"/>
      <c r="B380" s="20"/>
      <c r="C380" s="12"/>
      <c r="D380" s="12"/>
      <c r="E380" s="12"/>
      <c r="F380" s="5"/>
      <c r="G380" s="5"/>
      <c r="H380" s="64"/>
      <c r="I380" s="64"/>
      <c r="J380" s="64"/>
      <c r="K380" s="64"/>
      <c r="L380" s="64"/>
      <c r="M380" s="65"/>
      <c r="N380" s="64"/>
    </row>
    <row r="381" spans="1:14">
      <c r="A381" s="4"/>
      <c r="B381" s="20"/>
      <c r="C381" s="12"/>
      <c r="D381" s="12"/>
      <c r="E381" s="12"/>
      <c r="F381" s="5"/>
      <c r="G381" s="5"/>
      <c r="H381" s="2" t="s">
        <v>418</v>
      </c>
      <c r="I381" s="64"/>
      <c r="J381" s="64"/>
      <c r="K381" s="64"/>
      <c r="L381" s="64"/>
      <c r="M381" s="65"/>
      <c r="N381" s="64"/>
    </row>
    <row r="382" spans="1:14">
      <c r="A382" s="4"/>
      <c r="B382" s="20"/>
      <c r="C382" s="12"/>
      <c r="D382" s="12"/>
      <c r="E382" s="12"/>
      <c r="F382" s="5"/>
      <c r="G382" s="5"/>
      <c r="H382" s="64"/>
      <c r="I382" s="64"/>
      <c r="J382" s="64"/>
      <c r="K382" s="64"/>
      <c r="L382" s="64"/>
      <c r="M382" s="65"/>
      <c r="N382" s="64"/>
    </row>
    <row r="383" spans="1:14">
      <c r="A383" s="4"/>
      <c r="B383" s="13"/>
      <c r="C383" s="7"/>
      <c r="D383" s="7"/>
      <c r="E383" s="22"/>
      <c r="F383" s="1"/>
      <c r="G383" s="1"/>
      <c r="H383" s="64"/>
      <c r="I383" s="64"/>
      <c r="J383" s="64"/>
      <c r="K383" s="64"/>
      <c r="L383" s="64"/>
      <c r="M383" s="65"/>
      <c r="N383" s="64"/>
    </row>
    <row r="384" spans="1:14">
      <c r="A384" s="4"/>
      <c r="B384" s="19"/>
      <c r="C384" s="14"/>
      <c r="D384" s="7"/>
      <c r="E384" s="22"/>
      <c r="F384" s="1"/>
      <c r="G384" s="1"/>
      <c r="H384" s="64"/>
      <c r="I384" s="64"/>
      <c r="J384" s="64"/>
      <c r="K384" s="64"/>
      <c r="L384" s="64"/>
      <c r="M384" s="65"/>
      <c r="N384" s="64"/>
    </row>
    <row r="385" spans="1:14">
      <c r="A385" s="4"/>
      <c r="B385" s="19"/>
      <c r="C385" s="14"/>
      <c r="D385" s="7"/>
      <c r="E385" s="22"/>
      <c r="F385" s="1"/>
      <c r="G385" s="1"/>
      <c r="H385" s="64"/>
      <c r="I385" s="64"/>
      <c r="J385" s="64"/>
      <c r="K385" s="64"/>
      <c r="L385" s="64"/>
      <c r="M385" s="65"/>
      <c r="N385" s="64"/>
    </row>
    <row r="386" spans="1:14">
      <c r="A386" s="4"/>
      <c r="B386" s="19"/>
      <c r="C386" s="14"/>
      <c r="D386" s="7"/>
      <c r="E386" s="22"/>
      <c r="F386" s="1"/>
      <c r="G386" s="1"/>
      <c r="H386" s="64"/>
      <c r="I386" s="64"/>
      <c r="J386" s="64"/>
      <c r="K386" s="64"/>
      <c r="L386" s="64"/>
      <c r="M386" s="65"/>
      <c r="N386" s="64"/>
    </row>
    <row r="387" spans="1:14">
      <c r="A387" s="4"/>
      <c r="B387" s="19"/>
      <c r="C387" s="14"/>
      <c r="D387" s="7"/>
      <c r="E387" s="22"/>
      <c r="F387" s="1"/>
      <c r="G387" s="1"/>
      <c r="H387" s="64"/>
      <c r="I387" s="64"/>
      <c r="J387" s="64"/>
      <c r="K387" s="64"/>
      <c r="L387" s="64"/>
      <c r="M387" s="65"/>
      <c r="N387" s="64"/>
    </row>
    <row r="388" spans="1:14">
      <c r="A388" s="4"/>
      <c r="B388" s="19"/>
      <c r="C388" s="14"/>
      <c r="D388" s="12"/>
      <c r="E388" s="22"/>
      <c r="F388" s="1"/>
      <c r="G388" s="1"/>
      <c r="H388" s="64"/>
      <c r="I388" s="64"/>
      <c r="J388" s="64"/>
      <c r="K388" s="64"/>
      <c r="L388" s="64"/>
      <c r="M388" s="65"/>
      <c r="N388" s="64"/>
    </row>
    <row r="389" spans="1:14">
      <c r="A389" s="4"/>
      <c r="B389" s="19"/>
      <c r="C389" s="12"/>
      <c r="D389" s="12"/>
      <c r="E389" s="22"/>
      <c r="F389" s="5"/>
      <c r="G389" s="5"/>
      <c r="H389" s="64"/>
      <c r="I389" s="64"/>
      <c r="J389" s="64"/>
      <c r="K389" s="64"/>
      <c r="L389" s="64"/>
      <c r="M389" s="65"/>
      <c r="N389" s="64"/>
    </row>
    <row r="390" spans="1:14">
      <c r="A390" s="4"/>
      <c r="B390" s="13"/>
      <c r="C390" s="12"/>
      <c r="D390" s="12"/>
      <c r="E390" s="12"/>
      <c r="F390" s="1"/>
      <c r="G390" s="1"/>
      <c r="H390" s="64"/>
      <c r="I390" s="64"/>
      <c r="J390" s="64"/>
      <c r="K390" s="64"/>
      <c r="L390" s="64"/>
      <c r="M390" s="65"/>
      <c r="N390" s="64"/>
    </row>
    <row r="391" spans="1:14">
      <c r="A391" s="4"/>
      <c r="B391" s="19"/>
      <c r="C391" s="12"/>
      <c r="D391" s="12"/>
      <c r="E391" s="12"/>
      <c r="F391" s="5"/>
      <c r="G391" s="5"/>
      <c r="H391" s="64"/>
      <c r="I391" s="64"/>
      <c r="J391" s="64"/>
      <c r="K391" s="64"/>
      <c r="L391" s="64"/>
      <c r="M391" s="65"/>
      <c r="N391" s="64"/>
    </row>
    <row r="392" spans="1:14">
      <c r="A392" s="4"/>
      <c r="B392" s="13"/>
      <c r="C392" s="7"/>
      <c r="D392" s="7"/>
      <c r="E392" s="22"/>
      <c r="F392" s="1"/>
      <c r="G392" s="1"/>
      <c r="H392" s="64"/>
      <c r="I392" s="64"/>
      <c r="J392" s="64"/>
      <c r="K392" s="64"/>
      <c r="L392" s="64"/>
      <c r="M392" s="65"/>
      <c r="N392" s="64"/>
    </row>
    <row r="393" spans="1:14">
      <c r="A393" s="4"/>
      <c r="B393" s="13"/>
      <c r="C393" s="14"/>
      <c r="D393" s="7"/>
      <c r="E393" s="22"/>
      <c r="F393" s="1"/>
      <c r="G393" s="1"/>
      <c r="H393" s="64"/>
      <c r="I393" s="64"/>
      <c r="J393" s="64"/>
      <c r="K393" s="64"/>
      <c r="L393" s="64"/>
      <c r="M393" s="65"/>
      <c r="N393" s="64"/>
    </row>
    <row r="394" spans="1:14">
      <c r="A394" s="4"/>
      <c r="B394" s="13"/>
      <c r="C394" s="7"/>
      <c r="D394" s="7"/>
      <c r="E394" s="22"/>
      <c r="F394" s="1"/>
      <c r="G394" s="1"/>
      <c r="H394" s="64"/>
      <c r="I394" s="64"/>
      <c r="J394" s="64"/>
      <c r="K394" s="64"/>
      <c r="L394" s="64"/>
      <c r="M394" s="65"/>
      <c r="N394" s="64"/>
    </row>
  </sheetData>
  <mergeCells count="12">
    <mergeCell ref="A328:B328"/>
    <mergeCell ref="A343:B343"/>
    <mergeCell ref="A357:B357"/>
    <mergeCell ref="A257:B257"/>
    <mergeCell ref="A258:B258"/>
    <mergeCell ref="A303:B303"/>
    <mergeCell ref="A311:B311"/>
    <mergeCell ref="I363:J363"/>
    <mergeCell ref="I365:J365"/>
    <mergeCell ref="I366:J366"/>
    <mergeCell ref="I364:J364"/>
    <mergeCell ref="C5:G5"/>
  </mergeCells>
  <pageMargins left="0.70866141732283461" right="0.70866141732283461" top="0.70866141732283461" bottom="0.74803149606299213" header="0.31496062992125984" footer="0.31496062992125984"/>
  <pageSetup paperSize="259" scale="26" fitToHeight="3" orientation="landscape" verticalDpi="597" r:id="rId1"/>
  <headerFooter>
    <oddHeader>&amp;L&amp;20ANEXO 2&amp;C&amp;20Rio de Janeiro, 29 de Fevereiro de 2016&amp;R&amp;20NUP 01435.000149/2016-17</oddHeader>
    <oddFooter>&amp;R&amp;16&amp;P</oddFooter>
  </headerFooter>
  <colBreaks count="1" manualBreakCount="1">
    <brk id="7" min="1" max="350" man="1"/>
  </colBreaks>
  <ignoredErrors>
    <ignoredError sqref="H31 F138 F175 F145 F76 F83 F101 F109 F20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Planilha-ANEXO-2-2.1</vt:lpstr>
      <vt:lpstr>Cronograma-ANEXO-2-2.2</vt:lpstr>
      <vt:lpstr>'Cronograma-ANEXO-2-2.2'!Area_de_impressao</vt:lpstr>
      <vt:lpstr>'Planilha-ANEXO-2-2.1'!Area_de_impressao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Juciano</dc:creator>
  <cp:lastModifiedBy>guapy.pinheiro</cp:lastModifiedBy>
  <cp:lastPrinted>2016-03-09T13:22:35Z</cp:lastPrinted>
  <dcterms:created xsi:type="dcterms:W3CDTF">2014-08-07T14:35:54Z</dcterms:created>
  <dcterms:modified xsi:type="dcterms:W3CDTF">2016-05-30T19:12:10Z</dcterms:modified>
</cp:coreProperties>
</file>