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5FEC919FA97353E8C7630B96C7832D94D49768EA" xr6:coauthVersionLast="47" xr6:coauthVersionMax="47" xr10:uidLastSave="{EF37711D-FF5F-452E-8DD1-BCCFEBFAE3F8}"/>
  <bookViews>
    <workbookView xWindow="-12" yWindow="168" windowWidth="15372" windowHeight="4452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tab_Intercambio_projetos!$A$1:$AC$1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tab_UHE_projetos!$F$1:$BH$237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07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E64" i="8"/>
  <c r="AE62" i="8"/>
  <c r="AE60" i="8"/>
  <c r="AE59" i="8"/>
  <c r="AE58" i="8"/>
  <c r="AE57" i="8"/>
  <c r="AE56" i="8"/>
  <c r="AE20" i="8"/>
  <c r="AE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K41" i="8" s="1"/>
  <c r="AF42" i="8"/>
  <c r="AD42" i="8" s="1"/>
  <c r="AF43" i="8"/>
  <c r="AD43" i="8" s="1"/>
  <c r="AJ43" i="8" s="1"/>
  <c r="AK43" i="8" s="1"/>
  <c r="AF44" i="8"/>
  <c r="AD44" i="8" s="1"/>
  <c r="AJ44" i="8" s="1"/>
  <c r="AK44" i="8" s="1"/>
  <c r="AF45" i="8"/>
  <c r="AD45" i="8" s="1"/>
  <c r="AJ45" i="8" s="1"/>
  <c r="AF46" i="8"/>
  <c r="AD46" i="8" s="1"/>
  <c r="AJ46" i="8" s="1"/>
  <c r="AK46" i="8" s="1"/>
  <c r="AF47" i="8"/>
  <c r="AD47" i="8" s="1"/>
  <c r="AJ47" i="8" s="1"/>
  <c r="AF48" i="8"/>
  <c r="AD48" i="8" s="1"/>
  <c r="AJ48" i="8" s="1"/>
  <c r="AK48" i="8" s="1"/>
  <c r="AF49" i="8"/>
  <c r="AD49" i="8" s="1"/>
  <c r="AJ49" i="8" s="1"/>
  <c r="AK49" i="8" s="1"/>
  <c r="AF50" i="8"/>
  <c r="AD50" i="8" s="1"/>
  <c r="AF51" i="8"/>
  <c r="AD51" i="8" s="1"/>
  <c r="AJ51" i="8" s="1"/>
  <c r="AK51" i="8" s="1"/>
  <c r="AF52" i="8"/>
  <c r="AD52" i="8" s="1"/>
  <c r="AJ52" i="8" s="1"/>
  <c r="AK52" i="8" s="1"/>
  <c r="AM41" i="8"/>
  <c r="AQ41" i="8"/>
  <c r="AJ42" i="8"/>
  <c r="AK42" i="8" s="1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J50" i="8"/>
  <c r="AK50" i="8" s="1"/>
  <c r="AM50" i="8"/>
  <c r="AQ50" i="8"/>
  <c r="AM51" i="8"/>
  <c r="AQ51" i="8"/>
  <c r="AM52" i="8"/>
  <c r="AQ52" i="8"/>
  <c r="AK47" i="8" l="1"/>
  <c r="AK45" i="8"/>
  <c r="I13" i="15"/>
  <c r="H13" i="15"/>
  <c r="G13" i="15"/>
  <c r="AR63" i="8" l="1"/>
  <c r="AM63" i="8"/>
  <c r="AQ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C12" i="9"/>
  <c r="G12" i="9" s="1"/>
  <c r="C13" i="9"/>
  <c r="C14" i="9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C36" i="9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C44" i="9"/>
  <c r="C45" i="9"/>
  <c r="C46" i="9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C74" i="9"/>
  <c r="G74" i="9" s="1"/>
  <c r="C75" i="9"/>
  <c r="G75" i="9" s="1"/>
  <c r="C76" i="9"/>
  <c r="G76" i="9" s="1"/>
  <c r="C77" i="9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C110" i="9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C140" i="9"/>
  <c r="G140" i="9" s="1"/>
  <c r="C141" i="9"/>
  <c r="C142" i="9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C172" i="9"/>
  <c r="C173" i="9"/>
  <c r="C174" i="9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C238" i="9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C268" i="9"/>
  <c r="G268" i="9" s="1"/>
  <c r="C269" i="9"/>
  <c r="G269" i="9" s="1"/>
  <c r="G11" i="9"/>
  <c r="G13" i="9"/>
  <c r="G14" i="9"/>
  <c r="G35" i="9"/>
  <c r="G36" i="9"/>
  <c r="G43" i="9"/>
  <c r="G44" i="9"/>
  <c r="G45" i="9"/>
  <c r="G46" i="9"/>
  <c r="G73" i="9"/>
  <c r="G77" i="9"/>
  <c r="G109" i="9"/>
  <c r="G110" i="9"/>
  <c r="G121" i="9"/>
  <c r="G139" i="9"/>
  <c r="G141" i="9"/>
  <c r="G142" i="9"/>
  <c r="G164" i="9"/>
  <c r="G171" i="9"/>
  <c r="G172" i="9"/>
  <c r="G173" i="9"/>
  <c r="G174" i="9"/>
  <c r="G227" i="9"/>
  <c r="G237" i="9"/>
  <c r="G238" i="9"/>
  <c r="G267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M262" i="9"/>
  <c r="M263" i="9"/>
  <c r="M264" i="9"/>
  <c r="M265" i="9"/>
  <c r="M266" i="9"/>
  <c r="M267" i="9"/>
  <c r="M268" i="9"/>
  <c r="M269" i="9"/>
  <c r="M2" i="9"/>
  <c r="L2" i="9"/>
  <c r="I2" i="9"/>
  <c r="C2" i="9"/>
  <c r="F3" i="22"/>
  <c r="F4" i="22"/>
  <c r="F5" i="22"/>
  <c r="F6" i="22"/>
  <c r="F7" i="22"/>
  <c r="F8" i="22"/>
  <c r="F2" i="22"/>
  <c r="AK63" i="8" l="1"/>
  <c r="AF64" i="8"/>
  <c r="AD64" i="8" s="1"/>
  <c r="AJ64" i="8" s="1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K180" i="9"/>
  <c r="K179" i="9"/>
  <c r="K178" i="9"/>
  <c r="K177" i="9"/>
  <c r="K176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5" i="9"/>
  <c r="K154" i="9"/>
  <c r="K153" i="9"/>
  <c r="K152" i="9"/>
  <c r="K151" i="9"/>
  <c r="K150" i="9"/>
  <c r="K149" i="9"/>
  <c r="K148" i="9"/>
  <c r="K147" i="9"/>
  <c r="L40" i="9"/>
  <c r="G2" i="9"/>
  <c r="S2" i="28"/>
  <c r="S3" i="28"/>
  <c r="S4" i="28"/>
  <c r="S5" i="28"/>
  <c r="S6" i="28"/>
  <c r="S7" i="28"/>
  <c r="S8" i="28"/>
  <c r="S9" i="28"/>
  <c r="S10" i="28"/>
  <c r="S11" i="28"/>
  <c r="S12" i="28"/>
  <c r="S13" i="28"/>
  <c r="S14" i="28"/>
  <c r="S15" i="28"/>
  <c r="S16" i="28"/>
  <c r="S17" i="28"/>
  <c r="Y17" i="28" s="1"/>
  <c r="S18" i="28"/>
  <c r="S19" i="28"/>
  <c r="Y19" i="28" s="1"/>
  <c r="S20" i="28"/>
  <c r="Y20" i="28" s="1"/>
  <c r="S21" i="28"/>
  <c r="S22" i="28"/>
  <c r="Y22" i="28" s="1"/>
  <c r="S23" i="28"/>
  <c r="Y23" i="28" s="1"/>
  <c r="S24" i="28"/>
  <c r="S25" i="28"/>
  <c r="Y25" i="28" s="1"/>
  <c r="S26" i="28"/>
  <c r="F30" i="26"/>
  <c r="F29" i="26"/>
  <c r="F28" i="26"/>
  <c r="F27" i="26"/>
  <c r="S29" i="28"/>
  <c r="Y29" i="28" s="1"/>
  <c r="Y26" i="28"/>
  <c r="S30" i="28"/>
  <c r="Y30" i="28" s="1"/>
  <c r="S27" i="28"/>
  <c r="Y27" i="28" s="1"/>
  <c r="S31" i="28"/>
  <c r="Y31" i="28"/>
  <c r="Y24" i="28"/>
  <c r="S28" i="28"/>
  <c r="Y28" i="28" s="1"/>
  <c r="S32" i="28"/>
  <c r="S33" i="28"/>
  <c r="Y33" i="28"/>
  <c r="S34" i="28"/>
  <c r="Y34" i="28" s="1"/>
  <c r="S35" i="28"/>
  <c r="Y35" i="28"/>
  <c r="S36" i="28"/>
  <c r="Y36" i="28"/>
  <c r="S37" i="28"/>
  <c r="Y37" i="28" s="1"/>
  <c r="S38" i="28"/>
  <c r="Y38" i="28"/>
  <c r="S39" i="28"/>
  <c r="Y39" i="28"/>
  <c r="S40" i="28"/>
  <c r="Y40" i="28" s="1"/>
  <c r="S41" i="28"/>
  <c r="S42" i="28"/>
  <c r="S43" i="28"/>
  <c r="S44" i="28"/>
  <c r="Y44" i="28"/>
  <c r="S45" i="28"/>
  <c r="Y45" i="28" s="1"/>
  <c r="S46" i="28"/>
  <c r="Y46" i="28" s="1"/>
  <c r="S47" i="28"/>
  <c r="Y47" i="28"/>
  <c r="S48" i="28"/>
  <c r="Y48" i="28"/>
  <c r="S49" i="28"/>
  <c r="Y49" i="28"/>
  <c r="S50" i="28"/>
  <c r="S51" i="28"/>
  <c r="S52" i="28"/>
  <c r="Y52" i="28"/>
  <c r="S53" i="28"/>
  <c r="Y53" i="28"/>
  <c r="S54" i="28"/>
  <c r="Y54" i="28"/>
  <c r="S55" i="28"/>
  <c r="Y55" i="28" s="1"/>
  <c r="S56" i="28"/>
  <c r="Y56" i="28" s="1"/>
  <c r="S57" i="28"/>
  <c r="Y57" i="28" s="1"/>
  <c r="S58" i="28"/>
  <c r="Y58" i="28" s="1"/>
  <c r="S59" i="28"/>
  <c r="S60" i="28"/>
  <c r="S61" i="28"/>
  <c r="Y61" i="28"/>
  <c r="S62" i="28"/>
  <c r="Y62" i="28" s="1"/>
  <c r="S63" i="28"/>
  <c r="Y63" i="28" s="1"/>
  <c r="S64" i="28"/>
  <c r="Y64" i="28"/>
  <c r="S65" i="28"/>
  <c r="Y65" i="28"/>
  <c r="S66" i="28"/>
  <c r="Y66" i="28" s="1"/>
  <c r="S67" i="28"/>
  <c r="Y67" i="28"/>
  <c r="S68" i="28"/>
  <c r="Y68" i="28"/>
  <c r="S69" i="28"/>
  <c r="S70" i="28"/>
  <c r="Y70" i="28"/>
  <c r="S71" i="28"/>
  <c r="Y71" i="28"/>
  <c r="S72" i="28"/>
  <c r="Y72" i="28" s="1"/>
  <c r="S73" i="28"/>
  <c r="Y73" i="28" s="1"/>
  <c r="S74" i="28"/>
  <c r="S75" i="28"/>
  <c r="S76" i="28"/>
  <c r="Y76" i="28"/>
  <c r="S77" i="28"/>
  <c r="Y77" i="28" s="1"/>
  <c r="S78" i="28"/>
  <c r="Y78" i="28" s="1"/>
  <c r="S79" i="28"/>
  <c r="S80" i="28"/>
  <c r="Y80" i="28"/>
  <c r="Y21" i="28"/>
  <c r="Y18" i="28"/>
  <c r="Y42" i="28"/>
  <c r="Y50" i="28"/>
  <c r="Y51" i="28"/>
  <c r="Y74" i="28"/>
  <c r="Y79" i="28"/>
  <c r="U80" i="28"/>
  <c r="D80" i="28"/>
  <c r="B80" i="28"/>
  <c r="U79" i="28"/>
  <c r="D79" i="28"/>
  <c r="B79" i="28"/>
  <c r="U78" i="28"/>
  <c r="D78" i="28"/>
  <c r="B78" i="28" s="1"/>
  <c r="U77" i="28"/>
  <c r="D77" i="28"/>
  <c r="B77" i="28" s="1"/>
  <c r="U76" i="28"/>
  <c r="D76" i="28"/>
  <c r="B76" i="28" s="1"/>
  <c r="U75" i="28"/>
  <c r="D75" i="28"/>
  <c r="B75" i="28"/>
  <c r="U74" i="28"/>
  <c r="D74" i="28"/>
  <c r="B74" i="28"/>
  <c r="U73" i="28"/>
  <c r="D73" i="28"/>
  <c r="B73" i="28"/>
  <c r="U72" i="28"/>
  <c r="D72" i="28"/>
  <c r="B72" i="28"/>
  <c r="U71" i="28"/>
  <c r="D71" i="28"/>
  <c r="B71" i="28" s="1"/>
  <c r="U70" i="28"/>
  <c r="D70" i="28"/>
  <c r="B70" i="28" s="1"/>
  <c r="U69" i="28"/>
  <c r="D69" i="28"/>
  <c r="B69" i="28" s="1"/>
  <c r="U68" i="28"/>
  <c r="D68" i="28"/>
  <c r="B68" i="28"/>
  <c r="U67" i="28"/>
  <c r="D67" i="28"/>
  <c r="B67" i="28"/>
  <c r="U66" i="28"/>
  <c r="D66" i="28"/>
  <c r="B66" i="28"/>
  <c r="U65" i="28"/>
  <c r="D65" i="28"/>
  <c r="B65" i="28" s="1"/>
  <c r="U64" i="28"/>
  <c r="D64" i="28"/>
  <c r="B64" i="28"/>
  <c r="U63" i="28"/>
  <c r="D63" i="28"/>
  <c r="B63" i="28" s="1"/>
  <c r="U62" i="28"/>
  <c r="D62" i="28"/>
  <c r="B62" i="28" s="1"/>
  <c r="U61" i="28"/>
  <c r="D61" i="28"/>
  <c r="B61" i="28" s="1"/>
  <c r="U60" i="28"/>
  <c r="D60" i="28"/>
  <c r="B60" i="28"/>
  <c r="U59" i="28"/>
  <c r="D59" i="28"/>
  <c r="B59" i="28"/>
  <c r="U58" i="28"/>
  <c r="D58" i="28"/>
  <c r="B58" i="28"/>
  <c r="U57" i="28"/>
  <c r="D57" i="28"/>
  <c r="B57" i="28" s="1"/>
  <c r="U56" i="28"/>
  <c r="D56" i="28"/>
  <c r="B56" i="28"/>
  <c r="U55" i="28"/>
  <c r="D55" i="28"/>
  <c r="B55" i="28"/>
  <c r="U54" i="28"/>
  <c r="D54" i="28"/>
  <c r="B54" i="28" s="1"/>
  <c r="U53" i="28"/>
  <c r="D53" i="28"/>
  <c r="B53" i="28" s="1"/>
  <c r="U52" i="28"/>
  <c r="D52" i="28"/>
  <c r="B52" i="28" s="1"/>
  <c r="U51" i="28"/>
  <c r="D51" i="28"/>
  <c r="B51" i="28"/>
  <c r="U50" i="28"/>
  <c r="D50" i="28"/>
  <c r="B50" i="28"/>
  <c r="U49" i="28"/>
  <c r="D49" i="28"/>
  <c r="B49" i="28"/>
  <c r="U48" i="28"/>
  <c r="D48" i="28"/>
  <c r="B48" i="28"/>
  <c r="U47" i="28"/>
  <c r="D47" i="28"/>
  <c r="B47" i="28"/>
  <c r="U46" i="28"/>
  <c r="D46" i="28"/>
  <c r="B46" i="28" s="1"/>
  <c r="U45" i="28"/>
  <c r="D45" i="28"/>
  <c r="B45" i="28" s="1"/>
  <c r="U44" i="28"/>
  <c r="D44" i="28"/>
  <c r="B44" i="28" s="1"/>
  <c r="U43" i="28"/>
  <c r="D43" i="28"/>
  <c r="B43" i="28"/>
  <c r="U42" i="28"/>
  <c r="D42" i="28"/>
  <c r="B42" i="28"/>
  <c r="U41" i="28"/>
  <c r="D41" i="28"/>
  <c r="B41" i="28"/>
  <c r="U40" i="28"/>
  <c r="D40" i="28"/>
  <c r="B40" i="28"/>
  <c r="U39" i="28"/>
  <c r="D39" i="28"/>
  <c r="B39" i="28" s="1"/>
  <c r="U38" i="28"/>
  <c r="D38" i="28"/>
  <c r="B38" i="28" s="1"/>
  <c r="U37" i="28"/>
  <c r="D37" i="28"/>
  <c r="B37" i="28" s="1"/>
  <c r="U36" i="28"/>
  <c r="D36" i="28"/>
  <c r="B36" i="28" s="1"/>
  <c r="U35" i="28"/>
  <c r="D35" i="28"/>
  <c r="B35" i="28"/>
  <c r="U34" i="28"/>
  <c r="D34" i="28"/>
  <c r="B34" i="28"/>
  <c r="U33" i="28"/>
  <c r="D33" i="28"/>
  <c r="B33" i="28" s="1"/>
  <c r="U32" i="28"/>
  <c r="D32" i="28"/>
  <c r="B32" i="28"/>
  <c r="U28" i="28"/>
  <c r="D28" i="28"/>
  <c r="B28" i="28"/>
  <c r="U24" i="28"/>
  <c r="D24" i="28"/>
  <c r="B24" i="28" s="1"/>
  <c r="U20" i="28"/>
  <c r="D20" i="28"/>
  <c r="B20" i="28" s="1"/>
  <c r="U31" i="28"/>
  <c r="D31" i="28"/>
  <c r="B31" i="28" s="1"/>
  <c r="U27" i="28"/>
  <c r="D27" i="28"/>
  <c r="B27" i="28"/>
  <c r="U23" i="28"/>
  <c r="D23" i="28"/>
  <c r="B23" i="28"/>
  <c r="U19" i="28"/>
  <c r="D19" i="28"/>
  <c r="B19" i="28"/>
  <c r="U30" i="28"/>
  <c r="D30" i="28"/>
  <c r="B30" i="28"/>
  <c r="U26" i="28"/>
  <c r="D26" i="28"/>
  <c r="B26" i="28"/>
  <c r="U22" i="28"/>
  <c r="D22" i="28"/>
  <c r="B22" i="28" s="1"/>
  <c r="U18" i="28"/>
  <c r="D18" i="28"/>
  <c r="B18" i="28" s="1"/>
  <c r="U29" i="28"/>
  <c r="D29" i="28"/>
  <c r="B29" i="28" s="1"/>
  <c r="AB25" i="28"/>
  <c r="U25" i="28"/>
  <c r="D25" i="28"/>
  <c r="B25" i="28"/>
  <c r="U21" i="28"/>
  <c r="D21" i="28"/>
  <c r="B21" i="28"/>
  <c r="AB17" i="28"/>
  <c r="U17" i="28"/>
  <c r="D17" i="28"/>
  <c r="B17" i="28"/>
  <c r="AY217" i="4"/>
  <c r="AY219" i="4"/>
  <c r="AY220" i="4"/>
  <c r="AY221" i="4"/>
  <c r="AY222" i="4"/>
  <c r="AY223" i="4"/>
  <c r="AY224" i="4"/>
  <c r="AY225" i="4"/>
  <c r="AY226" i="4"/>
  <c r="AY227" i="4"/>
  <c r="AY228" i="4"/>
  <c r="AY229" i="4"/>
  <c r="AY230" i="4"/>
  <c r="AY231" i="4"/>
  <c r="AY232" i="4"/>
  <c r="AY233" i="4"/>
  <c r="AY234" i="4"/>
  <c r="AY235" i="4"/>
  <c r="AY236" i="4"/>
  <c r="AY237" i="4"/>
  <c r="AY218" i="4"/>
  <c r="AU220" i="4"/>
  <c r="AU221" i="4"/>
  <c r="AU222" i="4"/>
  <c r="AU223" i="4"/>
  <c r="AU224" i="4"/>
  <c r="AU225" i="4"/>
  <c r="AU226" i="4"/>
  <c r="AU227" i="4"/>
  <c r="AU228" i="4"/>
  <c r="AU229" i="4"/>
  <c r="AU230" i="4"/>
  <c r="AU231" i="4"/>
  <c r="AU232" i="4"/>
  <c r="AU233" i="4"/>
  <c r="AU234" i="4"/>
  <c r="AU235" i="4"/>
  <c r="AU236" i="4"/>
  <c r="AU237" i="4"/>
  <c r="AU217" i="4"/>
  <c r="AU218" i="4"/>
  <c r="AU219" i="4"/>
  <c r="R217" i="4"/>
  <c r="Q217" i="4" s="1"/>
  <c r="Y217" i="4"/>
  <c r="Z217" i="4" s="1"/>
  <c r="X217" i="4"/>
  <c r="AF217" i="4"/>
  <c r="AL217" i="4"/>
  <c r="AK217" i="4" s="1"/>
  <c r="AP217" i="4"/>
  <c r="AZ217" i="4"/>
  <c r="R218" i="4"/>
  <c r="Y218" i="4"/>
  <c r="X218" i="4" s="1"/>
  <c r="AF218" i="4"/>
  <c r="AL218" i="4"/>
  <c r="AK218" i="4"/>
  <c r="AP218" i="4"/>
  <c r="AZ218" i="4"/>
  <c r="R219" i="4"/>
  <c r="Y219" i="4"/>
  <c r="AF219" i="4"/>
  <c r="AL219" i="4"/>
  <c r="AK219" i="4"/>
  <c r="AP219" i="4"/>
  <c r="AR219" i="4" s="1"/>
  <c r="AZ219" i="4"/>
  <c r="R220" i="4"/>
  <c r="Y220" i="4"/>
  <c r="X220" i="4" s="1"/>
  <c r="AF220" i="4"/>
  <c r="AL220" i="4"/>
  <c r="AK220" i="4" s="1"/>
  <c r="AP220" i="4"/>
  <c r="AZ220" i="4"/>
  <c r="R221" i="4"/>
  <c r="Y221" i="4"/>
  <c r="AF221" i="4"/>
  <c r="AL221" i="4"/>
  <c r="AK221" i="4"/>
  <c r="AP221" i="4"/>
  <c r="AZ221" i="4"/>
  <c r="R222" i="4"/>
  <c r="Y222" i="4"/>
  <c r="X222" i="4" s="1"/>
  <c r="AF222" i="4"/>
  <c r="AL222" i="4"/>
  <c r="AK222" i="4" s="1"/>
  <c r="AP222" i="4"/>
  <c r="AZ222" i="4"/>
  <c r="R223" i="4"/>
  <c r="Q223" i="4"/>
  <c r="Y223" i="4"/>
  <c r="AF223" i="4"/>
  <c r="AL223" i="4"/>
  <c r="AK223" i="4" s="1"/>
  <c r="AP223" i="4"/>
  <c r="AZ223" i="4"/>
  <c r="R224" i="4"/>
  <c r="Q224" i="4" s="1"/>
  <c r="Y224" i="4"/>
  <c r="X224" i="4" s="1"/>
  <c r="AF224" i="4"/>
  <c r="AL224" i="4"/>
  <c r="AK224" i="4" s="1"/>
  <c r="AP224" i="4"/>
  <c r="AR224" i="4" s="1"/>
  <c r="AZ224" i="4"/>
  <c r="R225" i="4"/>
  <c r="S225" i="4"/>
  <c r="Y225" i="4"/>
  <c r="X225" i="4"/>
  <c r="AF225" i="4"/>
  <c r="AL225" i="4"/>
  <c r="AK225" i="4" s="1"/>
  <c r="AP225" i="4"/>
  <c r="AZ225" i="4"/>
  <c r="R226" i="4"/>
  <c r="Q226" i="4" s="1"/>
  <c r="Y226" i="4"/>
  <c r="AF226" i="4"/>
  <c r="AL226" i="4"/>
  <c r="AK226" i="4" s="1"/>
  <c r="AP226" i="4"/>
  <c r="AZ226" i="4"/>
  <c r="R227" i="4"/>
  <c r="S227" i="4"/>
  <c r="Y227" i="4"/>
  <c r="AF227" i="4"/>
  <c r="AL227" i="4"/>
  <c r="AK227" i="4"/>
  <c r="AP227" i="4"/>
  <c r="AR227" i="4" s="1"/>
  <c r="AZ227" i="4"/>
  <c r="R228" i="4"/>
  <c r="Y228" i="4"/>
  <c r="AF228" i="4"/>
  <c r="AL228" i="4"/>
  <c r="AK228" i="4" s="1"/>
  <c r="AP228" i="4"/>
  <c r="AZ228" i="4"/>
  <c r="R229" i="4"/>
  <c r="Y229" i="4"/>
  <c r="X229" i="4"/>
  <c r="AF229" i="4"/>
  <c r="AL229" i="4"/>
  <c r="AK229" i="4" s="1"/>
  <c r="AP229" i="4"/>
  <c r="AZ229" i="4"/>
  <c r="R230" i="4"/>
  <c r="Y230" i="4"/>
  <c r="AF230" i="4"/>
  <c r="AL230" i="4"/>
  <c r="AK230" i="4"/>
  <c r="AP230" i="4"/>
  <c r="AZ230" i="4"/>
  <c r="R231" i="4"/>
  <c r="Q231" i="4" s="1"/>
  <c r="Y231" i="4"/>
  <c r="AF231" i="4"/>
  <c r="AL231" i="4"/>
  <c r="AK231" i="4" s="1"/>
  <c r="AP231" i="4"/>
  <c r="AZ231" i="4"/>
  <c r="R232" i="4"/>
  <c r="Q232" i="4" s="1"/>
  <c r="Y232" i="4"/>
  <c r="X232" i="4" s="1"/>
  <c r="AF232" i="4"/>
  <c r="AL232" i="4"/>
  <c r="AK232" i="4"/>
  <c r="AP232" i="4"/>
  <c r="AZ232" i="4"/>
  <c r="R233" i="4"/>
  <c r="Y233" i="4"/>
  <c r="X233" i="4" s="1"/>
  <c r="AF233" i="4"/>
  <c r="AL233" i="4"/>
  <c r="AK233" i="4"/>
  <c r="AP233" i="4"/>
  <c r="AR233" i="4" s="1"/>
  <c r="AZ233" i="4"/>
  <c r="R234" i="4"/>
  <c r="S234" i="4" s="1"/>
  <c r="Q234" i="4"/>
  <c r="Y234" i="4"/>
  <c r="Z234" i="4" s="1"/>
  <c r="X234" i="4"/>
  <c r="AF234" i="4"/>
  <c r="AL234" i="4"/>
  <c r="AK234" i="4" s="1"/>
  <c r="AP234" i="4"/>
  <c r="AZ234" i="4"/>
  <c r="R235" i="4"/>
  <c r="Y235" i="4"/>
  <c r="AF235" i="4"/>
  <c r="AL235" i="4"/>
  <c r="AK235" i="4" s="1"/>
  <c r="AP235" i="4"/>
  <c r="AR235" i="4" s="1"/>
  <c r="AZ235" i="4"/>
  <c r="R236" i="4"/>
  <c r="Y236" i="4"/>
  <c r="AF236" i="4"/>
  <c r="AL236" i="4"/>
  <c r="AK236" i="4" s="1"/>
  <c r="AP236" i="4"/>
  <c r="AZ236" i="4"/>
  <c r="R237" i="4"/>
  <c r="S237" i="4" s="1"/>
  <c r="Q237" i="4"/>
  <c r="Y237" i="4"/>
  <c r="AF237" i="4"/>
  <c r="AL237" i="4"/>
  <c r="AK237" i="4" s="1"/>
  <c r="AP237" i="4"/>
  <c r="AR237" i="4" s="1"/>
  <c r="AZ237" i="4"/>
  <c r="AR225" i="4"/>
  <c r="AR223" i="4"/>
  <c r="AR218" i="4"/>
  <c r="Q225" i="4"/>
  <c r="Z225" i="4"/>
  <c r="Q228" i="4"/>
  <c r="AR226" i="4"/>
  <c r="AR221" i="4"/>
  <c r="AR230" i="4"/>
  <c r="S228" i="4"/>
  <c r="S223" i="4"/>
  <c r="S232" i="4"/>
  <c r="S231" i="4"/>
  <c r="AR229" i="4"/>
  <c r="AR220" i="4"/>
  <c r="S217" i="4"/>
  <c r="Q227" i="4"/>
  <c r="AR228" i="4"/>
  <c r="AR222" i="4"/>
  <c r="S218" i="4"/>
  <c r="R46" i="4"/>
  <c r="AR21" i="8"/>
  <c r="AN13" i="15"/>
  <c r="AN17" i="15"/>
  <c r="AM13" i="15"/>
  <c r="AM17" i="15" s="1"/>
  <c r="AL13" i="15"/>
  <c r="AL17" i="15" s="1"/>
  <c r="AK13" i="15"/>
  <c r="AK17" i="15" s="1"/>
  <c r="AJ13" i="15"/>
  <c r="AJ17" i="15" s="1"/>
  <c r="AI13" i="15"/>
  <c r="AI17" i="15" s="1"/>
  <c r="AH13" i="15"/>
  <c r="AG13" i="15"/>
  <c r="AF13" i="15"/>
  <c r="AF17" i="15" s="1"/>
  <c r="AE13" i="15"/>
  <c r="AE17" i="15"/>
  <c r="AD13" i="15"/>
  <c r="AD17" i="15" s="1"/>
  <c r="AC13" i="15"/>
  <c r="AC17" i="15" s="1"/>
  <c r="AB13" i="15"/>
  <c r="AA13" i="15"/>
  <c r="Z13" i="15"/>
  <c r="Z17" i="15" s="1"/>
  <c r="Y13" i="15"/>
  <c r="Y17" i="15"/>
  <c r="X13" i="15"/>
  <c r="X17" i="15" s="1"/>
  <c r="W13" i="15"/>
  <c r="W17" i="15"/>
  <c r="V13" i="15"/>
  <c r="U13" i="15"/>
  <c r="U17" i="15" s="1"/>
  <c r="T13" i="15"/>
  <c r="S13" i="15"/>
  <c r="R13" i="15"/>
  <c r="R17" i="15" s="1"/>
  <c r="Q13" i="15"/>
  <c r="Q17" i="15" s="1"/>
  <c r="P13" i="15"/>
  <c r="P17" i="15"/>
  <c r="O13" i="15"/>
  <c r="O17" i="15" s="1"/>
  <c r="N13" i="15"/>
  <c r="N17" i="15"/>
  <c r="M13" i="15"/>
  <c r="L13" i="15"/>
  <c r="L17" i="15" s="1"/>
  <c r="K13" i="15"/>
  <c r="J13" i="15"/>
  <c r="J17" i="15" s="1"/>
  <c r="AB13" i="16"/>
  <c r="AB6" i="16" s="1"/>
  <c r="AC13" i="16"/>
  <c r="AC6" i="16" s="1"/>
  <c r="AD13" i="16"/>
  <c r="AD6" i="16"/>
  <c r="AE13" i="16"/>
  <c r="AE6" i="16"/>
  <c r="AF13" i="16"/>
  <c r="AF6" i="16"/>
  <c r="AG13" i="16"/>
  <c r="AG6" i="16" s="1"/>
  <c r="AH13" i="16"/>
  <c r="AH6" i="16"/>
  <c r="AI13" i="16"/>
  <c r="AI6" i="16"/>
  <c r="AJ13" i="16"/>
  <c r="AJ6" i="16"/>
  <c r="AK13" i="16"/>
  <c r="AK6" i="16" s="1"/>
  <c r="AL13" i="16"/>
  <c r="AL6" i="16"/>
  <c r="AM13" i="16"/>
  <c r="AM6" i="16"/>
  <c r="AN13" i="16"/>
  <c r="AN6" i="16"/>
  <c r="I13" i="16"/>
  <c r="I6" i="16" s="1"/>
  <c r="J13" i="16"/>
  <c r="J6" i="16"/>
  <c r="K13" i="16"/>
  <c r="K6" i="16"/>
  <c r="L13" i="16"/>
  <c r="L6" i="16" s="1"/>
  <c r="M13" i="16"/>
  <c r="M6" i="16" s="1"/>
  <c r="N13" i="16"/>
  <c r="N6" i="16"/>
  <c r="O13" i="16"/>
  <c r="O6" i="16"/>
  <c r="P13" i="16"/>
  <c r="P6" i="16"/>
  <c r="Q13" i="16"/>
  <c r="Q6" i="16" s="1"/>
  <c r="R13" i="16"/>
  <c r="R6" i="16"/>
  <c r="S13" i="16"/>
  <c r="S6" i="16"/>
  <c r="T13" i="16"/>
  <c r="T6" i="16"/>
  <c r="U13" i="16"/>
  <c r="U6" i="16" s="1"/>
  <c r="V13" i="16"/>
  <c r="V6" i="16"/>
  <c r="W13" i="16"/>
  <c r="W6" i="16"/>
  <c r="X13" i="16"/>
  <c r="X6" i="16" s="1"/>
  <c r="Y13" i="16"/>
  <c r="Y6" i="16" s="1"/>
  <c r="Z13" i="16"/>
  <c r="Z6" i="16"/>
  <c r="AA13" i="16"/>
  <c r="AA6" i="16"/>
  <c r="H13" i="16"/>
  <c r="H6" i="16"/>
  <c r="G13" i="16"/>
  <c r="G6" i="16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M13" i="18" s="1"/>
  <c r="N8" i="18"/>
  <c r="O8" i="18"/>
  <c r="P8" i="18"/>
  <c r="Q8" i="18"/>
  <c r="R8" i="18"/>
  <c r="S8" i="18"/>
  <c r="T8" i="18"/>
  <c r="U8" i="18"/>
  <c r="U13" i="18" s="1"/>
  <c r="V8" i="18"/>
  <c r="W8" i="18"/>
  <c r="X8" i="18"/>
  <c r="Y8" i="18"/>
  <c r="Z8" i="18"/>
  <c r="AA8" i="18"/>
  <c r="AB8" i="18"/>
  <c r="AC8" i="18"/>
  <c r="AC13" i="18" s="1"/>
  <c r="AD8" i="18"/>
  <c r="AE8" i="18"/>
  <c r="AF8" i="18"/>
  <c r="AG8" i="18"/>
  <c r="AH8" i="18"/>
  <c r="AI8" i="18"/>
  <c r="AJ8" i="18"/>
  <c r="AK8" i="18"/>
  <c r="AK13" i="18" s="1"/>
  <c r="AL8" i="18"/>
  <c r="AM8" i="18"/>
  <c r="AN8" i="18"/>
  <c r="E3" i="18"/>
  <c r="E4" i="18"/>
  <c r="E5" i="18"/>
  <c r="E6" i="18"/>
  <c r="E7" i="18"/>
  <c r="E8" i="18"/>
  <c r="E2" i="18"/>
  <c r="E42" i="16"/>
  <c r="E2" i="16"/>
  <c r="F42" i="16"/>
  <c r="F2" i="16"/>
  <c r="G42" i="16"/>
  <c r="H42" i="16"/>
  <c r="H2" i="16" s="1"/>
  <c r="I42" i="16"/>
  <c r="I2" i="16"/>
  <c r="J42" i="16"/>
  <c r="K42" i="16"/>
  <c r="K2" i="16" s="1"/>
  <c r="L42" i="16"/>
  <c r="L2" i="16"/>
  <c r="M42" i="16"/>
  <c r="M2" i="16" s="1"/>
  <c r="N42" i="16"/>
  <c r="N2" i="16" s="1"/>
  <c r="O42" i="16"/>
  <c r="O2" i="16" s="1"/>
  <c r="P42" i="16"/>
  <c r="P2" i="16" s="1"/>
  <c r="Q42" i="16"/>
  <c r="Q2" i="16"/>
  <c r="R42" i="16"/>
  <c r="R2" i="16"/>
  <c r="S42" i="16"/>
  <c r="S2" i="16" s="1"/>
  <c r="T42" i="16"/>
  <c r="T2" i="16" s="1"/>
  <c r="U42" i="16"/>
  <c r="U2" i="16"/>
  <c r="V42" i="16"/>
  <c r="V2" i="16"/>
  <c r="W42" i="16"/>
  <c r="W2" i="16" s="1"/>
  <c r="X42" i="16"/>
  <c r="X2" i="16" s="1"/>
  <c r="Y42" i="16"/>
  <c r="Y2" i="16"/>
  <c r="Z42" i="16"/>
  <c r="Z2" i="16"/>
  <c r="AA42" i="16"/>
  <c r="AA2" i="16"/>
  <c r="AB42" i="16"/>
  <c r="AB2" i="16" s="1"/>
  <c r="AC42" i="16"/>
  <c r="AC2" i="16"/>
  <c r="AD42" i="16"/>
  <c r="AD2" i="16"/>
  <c r="AE42" i="16"/>
  <c r="AE2" i="16" s="1"/>
  <c r="AF42" i="16"/>
  <c r="AF2" i="16" s="1"/>
  <c r="AG42" i="16"/>
  <c r="AG2" i="16"/>
  <c r="AH42" i="16"/>
  <c r="AH2" i="16"/>
  <c r="AI42" i="16"/>
  <c r="AI2" i="16"/>
  <c r="AJ42" i="16"/>
  <c r="AJ2" i="16" s="1"/>
  <c r="AK42" i="16"/>
  <c r="AK2" i="16"/>
  <c r="AL42" i="16"/>
  <c r="AL2" i="16"/>
  <c r="AM42" i="16"/>
  <c r="AM2" i="16"/>
  <c r="AN42" i="16"/>
  <c r="AN2" i="16" s="1"/>
  <c r="E43" i="16"/>
  <c r="E3" i="16"/>
  <c r="F43" i="16"/>
  <c r="F3" i="16"/>
  <c r="G43" i="16"/>
  <c r="G3" i="16" s="1"/>
  <c r="H43" i="16"/>
  <c r="H3" i="16" s="1"/>
  <c r="I43" i="16"/>
  <c r="I3" i="16"/>
  <c r="J43" i="16"/>
  <c r="J3" i="16"/>
  <c r="K43" i="16"/>
  <c r="K3" i="16"/>
  <c r="L43" i="16"/>
  <c r="L3" i="16" s="1"/>
  <c r="M43" i="16"/>
  <c r="M3" i="16"/>
  <c r="N43" i="16"/>
  <c r="N3" i="16"/>
  <c r="O43" i="16"/>
  <c r="O3" i="16" s="1"/>
  <c r="P43" i="16"/>
  <c r="P3" i="16" s="1"/>
  <c r="Q43" i="16"/>
  <c r="Q3" i="16"/>
  <c r="R43" i="16"/>
  <c r="R3" i="16"/>
  <c r="S43" i="16"/>
  <c r="S3" i="16" s="1"/>
  <c r="T43" i="16"/>
  <c r="T3" i="16" s="1"/>
  <c r="U43" i="16"/>
  <c r="U3" i="16"/>
  <c r="V43" i="16"/>
  <c r="V3" i="16"/>
  <c r="W43" i="16"/>
  <c r="W3" i="16"/>
  <c r="X43" i="16"/>
  <c r="X3" i="16" s="1"/>
  <c r="Y43" i="16"/>
  <c r="Y3" i="16"/>
  <c r="Z43" i="16"/>
  <c r="Z3" i="16"/>
  <c r="AA43" i="16"/>
  <c r="AB43" i="16"/>
  <c r="AB3" i="16" s="1"/>
  <c r="AC43" i="16"/>
  <c r="AC3" i="16"/>
  <c r="AD43" i="16"/>
  <c r="AD3" i="16"/>
  <c r="AE43" i="16"/>
  <c r="AE3" i="16" s="1"/>
  <c r="AF43" i="16"/>
  <c r="AG43" i="16"/>
  <c r="AG3" i="16" s="1"/>
  <c r="AH43" i="16"/>
  <c r="AI43" i="16"/>
  <c r="AI3" i="16"/>
  <c r="AJ43" i="16"/>
  <c r="AJ3" i="16"/>
  <c r="AK43" i="16"/>
  <c r="AK3" i="16" s="1"/>
  <c r="AL43" i="16"/>
  <c r="AL3" i="16"/>
  <c r="AM43" i="16"/>
  <c r="AM3" i="16"/>
  <c r="AN43" i="16"/>
  <c r="E44" i="16"/>
  <c r="E4" i="16"/>
  <c r="F44" i="16"/>
  <c r="F4" i="16" s="1"/>
  <c r="G44" i="16"/>
  <c r="G4" i="16" s="1"/>
  <c r="H44" i="16"/>
  <c r="H4" i="16" s="1"/>
  <c r="I44" i="16"/>
  <c r="I4" i="16"/>
  <c r="J44" i="16"/>
  <c r="J4" i="16" s="1"/>
  <c r="K44" i="16"/>
  <c r="K4" i="16" s="1"/>
  <c r="L44" i="16"/>
  <c r="L4" i="16" s="1"/>
  <c r="M44" i="16"/>
  <c r="M4" i="16" s="1"/>
  <c r="N44" i="16"/>
  <c r="N4" i="16" s="1"/>
  <c r="O44" i="16"/>
  <c r="O4" i="16" s="1"/>
  <c r="P44" i="16"/>
  <c r="P4" i="16"/>
  <c r="Q44" i="16"/>
  <c r="Q4" i="16" s="1"/>
  <c r="R44" i="16"/>
  <c r="R4" i="16" s="1"/>
  <c r="S44" i="16"/>
  <c r="S4" i="16" s="1"/>
  <c r="T44" i="16"/>
  <c r="T4" i="16"/>
  <c r="U44" i="16"/>
  <c r="U4" i="16"/>
  <c r="V44" i="16"/>
  <c r="V4" i="16" s="1"/>
  <c r="W44" i="16"/>
  <c r="W4" i="16" s="1"/>
  <c r="X44" i="16"/>
  <c r="X4" i="16" s="1"/>
  <c r="Y44" i="16"/>
  <c r="Y4" i="16"/>
  <c r="Z44" i="16"/>
  <c r="AA44" i="16"/>
  <c r="AA4" i="16"/>
  <c r="AB44" i="16"/>
  <c r="AB4" i="16"/>
  <c r="AC44" i="16"/>
  <c r="AC4" i="16" s="1"/>
  <c r="AD44" i="16"/>
  <c r="AD4" i="16" s="1"/>
  <c r="AE44" i="16"/>
  <c r="AE4" i="16"/>
  <c r="AF44" i="16"/>
  <c r="AF4" i="16"/>
  <c r="AG44" i="16"/>
  <c r="AG4" i="16" s="1"/>
  <c r="AH44" i="16"/>
  <c r="AH4" i="16" s="1"/>
  <c r="AI44" i="16"/>
  <c r="AI4" i="16"/>
  <c r="AJ44" i="16"/>
  <c r="AJ4" i="16"/>
  <c r="AK44" i="16"/>
  <c r="AK4" i="16"/>
  <c r="AL44" i="16"/>
  <c r="AL4" i="16" s="1"/>
  <c r="AM44" i="16"/>
  <c r="AM4" i="16"/>
  <c r="AN44" i="16"/>
  <c r="AN4" i="16"/>
  <c r="E45" i="16"/>
  <c r="E5" i="16" s="1"/>
  <c r="F45" i="16"/>
  <c r="F5" i="16" s="1"/>
  <c r="G45" i="16"/>
  <c r="G5" i="16"/>
  <c r="H45" i="16"/>
  <c r="H5" i="16"/>
  <c r="I45" i="16"/>
  <c r="I5" i="16"/>
  <c r="J45" i="16"/>
  <c r="J5" i="16" s="1"/>
  <c r="K45" i="16"/>
  <c r="K5" i="16"/>
  <c r="L45" i="16"/>
  <c r="L5" i="16"/>
  <c r="M45" i="16"/>
  <c r="M5" i="16"/>
  <c r="N45" i="16"/>
  <c r="N5" i="16" s="1"/>
  <c r="O45" i="16"/>
  <c r="O5" i="16"/>
  <c r="P45" i="16"/>
  <c r="Q45" i="16"/>
  <c r="Q5" i="16"/>
  <c r="R45" i="16"/>
  <c r="R5" i="16"/>
  <c r="S45" i="16"/>
  <c r="S5" i="16" s="1"/>
  <c r="T45" i="16"/>
  <c r="T5" i="16" s="1"/>
  <c r="U45" i="16"/>
  <c r="U5" i="16" s="1"/>
  <c r="V45" i="16"/>
  <c r="V5" i="16"/>
  <c r="W45" i="16"/>
  <c r="W5" i="16" s="1"/>
  <c r="X45" i="16"/>
  <c r="X5" i="16" s="1"/>
  <c r="Y45" i="16"/>
  <c r="Y5" i="16"/>
  <c r="Z45" i="16"/>
  <c r="Z5" i="16" s="1"/>
  <c r="AA45" i="16"/>
  <c r="AA5" i="16" s="1"/>
  <c r="AB45" i="16"/>
  <c r="AB5" i="16" s="1"/>
  <c r="AC45" i="16"/>
  <c r="AC5" i="16"/>
  <c r="AD45" i="16"/>
  <c r="AD5" i="16"/>
  <c r="AE45" i="16"/>
  <c r="AE5" i="16" s="1"/>
  <c r="AF45" i="16"/>
  <c r="AF5" i="16" s="1"/>
  <c r="AG45" i="16"/>
  <c r="AG5" i="16"/>
  <c r="AH45" i="16"/>
  <c r="AH5" i="16"/>
  <c r="AI45" i="16"/>
  <c r="AI5" i="16" s="1"/>
  <c r="AJ45" i="16"/>
  <c r="AJ5" i="16" s="1"/>
  <c r="AK45" i="16"/>
  <c r="AK5" i="16" s="1"/>
  <c r="AL45" i="16"/>
  <c r="AL5" i="16"/>
  <c r="AM45" i="16"/>
  <c r="AM5" i="16" s="1"/>
  <c r="AN45" i="16"/>
  <c r="AN5" i="16" s="1"/>
  <c r="E47" i="16"/>
  <c r="E7" i="16" s="1"/>
  <c r="F47" i="16"/>
  <c r="F7" i="16" s="1"/>
  <c r="G47" i="16"/>
  <c r="G7" i="16" s="1"/>
  <c r="H47" i="16"/>
  <c r="H7" i="16" s="1"/>
  <c r="I47" i="16"/>
  <c r="I7" i="16"/>
  <c r="J47" i="16"/>
  <c r="J7" i="16"/>
  <c r="K47" i="16"/>
  <c r="K7" i="16" s="1"/>
  <c r="L47" i="16"/>
  <c r="L7" i="16" s="1"/>
  <c r="M47" i="16"/>
  <c r="M7" i="16"/>
  <c r="N47" i="16"/>
  <c r="N7" i="16"/>
  <c r="O47" i="16"/>
  <c r="O7" i="16" s="1"/>
  <c r="P47" i="16"/>
  <c r="P7" i="16" s="1"/>
  <c r="Q47" i="16"/>
  <c r="Q7" i="16" s="1"/>
  <c r="R47" i="16"/>
  <c r="R7" i="16"/>
  <c r="S47" i="16"/>
  <c r="S7" i="16" s="1"/>
  <c r="T47" i="16"/>
  <c r="T7" i="16" s="1"/>
  <c r="U47" i="16"/>
  <c r="U7" i="16" s="1"/>
  <c r="V47" i="16"/>
  <c r="V7" i="16" s="1"/>
  <c r="W47" i="16"/>
  <c r="W7" i="16" s="1"/>
  <c r="X47" i="16"/>
  <c r="X7" i="16" s="1"/>
  <c r="Y47" i="16"/>
  <c r="Y7" i="16"/>
  <c r="Z47" i="16"/>
  <c r="Z7" i="16" s="1"/>
  <c r="AA47" i="16"/>
  <c r="AA7" i="16" s="1"/>
  <c r="AB47" i="16"/>
  <c r="AB7" i="16" s="1"/>
  <c r="AC47" i="16"/>
  <c r="AC7" i="16"/>
  <c r="AD47" i="16"/>
  <c r="AD7" i="16"/>
  <c r="AE47" i="16"/>
  <c r="AE7" i="16" s="1"/>
  <c r="AF47" i="16"/>
  <c r="AF7" i="16" s="1"/>
  <c r="AG47" i="16"/>
  <c r="AG7" i="16" s="1"/>
  <c r="AH47" i="16"/>
  <c r="AH7" i="16"/>
  <c r="AI47" i="16"/>
  <c r="AI7" i="16" s="1"/>
  <c r="AJ47" i="16"/>
  <c r="AJ7" i="16" s="1"/>
  <c r="AK47" i="16"/>
  <c r="AK7" i="16"/>
  <c r="AL47" i="16"/>
  <c r="AL7" i="16" s="1"/>
  <c r="AM47" i="16"/>
  <c r="AM7" i="16" s="1"/>
  <c r="AN47" i="16"/>
  <c r="E48" i="16"/>
  <c r="E8" i="16"/>
  <c r="F48" i="16"/>
  <c r="F8" i="16" s="1"/>
  <c r="G48" i="16"/>
  <c r="G8" i="16" s="1"/>
  <c r="H48" i="16"/>
  <c r="H8" i="16" s="1"/>
  <c r="I48" i="16"/>
  <c r="I8" i="16"/>
  <c r="J48" i="16"/>
  <c r="J8" i="16"/>
  <c r="K48" i="16"/>
  <c r="K8" i="16" s="1"/>
  <c r="L48" i="16"/>
  <c r="L8" i="16" s="1"/>
  <c r="M48" i="16"/>
  <c r="M8" i="16" s="1"/>
  <c r="N48" i="16"/>
  <c r="N8" i="16"/>
  <c r="O48" i="16"/>
  <c r="O8" i="16" s="1"/>
  <c r="P48" i="16"/>
  <c r="P8" i="16" s="1"/>
  <c r="Q48" i="16"/>
  <c r="Q8" i="16"/>
  <c r="R48" i="16"/>
  <c r="R8" i="16" s="1"/>
  <c r="S48" i="16"/>
  <c r="S8" i="16" s="1"/>
  <c r="T48" i="16"/>
  <c r="T8" i="16" s="1"/>
  <c r="U48" i="16"/>
  <c r="U8" i="16"/>
  <c r="V48" i="16"/>
  <c r="V8" i="16"/>
  <c r="W48" i="16"/>
  <c r="W8" i="16" s="1"/>
  <c r="X48" i="16"/>
  <c r="X8" i="16" s="1"/>
  <c r="Y48" i="16"/>
  <c r="Y8" i="16"/>
  <c r="Z48" i="16"/>
  <c r="Z8" i="16"/>
  <c r="AA48" i="16"/>
  <c r="AA8" i="16" s="1"/>
  <c r="AB48" i="16"/>
  <c r="AB8" i="16" s="1"/>
  <c r="AC48" i="16"/>
  <c r="AC8" i="16" s="1"/>
  <c r="AD48" i="16"/>
  <c r="AD8" i="16"/>
  <c r="AE48" i="16"/>
  <c r="AE8" i="16" s="1"/>
  <c r="AF48" i="16"/>
  <c r="AF8" i="16" s="1"/>
  <c r="AG48" i="16"/>
  <c r="AG8" i="16" s="1"/>
  <c r="AH48" i="16"/>
  <c r="AH8" i="16" s="1"/>
  <c r="AI48" i="16"/>
  <c r="AI8" i="16" s="1"/>
  <c r="AJ48" i="16"/>
  <c r="AJ8" i="16" s="1"/>
  <c r="AK48" i="16"/>
  <c r="AK8" i="16"/>
  <c r="AL48" i="16"/>
  <c r="AL8" i="16" s="1"/>
  <c r="AM48" i="16"/>
  <c r="AM8" i="16" s="1"/>
  <c r="AN48" i="16"/>
  <c r="AN8" i="16" s="1"/>
  <c r="C42" i="16"/>
  <c r="C2" i="16" s="1"/>
  <c r="D42" i="16"/>
  <c r="D2" i="16" s="1"/>
  <c r="C43" i="16"/>
  <c r="D43" i="16"/>
  <c r="C44" i="16"/>
  <c r="C4" i="16"/>
  <c r="D44" i="16"/>
  <c r="D4" i="16"/>
  <c r="C45" i="16"/>
  <c r="C5" i="16" s="1"/>
  <c r="D45" i="16"/>
  <c r="D5" i="16"/>
  <c r="C46" i="16"/>
  <c r="D46" i="16"/>
  <c r="C47" i="16"/>
  <c r="C7" i="16" s="1"/>
  <c r="D47" i="16"/>
  <c r="D7" i="16" s="1"/>
  <c r="C48" i="16"/>
  <c r="C8" i="16"/>
  <c r="D48" i="16"/>
  <c r="D8" i="16"/>
  <c r="B43" i="16"/>
  <c r="B3" i="16" s="1"/>
  <c r="B44" i="16"/>
  <c r="B4" i="16" s="1"/>
  <c r="B45" i="16"/>
  <c r="B5" i="16"/>
  <c r="B46" i="16"/>
  <c r="B47" i="16"/>
  <c r="B7" i="16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G88" i="18"/>
  <c r="G97" i="18" s="1"/>
  <c r="H88" i="18"/>
  <c r="H97" i="18" s="1"/>
  <c r="H46" i="16"/>
  <c r="I88" i="18"/>
  <c r="I97" i="18" s="1"/>
  <c r="J88" i="18"/>
  <c r="J97" i="18"/>
  <c r="J46" i="16" s="1"/>
  <c r="K88" i="18"/>
  <c r="K97" i="18"/>
  <c r="L88" i="18"/>
  <c r="L97" i="18"/>
  <c r="M88" i="18"/>
  <c r="M97" i="18" s="1"/>
  <c r="N88" i="18"/>
  <c r="N97" i="18" s="1"/>
  <c r="O88" i="18"/>
  <c r="O97" i="18"/>
  <c r="P88" i="18"/>
  <c r="P97" i="18" s="1"/>
  <c r="P46" i="16" s="1"/>
  <c r="Q88" i="18"/>
  <c r="Q97" i="18" s="1"/>
  <c r="R88" i="18"/>
  <c r="R97" i="18"/>
  <c r="S88" i="18"/>
  <c r="S97" i="18"/>
  <c r="T88" i="18"/>
  <c r="T97" i="18" s="1"/>
  <c r="U88" i="18"/>
  <c r="U97" i="18" s="1"/>
  <c r="U46" i="16" s="1"/>
  <c r="V88" i="18"/>
  <c r="V97" i="18" s="1"/>
  <c r="V46" i="16" s="1"/>
  <c r="W88" i="18"/>
  <c r="W97" i="18"/>
  <c r="X88" i="18"/>
  <c r="X97" i="18" s="1"/>
  <c r="Y88" i="18"/>
  <c r="Y97" i="18"/>
  <c r="Z88" i="18"/>
  <c r="Z97" i="18"/>
  <c r="AA88" i="18"/>
  <c r="AA97" i="18"/>
  <c r="AB88" i="18"/>
  <c r="AB97" i="18" s="1"/>
  <c r="AB46" i="16" s="1"/>
  <c r="AB49" i="16" s="1"/>
  <c r="AC88" i="18"/>
  <c r="AC97" i="18"/>
  <c r="AD88" i="18"/>
  <c r="AD97" i="18"/>
  <c r="AE88" i="18"/>
  <c r="AE97" i="18" s="1"/>
  <c r="AF88" i="18"/>
  <c r="AF97" i="18"/>
  <c r="AF46" i="16" s="1"/>
  <c r="AG88" i="18"/>
  <c r="AG97" i="18"/>
  <c r="AG46" i="16" s="1"/>
  <c r="AH88" i="18"/>
  <c r="AH97" i="18" s="1"/>
  <c r="AH46" i="16" s="1"/>
  <c r="AI88" i="18"/>
  <c r="AI97" i="18" s="1"/>
  <c r="AJ88" i="18"/>
  <c r="AJ97" i="18"/>
  <c r="AK88" i="18"/>
  <c r="AK97" i="18" s="1"/>
  <c r="AL88" i="18"/>
  <c r="AL97" i="18" s="1"/>
  <c r="AM88" i="18"/>
  <c r="AM97" i="18"/>
  <c r="AM46" i="16" s="1"/>
  <c r="AN88" i="18"/>
  <c r="AN97" i="18"/>
  <c r="AN46" i="16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M62" i="8"/>
  <c r="X62" i="8"/>
  <c r="V62" i="8"/>
  <c r="O62" i="8"/>
  <c r="J62" i="8"/>
  <c r="AR5" i="8"/>
  <c r="AQ5" i="8" s="1"/>
  <c r="AR6" i="8"/>
  <c r="AR7" i="8"/>
  <c r="AQ7" i="8" s="1"/>
  <c r="AR8" i="8"/>
  <c r="AR54" i="8"/>
  <c r="AQ54" i="8"/>
  <c r="AR13" i="8"/>
  <c r="AQ13" i="8" s="1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AK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N33" i="31"/>
  <c r="AF11" i="8"/>
  <c r="AD11" i="8" s="1"/>
  <c r="AJ11" i="8" s="1"/>
  <c r="AK11" i="8" s="1"/>
  <c r="AM11" i="8"/>
  <c r="H33" i="31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F58" i="8"/>
  <c r="AD58" i="8" s="1"/>
  <c r="AJ58" i="8" s="1"/>
  <c r="AF57" i="8"/>
  <c r="AD57" i="8" s="1"/>
  <c r="AJ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/>
  <c r="AS18" i="8"/>
  <c r="AS19" i="8"/>
  <c r="AS17" i="8"/>
  <c r="AR18" i="8"/>
  <c r="AQ18" i="8"/>
  <c r="AR19" i="8"/>
  <c r="AQ19" i="8" s="1"/>
  <c r="AR17" i="8"/>
  <c r="AQ17" i="8" s="1"/>
  <c r="AF17" i="8"/>
  <c r="AD17" i="8" s="1"/>
  <c r="AJ17" i="8" s="1"/>
  <c r="AF18" i="8"/>
  <c r="AD18" i="8" s="1"/>
  <c r="AJ18" i="8" s="1"/>
  <c r="AF19" i="8"/>
  <c r="AD19" i="8" s="1"/>
  <c r="AJ19" i="8"/>
  <c r="AK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U193" i="4"/>
  <c r="AU194" i="4"/>
  <c r="AU195" i="4"/>
  <c r="AU196" i="4"/>
  <c r="AU197" i="4"/>
  <c r="AU198" i="4"/>
  <c r="AU199" i="4"/>
  <c r="AZ199" i="4"/>
  <c r="AY199" i="4"/>
  <c r="AK199" i="4"/>
  <c r="AJ199" i="4"/>
  <c r="AP199" i="4"/>
  <c r="AF199" i="4"/>
  <c r="Y199" i="4"/>
  <c r="R199" i="4"/>
  <c r="Q199" i="4" s="1"/>
  <c r="AZ198" i="4"/>
  <c r="AY198" i="4"/>
  <c r="AK198" i="4"/>
  <c r="AJ198" i="4"/>
  <c r="AP198" i="4" s="1"/>
  <c r="AR198" i="4" s="1"/>
  <c r="AF198" i="4"/>
  <c r="Y198" i="4"/>
  <c r="R198" i="4"/>
  <c r="Q198" i="4" s="1"/>
  <c r="AZ197" i="4"/>
  <c r="AY197" i="4"/>
  <c r="AK197" i="4"/>
  <c r="AJ197" i="4"/>
  <c r="AP197" i="4"/>
  <c r="AR197" i="4"/>
  <c r="AF197" i="4"/>
  <c r="Y197" i="4"/>
  <c r="X197" i="4" s="1"/>
  <c r="R197" i="4"/>
  <c r="AZ196" i="4"/>
  <c r="AY196" i="4"/>
  <c r="AK196" i="4"/>
  <c r="AJ196" i="4"/>
  <c r="AP196" i="4"/>
  <c r="AR196" i="4" s="1"/>
  <c r="AF196" i="4"/>
  <c r="Y196" i="4"/>
  <c r="R196" i="4"/>
  <c r="Q196" i="4"/>
  <c r="AZ195" i="4"/>
  <c r="AY195" i="4"/>
  <c r="AK195" i="4"/>
  <c r="AJ195" i="4"/>
  <c r="AP195" i="4" s="1"/>
  <c r="AF195" i="4"/>
  <c r="Y195" i="4"/>
  <c r="X195" i="4" s="1"/>
  <c r="R195" i="4"/>
  <c r="Q195" i="4" s="1"/>
  <c r="AZ194" i="4"/>
  <c r="AY194" i="4"/>
  <c r="AK194" i="4"/>
  <c r="AJ194" i="4"/>
  <c r="AP194" i="4" s="1"/>
  <c r="AF194" i="4"/>
  <c r="Y194" i="4"/>
  <c r="X194" i="4" s="1"/>
  <c r="R194" i="4"/>
  <c r="Q194" i="4" s="1"/>
  <c r="AZ193" i="4"/>
  <c r="AY193" i="4"/>
  <c r="AK193" i="4"/>
  <c r="AJ193" i="4"/>
  <c r="AP193" i="4" s="1"/>
  <c r="AR193" i="4" s="1"/>
  <c r="AF193" i="4"/>
  <c r="Y193" i="4"/>
  <c r="X193" i="4"/>
  <c r="R193" i="4"/>
  <c r="Z193" i="4" s="1"/>
  <c r="Q193" i="4"/>
  <c r="AF20" i="4"/>
  <c r="AF11" i="4"/>
  <c r="AF12" i="4"/>
  <c r="AF13" i="4"/>
  <c r="AF16" i="4"/>
  <c r="AF22" i="4"/>
  <c r="AF54" i="8"/>
  <c r="AD54" i="8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 s="1"/>
  <c r="A411" i="12" s="1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/>
  <c r="A414" i="12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2307" i="12" s="1"/>
  <c r="A2442" i="12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/>
  <c r="A418" i="12" s="1"/>
  <c r="A553" i="12" s="1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2174" i="12" s="1"/>
  <c r="A2309" i="12" s="1"/>
  <c r="A2444" i="12" s="1"/>
  <c r="A2579" i="12" s="1"/>
  <c r="A2714" i="12" s="1"/>
  <c r="A2849" i="12" s="1"/>
  <c r="A150" i="12"/>
  <c r="A285" i="12"/>
  <c r="A420" i="12" s="1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/>
  <c r="A3525" i="12" s="1"/>
  <c r="A3660" i="12" s="1"/>
  <c r="A3795" i="12" s="1"/>
  <c r="A3930" i="12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153" i="12"/>
  <c r="A288" i="12"/>
  <c r="A423" i="12" s="1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/>
  <c r="A426" i="12"/>
  <c r="A561" i="12" s="1"/>
  <c r="A157" i="12"/>
  <c r="A292" i="12"/>
  <c r="A427" i="12" s="1"/>
  <c r="A562" i="12" s="1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159" i="12"/>
  <c r="A160" i="12"/>
  <c r="A295" i="12" s="1"/>
  <c r="A430" i="12" s="1"/>
  <c r="A565" i="12" s="1"/>
  <c r="A700" i="12" s="1"/>
  <c r="A835" i="12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/>
  <c r="A431" i="12"/>
  <c r="A566" i="12"/>
  <c r="A701" i="12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 s="1"/>
  <c r="A567" i="12" s="1"/>
  <c r="A702" i="12" s="1"/>
  <c r="A837" i="12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164" i="12"/>
  <c r="A299" i="12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/>
  <c r="A436" i="12" s="1"/>
  <c r="A571" i="12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/>
  <c r="A707" i="12" s="1"/>
  <c r="A842" i="12" s="1"/>
  <c r="A977" i="12" s="1"/>
  <c r="A1112" i="12"/>
  <c r="A1247" i="12"/>
  <c r="A1382" i="12" s="1"/>
  <c r="A1517" i="12" s="1"/>
  <c r="A1652" i="12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/>
  <c r="A2058" i="12" s="1"/>
  <c r="A2193" i="12" s="1"/>
  <c r="A2328" i="12" s="1"/>
  <c r="A2463" i="12" s="1"/>
  <c r="A2598" i="12" s="1"/>
  <c r="A2733" i="12" s="1"/>
  <c r="A2868" i="12" s="1"/>
  <c r="A3003" i="12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/>
  <c r="A439" i="12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/>
  <c r="A1790" i="12"/>
  <c r="A1925" i="12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 s="1"/>
  <c r="A172" i="12"/>
  <c r="A307" i="12"/>
  <c r="A442" i="12" s="1"/>
  <c r="A577" i="12" s="1"/>
  <c r="A712" i="12" s="1"/>
  <c r="A847" i="12" s="1"/>
  <c r="A982" i="12" s="1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94" i="12"/>
  <c r="A1929" i="12" s="1"/>
  <c r="A2064" i="12" s="1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/>
  <c r="A4359" i="12" s="1"/>
  <c r="A4494" i="12" s="1"/>
  <c r="A4629" i="12" s="1"/>
  <c r="A4764" i="12" s="1"/>
  <c r="A4899" i="12" s="1"/>
  <c r="A5034" i="12" s="1"/>
  <c r="A5169" i="12" s="1"/>
  <c r="A175" i="12"/>
  <c r="A310" i="12"/>
  <c r="A445" i="12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/>
  <c r="A4091" i="12" s="1"/>
  <c r="A4226" i="12" s="1"/>
  <c r="A4361" i="12" s="1"/>
  <c r="A4496" i="12" s="1"/>
  <c r="A4631" i="12" s="1"/>
  <c r="A4766" i="12" s="1"/>
  <c r="A4901" i="12" s="1"/>
  <c r="A5036" i="12" s="1"/>
  <c r="A5171" i="12"/>
  <c r="A177" i="12"/>
  <c r="A312" i="12" s="1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 s="1"/>
  <c r="A720" i="12"/>
  <c r="A855" i="12"/>
  <c r="A990" i="12" s="1"/>
  <c r="A1125" i="12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316" i="12"/>
  <c r="A451" i="12" s="1"/>
  <c r="A586" i="12" s="1"/>
  <c r="A721" i="12" s="1"/>
  <c r="A856" i="12"/>
  <c r="A991" i="12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 s="1"/>
  <c r="A723" i="12" s="1"/>
  <c r="A858" i="12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187" i="12"/>
  <c r="A322" i="12"/>
  <c r="A457" i="12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/>
  <c r="A458" i="12" s="1"/>
  <c r="A593" i="12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/>
  <c r="A5048" i="12" s="1"/>
  <c r="A5183" i="12" s="1"/>
  <c r="A189" i="12"/>
  <c r="A324" i="12" s="1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90" i="12"/>
  <c r="A325" i="12" s="1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91" i="12"/>
  <c r="A326" i="12"/>
  <c r="A192" i="12"/>
  <c r="A327" i="12" s="1"/>
  <c r="A193" i="12"/>
  <c r="A328" i="12" s="1"/>
  <c r="A463" i="12" s="1"/>
  <c r="A598" i="12" s="1"/>
  <c r="A733" i="12" s="1"/>
  <c r="A868" i="12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/>
  <c r="A1409" i="12"/>
  <c r="A1544" i="12" s="1"/>
  <c r="A1679" i="12" s="1"/>
  <c r="A1814" i="12" s="1"/>
  <c r="A1949" i="12" s="1"/>
  <c r="A2084" i="12" s="1"/>
  <c r="A2219" i="12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/>
  <c r="A465" i="12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/>
  <c r="A466" i="12" s="1"/>
  <c r="A601" i="12" s="1"/>
  <c r="A736" i="12" s="1"/>
  <c r="A871" i="12" s="1"/>
  <c r="A1006" i="12" s="1"/>
  <c r="A1141" i="12" s="1"/>
  <c r="A1276" i="12" s="1"/>
  <c r="A1411" i="12" s="1"/>
  <c r="A1546" i="12" s="1"/>
  <c r="A197" i="12"/>
  <c r="A332" i="12"/>
  <c r="A467" i="12" s="1"/>
  <c r="A602" i="12" s="1"/>
  <c r="A737" i="12" s="1"/>
  <c r="A872" i="12" s="1"/>
  <c r="A1007" i="12" s="1"/>
  <c r="A1142" i="12" s="1"/>
  <c r="A1277" i="12" s="1"/>
  <c r="A1412" i="12" s="1"/>
  <c r="A1547" i="12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199" i="12"/>
  <c r="A334" i="12"/>
  <c r="A469" i="12" s="1"/>
  <c r="A604" i="12" s="1"/>
  <c r="A739" i="12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741" i="12" s="1"/>
  <c r="A876" i="12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/>
  <c r="A608" i="12" s="1"/>
  <c r="A743" i="12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 s="1"/>
  <c r="A609" i="12"/>
  <c r="A744" i="12" s="1"/>
  <c r="A879" i="12" s="1"/>
  <c r="A1014" i="12" s="1"/>
  <c r="A1149" i="12" s="1"/>
  <c r="A1284" i="12" s="1"/>
  <c r="A1419" i="12" s="1"/>
  <c r="A1554" i="12" s="1"/>
  <c r="A1689" i="12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/>
  <c r="A1015" i="12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 s="1"/>
  <c r="A612" i="12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637" i="12" s="1"/>
  <c r="A2772" i="12" s="1"/>
  <c r="A2907" i="12" s="1"/>
  <c r="A3042" i="12" s="1"/>
  <c r="A208" i="12"/>
  <c r="A343" i="12"/>
  <c r="A478" i="12"/>
  <c r="A613" i="12" s="1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/>
  <c r="A1964" i="12" s="1"/>
  <c r="A2099" i="12" s="1"/>
  <c r="A2234" i="12" s="1"/>
  <c r="A2369" i="12" s="1"/>
  <c r="A2504" i="12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213" i="12"/>
  <c r="A348" i="12" s="1"/>
  <c r="A483" i="12"/>
  <c r="A618" i="12"/>
  <c r="A753" i="12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484" i="12" s="1"/>
  <c r="A619" i="12" s="1"/>
  <c r="A754" i="12" s="1"/>
  <c r="A889" i="12" s="1"/>
  <c r="A1024" i="12"/>
  <c r="A1159" i="12" s="1"/>
  <c r="A1294" i="12" s="1"/>
  <c r="A1429" i="12" s="1"/>
  <c r="A1564" i="12" s="1"/>
  <c r="A1699" i="12" s="1"/>
  <c r="A1834" i="12" s="1"/>
  <c r="A1969" i="12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216" i="12"/>
  <c r="A217" i="12"/>
  <c r="A352" i="12" s="1"/>
  <c r="A487" i="12" s="1"/>
  <c r="A622" i="12" s="1"/>
  <c r="A757" i="12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/>
  <c r="A488" i="12" s="1"/>
  <c r="A623" i="12" s="1"/>
  <c r="A758" i="12" s="1"/>
  <c r="A893" i="12" s="1"/>
  <c r="A1028" i="12" s="1"/>
  <c r="A1163" i="12" s="1"/>
  <c r="A219" i="12"/>
  <c r="A220" i="12"/>
  <c r="A355" i="12"/>
  <c r="A490" i="12" s="1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/>
  <c r="A4945" i="12" s="1"/>
  <c r="A5080" i="12" s="1"/>
  <c r="A5215" i="12" s="1"/>
  <c r="A221" i="12"/>
  <c r="A222" i="12"/>
  <c r="A357" i="12"/>
  <c r="A492" i="12" s="1"/>
  <c r="A627" i="12" s="1"/>
  <c r="A762" i="12"/>
  <c r="A897" i="12" s="1"/>
  <c r="A1032" i="12" s="1"/>
  <c r="A1167" i="12" s="1"/>
  <c r="A1302" i="12" s="1"/>
  <c r="A1437" i="12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/>
  <c r="A763" i="12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/>
  <c r="A1304" i="12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 s="1"/>
  <c r="A226" i="12"/>
  <c r="A361" i="12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/>
  <c r="A4816" i="12" s="1"/>
  <c r="A4951" i="12" s="1"/>
  <c r="A5086" i="12" s="1"/>
  <c r="A5221" i="12" s="1"/>
  <c r="A227" i="12"/>
  <c r="A362" i="12" s="1"/>
  <c r="A497" i="12" s="1"/>
  <c r="A632" i="12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 s="1"/>
  <c r="A499" i="12" s="1"/>
  <c r="A634" i="12" s="1"/>
  <c r="A769" i="12" s="1"/>
  <c r="A904" i="12" s="1"/>
  <c r="A1039" i="12" s="1"/>
  <c r="A1174" i="12"/>
  <c r="A1309" i="12"/>
  <c r="A1444" i="12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231" i="12"/>
  <c r="A366" i="12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/>
  <c r="A773" i="12" s="1"/>
  <c r="A908" i="12" s="1"/>
  <c r="A1043" i="12" s="1"/>
  <c r="A1178" i="12" s="1"/>
  <c r="A1313" i="12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369" i="12" s="1"/>
  <c r="A504" i="12" s="1"/>
  <c r="A639" i="12"/>
  <c r="A774" i="12" s="1"/>
  <c r="A909" i="12" s="1"/>
  <c r="A1044" i="12" s="1"/>
  <c r="A1179" i="12" s="1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235" i="12"/>
  <c r="A370" i="12"/>
  <c r="A236" i="12"/>
  <c r="A371" i="12" s="1"/>
  <c r="A237" i="12"/>
  <c r="A372" i="12"/>
  <c r="A507" i="12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 s="1"/>
  <c r="A778" i="12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/>
  <c r="A1994" i="12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 s="1"/>
  <c r="A510" i="12" s="1"/>
  <c r="A645" i="12" s="1"/>
  <c r="A780" i="12" s="1"/>
  <c r="A915" i="12" s="1"/>
  <c r="A1050" i="12" s="1"/>
  <c r="A1185" i="12" s="1"/>
  <c r="A1320" i="12" s="1"/>
  <c r="A1455" i="12" s="1"/>
  <c r="A1590" i="12" s="1"/>
  <c r="A1725" i="12" s="1"/>
  <c r="A1860" i="12" s="1"/>
  <c r="A1995" i="12" s="1"/>
  <c r="A2130" i="12" s="1"/>
  <c r="A2265" i="12" s="1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241" i="12"/>
  <c r="A376" i="12" s="1"/>
  <c r="A242" i="12"/>
  <c r="A377" i="12"/>
  <c r="A512" i="12"/>
  <c r="A647" i="12" s="1"/>
  <c r="A782" i="12"/>
  <c r="A917" i="12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/>
  <c r="A5237" i="12" s="1"/>
  <c r="A243" i="12"/>
  <c r="A378" i="12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 s="1"/>
  <c r="A245" i="12"/>
  <c r="A380" i="12"/>
  <c r="A246" i="12"/>
  <c r="A381" i="12" s="1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/>
  <c r="A519" i="12" s="1"/>
  <c r="A654" i="12" s="1"/>
  <c r="A789" i="12" s="1"/>
  <c r="A924" i="12" s="1"/>
  <c r="A250" i="12"/>
  <c r="A385" i="12" s="1"/>
  <c r="A251" i="12"/>
  <c r="A386" i="12"/>
  <c r="A521" i="12" s="1"/>
  <c r="A656" i="12" s="1"/>
  <c r="A791" i="12" s="1"/>
  <c r="A926" i="12" s="1"/>
  <c r="A1061" i="12"/>
  <c r="A1196" i="12" s="1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/>
  <c r="A253" i="12"/>
  <c r="A388" i="12"/>
  <c r="A523" i="12" s="1"/>
  <c r="A658" i="12" s="1"/>
  <c r="A793" i="12"/>
  <c r="A928" i="12"/>
  <c r="A1063" i="12" s="1"/>
  <c r="A1198" i="12"/>
  <c r="A1333" i="12" s="1"/>
  <c r="A1468" i="12" s="1"/>
  <c r="A1603" i="12" s="1"/>
  <c r="A1738" i="12" s="1"/>
  <c r="A1873" i="12" s="1"/>
  <c r="A2008" i="12" s="1"/>
  <c r="A2143" i="12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/>
  <c r="A4710" i="12" s="1"/>
  <c r="A4845" i="12" s="1"/>
  <c r="A4980" i="12" s="1"/>
  <c r="A5115" i="12" s="1"/>
  <c r="A5250" i="12" s="1"/>
  <c r="A256" i="12"/>
  <c r="A391" i="12" s="1"/>
  <c r="A526" i="12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 s="1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393" i="12" s="1"/>
  <c r="A259" i="12"/>
  <c r="A394" i="12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/>
  <c r="A530" i="12"/>
  <c r="A665" i="12" s="1"/>
  <c r="A800" i="12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420" i="12" s="1"/>
  <c r="A2555" i="12" s="1"/>
  <c r="A261" i="12"/>
  <c r="A396" i="12"/>
  <c r="A531" i="12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/>
  <c r="A532" i="12" s="1"/>
  <c r="A667" i="12" s="1"/>
  <c r="A802" i="12"/>
  <c r="A937" i="12" s="1"/>
  <c r="A1072" i="12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/>
  <c r="A534" i="12" s="1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/>
  <c r="A3909" i="12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/>
  <c r="A539" i="12"/>
  <c r="A674" i="12" s="1"/>
  <c r="A809" i="12" s="1"/>
  <c r="A944" i="12" s="1"/>
  <c r="A1079" i="12" s="1"/>
  <c r="A1214" i="12" s="1"/>
  <c r="A1349" i="12" s="1"/>
  <c r="A1484" i="12" s="1"/>
  <c r="A1619" i="12" s="1"/>
  <c r="A1754" i="12" s="1"/>
  <c r="A1889" i="12" s="1"/>
  <c r="A2024" i="12" s="1"/>
  <c r="A2159" i="12" s="1"/>
  <c r="A2294" i="12" s="1"/>
  <c r="A270" i="12"/>
  <c r="A405" i="12" s="1"/>
  <c r="A540" i="12" s="1"/>
  <c r="A675" i="12" s="1"/>
  <c r="A810" i="12" s="1"/>
  <c r="A945" i="12" s="1"/>
  <c r="A1080" i="12" s="1"/>
  <c r="A1215" i="12" s="1"/>
  <c r="A1350" i="12"/>
  <c r="A1485" i="12" s="1"/>
  <c r="A1620" i="12" s="1"/>
  <c r="A1755" i="12" s="1"/>
  <c r="A1890" i="12" s="1"/>
  <c r="A2025" i="12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 s="1"/>
  <c r="A541" i="12"/>
  <c r="A676" i="12" s="1"/>
  <c r="A811" i="12" s="1"/>
  <c r="A946" i="12" s="1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54" i="12"/>
  <c r="A489" i="12"/>
  <c r="A624" i="12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138" i="12"/>
  <c r="A273" i="12"/>
  <c r="A408" i="12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 s="1"/>
  <c r="A544" i="12" s="1"/>
  <c r="A679" i="12" s="1"/>
  <c r="A814" i="12" s="1"/>
  <c r="A949" i="12" s="1"/>
  <c r="A1084" i="12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135" i="12"/>
  <c r="B270" i="12" s="1"/>
  <c r="B405" i="12"/>
  <c r="B136" i="12"/>
  <c r="B271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E30" i="26"/>
  <c r="D30" i="26"/>
  <c r="B30" i="26"/>
  <c r="E29" i="26"/>
  <c r="D29" i="26"/>
  <c r="B29" i="26"/>
  <c r="E28" i="26"/>
  <c r="D28" i="26"/>
  <c r="B28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Q1599" i="7"/>
  <c r="P1599" i="7"/>
  <c r="N1599" i="7" s="1"/>
  <c r="Q1598" i="7"/>
  <c r="P1598" i="7"/>
  <c r="Q1597" i="7"/>
  <c r="P1597" i="7"/>
  <c r="Q1596" i="7"/>
  <c r="P1596" i="7"/>
  <c r="Q1595" i="7"/>
  <c r="P1595" i="7"/>
  <c r="N1595" i="7" s="1"/>
  <c r="Q1594" i="7"/>
  <c r="P1594" i="7"/>
  <c r="Q1593" i="7"/>
  <c r="P1593" i="7"/>
  <c r="Q1592" i="7"/>
  <c r="P1592" i="7"/>
  <c r="Q1591" i="7"/>
  <c r="P1591" i="7"/>
  <c r="N1591" i="7" s="1"/>
  <c r="Q1590" i="7"/>
  <c r="P1590" i="7"/>
  <c r="Q1279" i="7"/>
  <c r="P1279" i="7"/>
  <c r="Q1278" i="7"/>
  <c r="P1278" i="7"/>
  <c r="Q1277" i="7"/>
  <c r="P1277" i="7"/>
  <c r="N1277" i="7" s="1"/>
  <c r="Q1276" i="7"/>
  <c r="P1276" i="7"/>
  <c r="Q1275" i="7"/>
  <c r="P1275" i="7"/>
  <c r="Q1274" i="7"/>
  <c r="P1274" i="7"/>
  <c r="Q1273" i="7"/>
  <c r="P1273" i="7"/>
  <c r="N1273" i="7" s="1"/>
  <c r="Q1272" i="7"/>
  <c r="P1272" i="7"/>
  <c r="Q1271" i="7"/>
  <c r="P1271" i="7"/>
  <c r="Q1270" i="7"/>
  <c r="P1270" i="7"/>
  <c r="Q1269" i="7"/>
  <c r="P1269" i="7"/>
  <c r="N1269" i="7" s="1"/>
  <c r="Q1268" i="7"/>
  <c r="P1268" i="7"/>
  <c r="Q1267" i="7"/>
  <c r="P1267" i="7"/>
  <c r="Q1266" i="7"/>
  <c r="P1266" i="7"/>
  <c r="Q1265" i="7"/>
  <c r="P1265" i="7"/>
  <c r="N1265" i="7" s="1"/>
  <c r="Q1264" i="7"/>
  <c r="P1264" i="7"/>
  <c r="N1264" i="7" s="1"/>
  <c r="Q1254" i="7"/>
  <c r="P1254" i="7"/>
  <c r="Q1253" i="7"/>
  <c r="P1253" i="7"/>
  <c r="Q1252" i="7"/>
  <c r="P1252" i="7"/>
  <c r="N1252" i="7" s="1"/>
  <c r="Q1251" i="7"/>
  <c r="P1251" i="7"/>
  <c r="N1251" i="7"/>
  <c r="Q1250" i="7"/>
  <c r="P1250" i="7"/>
  <c r="Q1249" i="7"/>
  <c r="P1249" i="7"/>
  <c r="Q1248" i="7"/>
  <c r="P1248" i="7"/>
  <c r="Q1247" i="7"/>
  <c r="P1247" i="7"/>
  <c r="N1247" i="7" s="1"/>
  <c r="Q1183" i="7"/>
  <c r="P1183" i="7"/>
  <c r="Q1173" i="7"/>
  <c r="P1173" i="7"/>
  <c r="Q1172" i="7"/>
  <c r="P1172" i="7"/>
  <c r="Q1153" i="7"/>
  <c r="P1153" i="7"/>
  <c r="N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N1031" i="7" s="1"/>
  <c r="Q1030" i="7"/>
  <c r="P1030" i="7"/>
  <c r="Q1029" i="7"/>
  <c r="P1029" i="7"/>
  <c r="Q964" i="7"/>
  <c r="P964" i="7"/>
  <c r="N964" i="7" s="1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N612" i="7" s="1"/>
  <c r="Q595" i="7"/>
  <c r="P595" i="7"/>
  <c r="Q460" i="7"/>
  <c r="P460" i="7"/>
  <c r="Q458" i="7"/>
  <c r="P458" i="7"/>
  <c r="Q454" i="7"/>
  <c r="P454" i="7"/>
  <c r="Q293" i="7"/>
  <c r="P293" i="7"/>
  <c r="N293" i="7" s="1"/>
  <c r="Q256" i="7"/>
  <c r="P256" i="7"/>
  <c r="Q253" i="7"/>
  <c r="P253" i="7"/>
  <c r="L1599" i="7"/>
  <c r="K1599" i="7"/>
  <c r="L1598" i="7"/>
  <c r="K1598" i="7"/>
  <c r="I1598" i="7" s="1"/>
  <c r="L1597" i="7"/>
  <c r="K1597" i="7"/>
  <c r="L1596" i="7"/>
  <c r="K1596" i="7"/>
  <c r="L1595" i="7"/>
  <c r="K1595" i="7"/>
  <c r="I1595" i="7"/>
  <c r="L1594" i="7"/>
  <c r="K1594" i="7"/>
  <c r="L1593" i="7"/>
  <c r="K1593" i="7"/>
  <c r="L1592" i="7"/>
  <c r="K1592" i="7"/>
  <c r="I1592" i="7" s="1"/>
  <c r="L1591" i="7"/>
  <c r="K1591" i="7"/>
  <c r="L1590" i="7"/>
  <c r="K1590" i="7"/>
  <c r="L1279" i="7"/>
  <c r="K1279" i="7"/>
  <c r="I1279" i="7"/>
  <c r="L1278" i="7"/>
  <c r="K1278" i="7"/>
  <c r="I1278" i="7" s="1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I1271" i="7" s="1"/>
  <c r="L1270" i="7"/>
  <c r="K1270" i="7"/>
  <c r="I1270" i="7" s="1"/>
  <c r="L1269" i="7"/>
  <c r="K1269" i="7"/>
  <c r="L1268" i="7"/>
  <c r="K1268" i="7"/>
  <c r="L1267" i="7"/>
  <c r="K1267" i="7"/>
  <c r="I1267" i="7" s="1"/>
  <c r="L1266" i="7"/>
  <c r="K1266" i="7"/>
  <c r="L1265" i="7"/>
  <c r="K1265" i="7"/>
  <c r="L1264" i="7"/>
  <c r="K1264" i="7"/>
  <c r="L1254" i="7"/>
  <c r="K1254" i="7"/>
  <c r="I1254" i="7" s="1"/>
  <c r="L1253" i="7"/>
  <c r="K1253" i="7"/>
  <c r="L1252" i="7"/>
  <c r="K1252" i="7"/>
  <c r="I1252" i="7" s="1"/>
  <c r="L1251" i="7"/>
  <c r="K1251" i="7"/>
  <c r="L1250" i="7"/>
  <c r="K1250" i="7"/>
  <c r="I1250" i="7" s="1"/>
  <c r="L1249" i="7"/>
  <c r="K1249" i="7"/>
  <c r="L1248" i="7"/>
  <c r="K1248" i="7"/>
  <c r="L1247" i="7"/>
  <c r="K1247" i="7"/>
  <c r="L1183" i="7"/>
  <c r="K1183" i="7"/>
  <c r="I1183" i="7" s="1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I1119" i="7" s="1"/>
  <c r="L1103" i="7"/>
  <c r="K1103" i="7"/>
  <c r="L1102" i="7"/>
  <c r="K1102" i="7"/>
  <c r="L1101" i="7"/>
  <c r="K1101" i="7"/>
  <c r="I1101" i="7"/>
  <c r="L1100" i="7"/>
  <c r="K1100" i="7"/>
  <c r="L1099" i="7"/>
  <c r="K1099" i="7"/>
  <c r="L1098" i="7"/>
  <c r="K1098" i="7"/>
  <c r="L1096" i="7"/>
  <c r="K1096" i="7"/>
  <c r="I1096" i="7" s="1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I920" i="7" s="1"/>
  <c r="L919" i="7"/>
  <c r="K919" i="7"/>
  <c r="L918" i="7"/>
  <c r="K918" i="7"/>
  <c r="L810" i="7"/>
  <c r="K810" i="7"/>
  <c r="L809" i="7"/>
  <c r="K809" i="7"/>
  <c r="I809" i="7" s="1"/>
  <c r="L808" i="7"/>
  <c r="K808" i="7"/>
  <c r="L807" i="7"/>
  <c r="K807" i="7"/>
  <c r="L695" i="7"/>
  <c r="K695" i="7"/>
  <c r="I695" i="7" s="1"/>
  <c r="L612" i="7"/>
  <c r="K612" i="7"/>
  <c r="L595" i="7"/>
  <c r="K595" i="7"/>
  <c r="L460" i="7"/>
  <c r="K460" i="7"/>
  <c r="I460" i="7"/>
  <c r="L458" i="7"/>
  <c r="K458" i="7"/>
  <c r="I458" i="7" s="1"/>
  <c r="L454" i="7"/>
  <c r="K454" i="7"/>
  <c r="L293" i="7"/>
  <c r="K293" i="7"/>
  <c r="I293" i="7" s="1"/>
  <c r="L256" i="7"/>
  <c r="K256" i="7"/>
  <c r="L253" i="7"/>
  <c r="K253" i="7"/>
  <c r="I253" i="7" s="1"/>
  <c r="Q1608" i="7"/>
  <c r="P1608" i="7"/>
  <c r="Q1607" i="7"/>
  <c r="P1607" i="7"/>
  <c r="Q1606" i="7"/>
  <c r="P1606" i="7"/>
  <c r="Q1605" i="7"/>
  <c r="P1605" i="7"/>
  <c r="N1605" i="7" s="1"/>
  <c r="Q1604" i="7"/>
  <c r="P1604" i="7"/>
  <c r="Q1603" i="7"/>
  <c r="P1603" i="7"/>
  <c r="Q1602" i="7"/>
  <c r="P1602" i="7"/>
  <c r="N1602" i="7"/>
  <c r="Q1601" i="7"/>
  <c r="P1601" i="7"/>
  <c r="Q1600" i="7"/>
  <c r="P1600" i="7"/>
  <c r="Q1263" i="7"/>
  <c r="P1263" i="7"/>
  <c r="Q1262" i="7"/>
  <c r="P1262" i="7"/>
  <c r="N1262" i="7" s="1"/>
  <c r="Q1261" i="7"/>
  <c r="P1261" i="7"/>
  <c r="Q1260" i="7"/>
  <c r="P1260" i="7"/>
  <c r="N1260" i="7" s="1"/>
  <c r="Q1259" i="7"/>
  <c r="P1259" i="7"/>
  <c r="N1259" i="7" s="1"/>
  <c r="Q1258" i="7"/>
  <c r="P1258" i="7"/>
  <c r="Q1257" i="7"/>
  <c r="P1257" i="7"/>
  <c r="Q1256" i="7"/>
  <c r="P1256" i="7"/>
  <c r="Q1255" i="7"/>
  <c r="P1255" i="7"/>
  <c r="Q1152" i="7"/>
  <c r="P1152" i="7"/>
  <c r="N1152" i="7" s="1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N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I1607" i="7"/>
  <c r="L1606" i="7"/>
  <c r="K1606" i="7"/>
  <c r="L1605" i="7"/>
  <c r="K1605" i="7"/>
  <c r="L1604" i="7"/>
  <c r="K1604" i="7"/>
  <c r="I1604" i="7" s="1"/>
  <c r="L1603" i="7"/>
  <c r="K1603" i="7"/>
  <c r="L1602" i="7"/>
  <c r="K1602" i="7"/>
  <c r="L1601" i="7"/>
  <c r="K1601" i="7"/>
  <c r="I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I1259" i="7" s="1"/>
  <c r="L1258" i="7"/>
  <c r="K1258" i="7"/>
  <c r="L1257" i="7"/>
  <c r="K1257" i="7"/>
  <c r="L1256" i="7"/>
  <c r="K1256" i="7"/>
  <c r="I1256" i="7" s="1"/>
  <c r="L1255" i="7"/>
  <c r="K1255" i="7"/>
  <c r="L1152" i="7"/>
  <c r="K1152" i="7"/>
  <c r="L1028" i="7"/>
  <c r="K1028" i="7"/>
  <c r="I1028" i="7" s="1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I258" i="7" s="1"/>
  <c r="L255" i="7"/>
  <c r="K255" i="7"/>
  <c r="L251" i="7"/>
  <c r="K251" i="7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/>
  <c r="A84" i="6"/>
  <c r="A85" i="6" s="1"/>
  <c r="B76" i="6"/>
  <c r="A76" i="6"/>
  <c r="B74" i="6"/>
  <c r="A74" i="6"/>
  <c r="B70" i="6"/>
  <c r="A70" i="6"/>
  <c r="B63" i="6"/>
  <c r="B64" i="6" s="1"/>
  <c r="A63" i="6"/>
  <c r="A64" i="6" s="1"/>
  <c r="B56" i="6"/>
  <c r="B57" i="6"/>
  <c r="A56" i="6"/>
  <c r="A57" i="6"/>
  <c r="B44" i="6"/>
  <c r="A44" i="6"/>
  <c r="B39" i="6"/>
  <c r="A39" i="6"/>
  <c r="B32" i="6"/>
  <c r="B33" i="6"/>
  <c r="B34" i="6" s="1"/>
  <c r="B35" i="6" s="1"/>
  <c r="B36" i="6" s="1"/>
  <c r="A32" i="6"/>
  <c r="A33" i="6"/>
  <c r="A34" i="6" s="1"/>
  <c r="A35" i="6" s="1"/>
  <c r="A36" i="6" s="1"/>
  <c r="B28" i="6"/>
  <c r="B29" i="6"/>
  <c r="B30" i="6"/>
  <c r="A28" i="6"/>
  <c r="A29" i="6" s="1"/>
  <c r="A30" i="6" s="1"/>
  <c r="B25" i="6"/>
  <c r="A25" i="6"/>
  <c r="B22" i="6"/>
  <c r="A22" i="6"/>
  <c r="B17" i="6"/>
  <c r="B18" i="6" s="1"/>
  <c r="B19" i="6" s="1"/>
  <c r="B20" i="6" s="1"/>
  <c r="A17" i="6"/>
  <c r="A18" i="6" s="1"/>
  <c r="A19" i="6" s="1"/>
  <c r="B12" i="6"/>
  <c r="B13" i="6"/>
  <c r="B14" i="6"/>
  <c r="A12" i="6"/>
  <c r="A13" i="6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AH24" i="15"/>
  <c r="S87" i="28"/>
  <c r="Y87" i="28"/>
  <c r="S88" i="28"/>
  <c r="S89" i="28"/>
  <c r="S90" i="28"/>
  <c r="Y90" i="28"/>
  <c r="S91" i="28"/>
  <c r="Y91" i="28" s="1"/>
  <c r="S92" i="28"/>
  <c r="Y92" i="28"/>
  <c r="S345" i="28"/>
  <c r="Y345" i="28" s="1"/>
  <c r="S320" i="28"/>
  <c r="B8" i="32"/>
  <c r="U220" i="28"/>
  <c r="S220" i="28"/>
  <c r="Y220" i="28" s="1"/>
  <c r="D220" i="28"/>
  <c r="B220" i="28" s="1"/>
  <c r="U219" i="28"/>
  <c r="S219" i="28"/>
  <c r="Y219" i="28" s="1"/>
  <c r="D219" i="28"/>
  <c r="B219" i="28" s="1"/>
  <c r="U218" i="28"/>
  <c r="S218" i="28"/>
  <c r="Y218" i="28"/>
  <c r="D218" i="28"/>
  <c r="B218" i="28" s="1"/>
  <c r="U217" i="28"/>
  <c r="S217" i="28"/>
  <c r="D217" i="28"/>
  <c r="B217" i="28" s="1"/>
  <c r="U216" i="28"/>
  <c r="S216" i="28"/>
  <c r="Y216" i="28" s="1"/>
  <c r="D216" i="28"/>
  <c r="B216" i="28"/>
  <c r="U215" i="28"/>
  <c r="S215" i="28"/>
  <c r="Y215" i="28" s="1"/>
  <c r="D215" i="28"/>
  <c r="B215" i="28"/>
  <c r="U214" i="28"/>
  <c r="S214" i="28"/>
  <c r="Y214" i="28"/>
  <c r="D214" i="28"/>
  <c r="B214" i="28"/>
  <c r="U213" i="28"/>
  <c r="S213" i="28"/>
  <c r="Y213" i="28"/>
  <c r="D213" i="28"/>
  <c r="B213" i="28" s="1"/>
  <c r="U212" i="28"/>
  <c r="S212" i="28"/>
  <c r="Y212" i="28"/>
  <c r="D212" i="28"/>
  <c r="B212" i="28" s="1"/>
  <c r="U211" i="28"/>
  <c r="S211" i="28"/>
  <c r="Y211" i="28" s="1"/>
  <c r="D211" i="28"/>
  <c r="B211" i="28"/>
  <c r="U210" i="28"/>
  <c r="S210" i="28"/>
  <c r="Y210" i="28" s="1"/>
  <c r="D210" i="28"/>
  <c r="B210" i="28" s="1"/>
  <c r="U209" i="28"/>
  <c r="S209" i="28"/>
  <c r="Y209" i="28" s="1"/>
  <c r="D209" i="28"/>
  <c r="B209" i="28"/>
  <c r="U208" i="28"/>
  <c r="S208" i="28"/>
  <c r="Y208" i="28" s="1"/>
  <c r="D208" i="28"/>
  <c r="B208" i="28"/>
  <c r="U207" i="28"/>
  <c r="S207" i="28"/>
  <c r="Y207" i="28"/>
  <c r="D207" i="28"/>
  <c r="B207" i="28"/>
  <c r="U206" i="28"/>
  <c r="S206" i="28"/>
  <c r="Y206" i="28"/>
  <c r="D206" i="28"/>
  <c r="B206" i="28" s="1"/>
  <c r="U205" i="28"/>
  <c r="S205" i="28"/>
  <c r="Y205" i="28"/>
  <c r="D205" i="28"/>
  <c r="B205" i="28" s="1"/>
  <c r="U204" i="28"/>
  <c r="S204" i="28"/>
  <c r="D204" i="28"/>
  <c r="B204" i="28" s="1"/>
  <c r="U203" i="28"/>
  <c r="S203" i="28"/>
  <c r="D203" i="28"/>
  <c r="B203" i="28"/>
  <c r="U202" i="28"/>
  <c r="S202" i="28"/>
  <c r="Y202" i="28" s="1"/>
  <c r="D202" i="28"/>
  <c r="B202" i="28"/>
  <c r="U201" i="28"/>
  <c r="S201" i="28"/>
  <c r="Y201" i="28"/>
  <c r="D201" i="28"/>
  <c r="B201" i="28"/>
  <c r="U200" i="28"/>
  <c r="S200" i="28"/>
  <c r="Y200" i="28"/>
  <c r="D200" i="28"/>
  <c r="B200" i="28" s="1"/>
  <c r="U199" i="28"/>
  <c r="S199" i="28"/>
  <c r="Y199" i="28"/>
  <c r="D199" i="28"/>
  <c r="B199" i="28" s="1"/>
  <c r="U198" i="28"/>
  <c r="S198" i="28"/>
  <c r="Y198" i="28" s="1"/>
  <c r="D198" i="28"/>
  <c r="B198" i="28"/>
  <c r="U197" i="28"/>
  <c r="S197" i="28"/>
  <c r="D197" i="28"/>
  <c r="B197" i="28" s="1"/>
  <c r="U196" i="28"/>
  <c r="S196" i="28"/>
  <c r="Y196" i="28" s="1"/>
  <c r="D196" i="28"/>
  <c r="B196" i="28"/>
  <c r="U195" i="28"/>
  <c r="S195" i="28"/>
  <c r="Y195" i="28" s="1"/>
  <c r="D195" i="28"/>
  <c r="B195" i="28"/>
  <c r="U194" i="28"/>
  <c r="S194" i="28"/>
  <c r="Y194" i="28"/>
  <c r="D194" i="28"/>
  <c r="B194" i="28"/>
  <c r="U193" i="28"/>
  <c r="S193" i="28"/>
  <c r="Y193" i="28"/>
  <c r="D193" i="28"/>
  <c r="B193" i="28" s="1"/>
  <c r="U192" i="28"/>
  <c r="S192" i="28"/>
  <c r="Y192" i="28"/>
  <c r="D192" i="28"/>
  <c r="B192" i="28" s="1"/>
  <c r="U191" i="28"/>
  <c r="S191" i="28"/>
  <c r="Y191" i="28" s="1"/>
  <c r="D191" i="28"/>
  <c r="B191" i="28" s="1"/>
  <c r="U132" i="28"/>
  <c r="S132" i="28"/>
  <c r="Y132" i="28" s="1"/>
  <c r="D132" i="28"/>
  <c r="B132" i="28"/>
  <c r="U131" i="28"/>
  <c r="S131" i="28"/>
  <c r="Y131" i="28" s="1"/>
  <c r="D131" i="28"/>
  <c r="B131" i="28" s="1"/>
  <c r="U130" i="28"/>
  <c r="S130" i="28"/>
  <c r="Y130" i="28"/>
  <c r="D130" i="28"/>
  <c r="B130" i="28"/>
  <c r="U129" i="28"/>
  <c r="S129" i="28"/>
  <c r="Y129" i="28" s="1"/>
  <c r="D129" i="28"/>
  <c r="B129" i="28"/>
  <c r="U128" i="28"/>
  <c r="S128" i="28"/>
  <c r="Y128" i="28"/>
  <c r="D128" i="28"/>
  <c r="B128" i="28"/>
  <c r="U127" i="28"/>
  <c r="S127" i="28"/>
  <c r="Y127" i="28"/>
  <c r="D127" i="28"/>
  <c r="B127" i="28"/>
  <c r="U126" i="28"/>
  <c r="S126" i="28"/>
  <c r="Y126" i="28"/>
  <c r="D126" i="28"/>
  <c r="B126" i="28" s="1"/>
  <c r="U125" i="28"/>
  <c r="S125" i="28"/>
  <c r="Y125" i="28"/>
  <c r="D125" i="28"/>
  <c r="B125" i="28" s="1"/>
  <c r="U124" i="28"/>
  <c r="S124" i="28"/>
  <c r="Y124" i="28" s="1"/>
  <c r="D124" i="28"/>
  <c r="B124" i="28" s="1"/>
  <c r="U123" i="28"/>
  <c r="S123" i="28"/>
  <c r="Y123" i="28" s="1"/>
  <c r="D123" i="28"/>
  <c r="B123" i="28"/>
  <c r="U122" i="28"/>
  <c r="S122" i="28"/>
  <c r="Y122" i="28"/>
  <c r="D122" i="28"/>
  <c r="B122" i="28" s="1"/>
  <c r="U121" i="28"/>
  <c r="S121" i="28"/>
  <c r="D121" i="28"/>
  <c r="B121" i="28" s="1"/>
  <c r="U120" i="28"/>
  <c r="S120" i="28"/>
  <c r="D120" i="28"/>
  <c r="B120" i="28"/>
  <c r="AB119" i="28"/>
  <c r="U119" i="28"/>
  <c r="S119" i="28"/>
  <c r="Y119" i="28" s="1"/>
  <c r="D119" i="28"/>
  <c r="B119" i="28"/>
  <c r="U118" i="28"/>
  <c r="S118" i="28"/>
  <c r="Y118" i="28"/>
  <c r="D118" i="28"/>
  <c r="B118" i="28"/>
  <c r="U117" i="28"/>
  <c r="S117" i="28"/>
  <c r="D117" i="28"/>
  <c r="B117" i="28"/>
  <c r="U116" i="28"/>
  <c r="S116" i="28"/>
  <c r="D116" i="28"/>
  <c r="B116" i="28" s="1"/>
  <c r="U115" i="28"/>
  <c r="S115" i="28"/>
  <c r="Y115" i="28"/>
  <c r="D115" i="28"/>
  <c r="B115" i="28"/>
  <c r="U114" i="28"/>
  <c r="S114" i="28"/>
  <c r="Y114" i="28" s="1"/>
  <c r="D114" i="28"/>
  <c r="B114" i="28"/>
  <c r="U113" i="28"/>
  <c r="S113" i="28"/>
  <c r="Y113" i="28" s="1"/>
  <c r="D113" i="28"/>
  <c r="B113" i="28"/>
  <c r="U337" i="28"/>
  <c r="S337" i="28"/>
  <c r="D337" i="28"/>
  <c r="B337" i="28"/>
  <c r="U336" i="28"/>
  <c r="S336" i="28"/>
  <c r="D336" i="28"/>
  <c r="B336" i="28" s="1"/>
  <c r="U335" i="28"/>
  <c r="S335" i="28"/>
  <c r="Y335" i="28"/>
  <c r="D335" i="28"/>
  <c r="B335" i="28"/>
  <c r="U334" i="28"/>
  <c r="S334" i="28"/>
  <c r="Y334" i="28" s="1"/>
  <c r="D334" i="28"/>
  <c r="B334" i="28"/>
  <c r="U333" i="28"/>
  <c r="S333" i="28"/>
  <c r="Y333" i="28"/>
  <c r="D333" i="28"/>
  <c r="B333" i="28"/>
  <c r="U332" i="28"/>
  <c r="S332" i="28"/>
  <c r="Y332" i="28"/>
  <c r="D332" i="28"/>
  <c r="B332" i="28"/>
  <c r="U331" i="28"/>
  <c r="S331" i="28"/>
  <c r="D331" i="28"/>
  <c r="B331" i="28" s="1"/>
  <c r="U330" i="28"/>
  <c r="S330" i="28"/>
  <c r="Y330" i="28" s="1"/>
  <c r="D330" i="28"/>
  <c r="B330" i="28"/>
  <c r="U329" i="28"/>
  <c r="S329" i="28"/>
  <c r="Y329" i="28" s="1"/>
  <c r="D329" i="28"/>
  <c r="B329" i="28"/>
  <c r="U328" i="28"/>
  <c r="S328" i="28"/>
  <c r="Y328" i="28" s="1"/>
  <c r="D328" i="28"/>
  <c r="B328" i="28"/>
  <c r="U327" i="28"/>
  <c r="S327" i="28"/>
  <c r="D327" i="28"/>
  <c r="B327" i="28" s="1"/>
  <c r="U326" i="28"/>
  <c r="S326" i="28"/>
  <c r="Y326" i="28"/>
  <c r="D326" i="28"/>
  <c r="B326" i="28" s="1"/>
  <c r="U325" i="28"/>
  <c r="S325" i="28"/>
  <c r="Y325" i="28" s="1"/>
  <c r="D325" i="28"/>
  <c r="B325" i="28" s="1"/>
  <c r="U232" i="28"/>
  <c r="S232" i="28"/>
  <c r="Y232" i="28" s="1"/>
  <c r="D232" i="28"/>
  <c r="B232" i="28"/>
  <c r="U231" i="28"/>
  <c r="S231" i="28"/>
  <c r="D231" i="28"/>
  <c r="B231" i="28"/>
  <c r="U230" i="28"/>
  <c r="S230" i="28"/>
  <c r="Y230" i="28"/>
  <c r="D230" i="28"/>
  <c r="B230" i="28"/>
  <c r="U229" i="28"/>
  <c r="S229" i="28"/>
  <c r="D229" i="28"/>
  <c r="B229" i="28" s="1"/>
  <c r="U228" i="28"/>
  <c r="S228" i="28"/>
  <c r="Y228" i="28"/>
  <c r="D228" i="28"/>
  <c r="B228" i="28"/>
  <c r="U227" i="28"/>
  <c r="S227" i="28"/>
  <c r="Y227" i="28" s="1"/>
  <c r="D227" i="28"/>
  <c r="B227" i="28"/>
  <c r="U226" i="28"/>
  <c r="S226" i="28"/>
  <c r="D226" i="28"/>
  <c r="B226" i="28" s="1"/>
  <c r="U225" i="28"/>
  <c r="S225" i="28"/>
  <c r="Y225" i="28" s="1"/>
  <c r="D225" i="28"/>
  <c r="B225" i="28" s="1"/>
  <c r="U224" i="28"/>
  <c r="S224" i="28"/>
  <c r="D224" i="28"/>
  <c r="B224" i="28"/>
  <c r="U223" i="28"/>
  <c r="S223" i="28"/>
  <c r="Y223" i="28"/>
  <c r="D223" i="28"/>
  <c r="B223" i="28"/>
  <c r="U222" i="28"/>
  <c r="S222" i="28"/>
  <c r="Y222" i="28"/>
  <c r="D222" i="28"/>
  <c r="B222" i="28" s="1"/>
  <c r="U221" i="28"/>
  <c r="S221" i="28"/>
  <c r="Y221" i="28" s="1"/>
  <c r="D221" i="28"/>
  <c r="B221" i="28" s="1"/>
  <c r="U319" i="28"/>
  <c r="S319" i="28"/>
  <c r="Y319" i="28" s="1"/>
  <c r="D319" i="28"/>
  <c r="B319" i="28"/>
  <c r="U318" i="28"/>
  <c r="S318" i="28"/>
  <c r="Y318" i="28" s="1"/>
  <c r="D318" i="28"/>
  <c r="B318" i="28" s="1"/>
  <c r="U317" i="28"/>
  <c r="S317" i="28"/>
  <c r="Y317" i="28"/>
  <c r="D317" i="28"/>
  <c r="B317" i="28"/>
  <c r="U316" i="28"/>
  <c r="S316" i="28"/>
  <c r="Y316" i="28" s="1"/>
  <c r="D316" i="28"/>
  <c r="B316" i="28"/>
  <c r="U315" i="28"/>
  <c r="S315" i="28"/>
  <c r="Y315" i="28"/>
  <c r="D315" i="28"/>
  <c r="B315" i="28"/>
  <c r="U314" i="28"/>
  <c r="S314" i="28"/>
  <c r="Y314" i="28"/>
  <c r="D314" i="28"/>
  <c r="B314" i="28"/>
  <c r="U313" i="28"/>
  <c r="S313" i="28"/>
  <c r="Y313" i="28"/>
  <c r="D313" i="28"/>
  <c r="B313" i="28" s="1"/>
  <c r="U312" i="28"/>
  <c r="S312" i="28"/>
  <c r="Y312" i="28" s="1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 s="1"/>
  <c r="U309" i="28"/>
  <c r="S309" i="28"/>
  <c r="Y309" i="28" s="1"/>
  <c r="D309" i="28"/>
  <c r="B309" i="28" s="1"/>
  <c r="U308" i="28"/>
  <c r="S308" i="28"/>
  <c r="Y308" i="28" s="1"/>
  <c r="D308" i="28"/>
  <c r="B308" i="28"/>
  <c r="U307" i="28"/>
  <c r="S307" i="28"/>
  <c r="D307" i="28"/>
  <c r="B307" i="28" s="1"/>
  <c r="U306" i="28"/>
  <c r="S306" i="28"/>
  <c r="Y306" i="28" s="1"/>
  <c r="D306" i="28"/>
  <c r="B306" i="28" s="1"/>
  <c r="U305" i="28"/>
  <c r="S305" i="28"/>
  <c r="D305" i="28"/>
  <c r="B305" i="28" s="1"/>
  <c r="U304" i="28"/>
  <c r="S304" i="28"/>
  <c r="Y304" i="28" s="1"/>
  <c r="D304" i="28"/>
  <c r="B304" i="28" s="1"/>
  <c r="U303" i="28"/>
  <c r="S303" i="28"/>
  <c r="Y303" i="28" s="1"/>
  <c r="D303" i="28"/>
  <c r="B303" i="28"/>
  <c r="U302" i="28"/>
  <c r="S302" i="28"/>
  <c r="Y302" i="28"/>
  <c r="D302" i="28"/>
  <c r="B302" i="28"/>
  <c r="U301" i="28"/>
  <c r="S301" i="28"/>
  <c r="D301" i="28"/>
  <c r="B301" i="28" s="1"/>
  <c r="U300" i="28"/>
  <c r="S300" i="28"/>
  <c r="Y300" i="28" s="1"/>
  <c r="D300" i="28"/>
  <c r="B300" i="28" s="1"/>
  <c r="U299" i="28"/>
  <c r="S299" i="28"/>
  <c r="Y299" i="28" s="1"/>
  <c r="D299" i="28"/>
  <c r="B299" i="28" s="1"/>
  <c r="U298" i="28"/>
  <c r="S298" i="28"/>
  <c r="Y298" i="28" s="1"/>
  <c r="D298" i="28"/>
  <c r="B298" i="28"/>
  <c r="U297" i="28"/>
  <c r="S297" i="28"/>
  <c r="Y297" i="28" s="1"/>
  <c r="D297" i="28"/>
  <c r="B297" i="28"/>
  <c r="U296" i="28"/>
  <c r="S296" i="28"/>
  <c r="Y296" i="28"/>
  <c r="D296" i="28"/>
  <c r="B296" i="28"/>
  <c r="U295" i="28"/>
  <c r="S295" i="28"/>
  <c r="Y295" i="28"/>
  <c r="D295" i="28"/>
  <c r="B295" i="28" s="1"/>
  <c r="U294" i="28"/>
  <c r="S294" i="28"/>
  <c r="Y294" i="28"/>
  <c r="D294" i="28"/>
  <c r="B294" i="28" s="1"/>
  <c r="U293" i="28"/>
  <c r="S293" i="28"/>
  <c r="Y293" i="28" s="1"/>
  <c r="D293" i="28"/>
  <c r="B293" i="28"/>
  <c r="U292" i="28"/>
  <c r="S292" i="28"/>
  <c r="Y292" i="28" s="1"/>
  <c r="D292" i="28"/>
  <c r="B292" i="28" s="1"/>
  <c r="U291" i="28"/>
  <c r="S291" i="28"/>
  <c r="Y291" i="28" s="1"/>
  <c r="D291" i="28"/>
  <c r="B291" i="28"/>
  <c r="U290" i="28"/>
  <c r="S290" i="28"/>
  <c r="Y290" i="28" s="1"/>
  <c r="D290" i="28"/>
  <c r="B290" i="28"/>
  <c r="U289" i="28"/>
  <c r="S289" i="28"/>
  <c r="Y289" i="28" s="1"/>
  <c r="D289" i="28"/>
  <c r="B289" i="28"/>
  <c r="U288" i="28"/>
  <c r="S288" i="28"/>
  <c r="Y288" i="28"/>
  <c r="D288" i="28"/>
  <c r="B288" i="28" s="1"/>
  <c r="U287" i="28"/>
  <c r="S287" i="28"/>
  <c r="Y287" i="28"/>
  <c r="D287" i="28"/>
  <c r="B287" i="28" s="1"/>
  <c r="U286" i="28"/>
  <c r="S286" i="28"/>
  <c r="D286" i="28"/>
  <c r="B286" i="28" s="1"/>
  <c r="U285" i="28"/>
  <c r="S285" i="28"/>
  <c r="Y285" i="28" s="1"/>
  <c r="D285" i="28"/>
  <c r="B285" i="28"/>
  <c r="U284" i="28"/>
  <c r="S284" i="28"/>
  <c r="D284" i="28"/>
  <c r="B284" i="28" s="1"/>
  <c r="U283" i="28"/>
  <c r="S283" i="28"/>
  <c r="Y283" i="28"/>
  <c r="D283" i="28"/>
  <c r="B283" i="28"/>
  <c r="U282" i="28"/>
  <c r="S282" i="28"/>
  <c r="Y282" i="28" s="1"/>
  <c r="D282" i="28"/>
  <c r="B282" i="28"/>
  <c r="U281" i="28"/>
  <c r="S281" i="28"/>
  <c r="Y281" i="28" s="1"/>
  <c r="D281" i="28"/>
  <c r="B281" i="28"/>
  <c r="U280" i="28"/>
  <c r="S280" i="28"/>
  <c r="D280" i="28"/>
  <c r="B280" i="28" s="1"/>
  <c r="U279" i="28"/>
  <c r="S279" i="28"/>
  <c r="Y279" i="28" s="1"/>
  <c r="D279" i="28"/>
  <c r="B279" i="28" s="1"/>
  <c r="U278" i="28"/>
  <c r="S278" i="28"/>
  <c r="Y278" i="28"/>
  <c r="D278" i="28"/>
  <c r="B278" i="28" s="1"/>
  <c r="U277" i="28"/>
  <c r="S277" i="28"/>
  <c r="Y277" i="28" s="1"/>
  <c r="D277" i="28"/>
  <c r="B277" i="28"/>
  <c r="U276" i="28"/>
  <c r="S276" i="28"/>
  <c r="Y276" i="28" s="1"/>
  <c r="D276" i="28"/>
  <c r="B276" i="28"/>
  <c r="U275" i="28"/>
  <c r="S275" i="28"/>
  <c r="Y275" i="28"/>
  <c r="D275" i="28"/>
  <c r="B275" i="28"/>
  <c r="U274" i="28"/>
  <c r="S274" i="28"/>
  <c r="D274" i="28"/>
  <c r="B274" i="28" s="1"/>
  <c r="U273" i="28"/>
  <c r="S273" i="28"/>
  <c r="Y273" i="28"/>
  <c r="D273" i="28"/>
  <c r="B273" i="28"/>
  <c r="U272" i="28"/>
  <c r="S272" i="28"/>
  <c r="Y272" i="28" s="1"/>
  <c r="D272" i="28"/>
  <c r="B272" i="28"/>
  <c r="U271" i="28"/>
  <c r="S271" i="28"/>
  <c r="Y271" i="28" s="1"/>
  <c r="D271" i="28"/>
  <c r="B271" i="28"/>
  <c r="U270" i="28"/>
  <c r="S270" i="28"/>
  <c r="Y270" i="28"/>
  <c r="D270" i="28"/>
  <c r="B270" i="28"/>
  <c r="U269" i="28"/>
  <c r="S269" i="28"/>
  <c r="Y269" i="28"/>
  <c r="D269" i="28"/>
  <c r="B269" i="28" s="1"/>
  <c r="U268" i="28"/>
  <c r="S268" i="28"/>
  <c r="Y268" i="28"/>
  <c r="D268" i="28"/>
  <c r="B268" i="28" s="1"/>
  <c r="U267" i="28"/>
  <c r="S267" i="28"/>
  <c r="Y267" i="28" s="1"/>
  <c r="D267" i="28"/>
  <c r="B267" i="28" s="1"/>
  <c r="U266" i="28"/>
  <c r="S266" i="28"/>
  <c r="D266" i="28"/>
  <c r="B266" i="28" s="1"/>
  <c r="U265" i="28"/>
  <c r="S265" i="28"/>
  <c r="Y265" i="28" s="1"/>
  <c r="D265" i="28"/>
  <c r="B265" i="28" s="1"/>
  <c r="U264" i="28"/>
  <c r="S264" i="28"/>
  <c r="Y264" i="28" s="1"/>
  <c r="D264" i="28"/>
  <c r="B264" i="28"/>
  <c r="U263" i="28"/>
  <c r="S263" i="28"/>
  <c r="Y263" i="28" s="1"/>
  <c r="D263" i="28"/>
  <c r="B263" i="28"/>
  <c r="U262" i="28"/>
  <c r="S262" i="28"/>
  <c r="Y262" i="28"/>
  <c r="D262" i="28"/>
  <c r="B262" i="28"/>
  <c r="U261" i="28"/>
  <c r="S261" i="28"/>
  <c r="D261" i="28"/>
  <c r="B261" i="28" s="1"/>
  <c r="U260" i="28"/>
  <c r="S260" i="28"/>
  <c r="Y260" i="28" s="1"/>
  <c r="D260" i="28"/>
  <c r="B260" i="28" s="1"/>
  <c r="U259" i="28"/>
  <c r="S259" i="28"/>
  <c r="Y259" i="28" s="1"/>
  <c r="D259" i="28"/>
  <c r="B259" i="28"/>
  <c r="U258" i="28"/>
  <c r="S258" i="28"/>
  <c r="Y258" i="28" s="1"/>
  <c r="D258" i="28"/>
  <c r="B258" i="28" s="1"/>
  <c r="U257" i="28"/>
  <c r="S257" i="28"/>
  <c r="Y257" i="28" s="1"/>
  <c r="D257" i="28"/>
  <c r="B257" i="28"/>
  <c r="U256" i="28"/>
  <c r="S256" i="28"/>
  <c r="Y256" i="28" s="1"/>
  <c r="D256" i="28"/>
  <c r="B256" i="28"/>
  <c r="U255" i="28"/>
  <c r="S255" i="28"/>
  <c r="Y255" i="28" s="1"/>
  <c r="D255" i="28"/>
  <c r="B255" i="28"/>
  <c r="U254" i="28"/>
  <c r="S254" i="28"/>
  <c r="Y254" i="28"/>
  <c r="D254" i="28"/>
  <c r="B254" i="28" s="1"/>
  <c r="U253" i="28"/>
  <c r="S253" i="28"/>
  <c r="Y253" i="28"/>
  <c r="D253" i="28"/>
  <c r="B253" i="28" s="1"/>
  <c r="U252" i="28"/>
  <c r="S252" i="28"/>
  <c r="Y252" i="28"/>
  <c r="D252" i="28"/>
  <c r="B252" i="28" s="1"/>
  <c r="U251" i="28"/>
  <c r="S251" i="28"/>
  <c r="Y251" i="28" s="1"/>
  <c r="D251" i="28"/>
  <c r="B251" i="28"/>
  <c r="U250" i="28"/>
  <c r="S250" i="28"/>
  <c r="D250" i="28"/>
  <c r="B250" i="28" s="1"/>
  <c r="U249" i="28"/>
  <c r="S249" i="28"/>
  <c r="Y249" i="28"/>
  <c r="D249" i="28"/>
  <c r="B249" i="28"/>
  <c r="Y116" i="28"/>
  <c r="Y327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AK13" i="8" s="1"/>
  <c r="X13" i="8"/>
  <c r="N31" i="31" s="1"/>
  <c r="O13" i="8"/>
  <c r="J13" i="8"/>
  <c r="C108" i="32"/>
  <c r="J3" i="33" s="1"/>
  <c r="D108" i="32"/>
  <c r="J4" i="33"/>
  <c r="E108" i="32"/>
  <c r="J5" i="33" s="1"/>
  <c r="F108" i="32"/>
  <c r="J6" i="33"/>
  <c r="G108" i="32"/>
  <c r="J7" i="33" s="1"/>
  <c r="H108" i="32"/>
  <c r="J8" i="33"/>
  <c r="I108" i="32"/>
  <c r="J9" i="33" s="1"/>
  <c r="J108" i="32"/>
  <c r="J10" i="33"/>
  <c r="K108" i="32"/>
  <c r="J11" i="33"/>
  <c r="L108" i="32"/>
  <c r="J12" i="33"/>
  <c r="M108" i="32"/>
  <c r="J13" i="33" s="1"/>
  <c r="N108" i="32"/>
  <c r="J14" i="33" s="1"/>
  <c r="O108" i="32"/>
  <c r="J15" i="33" s="1"/>
  <c r="P108" i="32"/>
  <c r="J16" i="33"/>
  <c r="Q108" i="32"/>
  <c r="J17" i="33" s="1"/>
  <c r="R108" i="32"/>
  <c r="J18" i="33"/>
  <c r="S108" i="32"/>
  <c r="J19" i="33"/>
  <c r="T108" i="32"/>
  <c r="J20" i="33"/>
  <c r="U108" i="32"/>
  <c r="J21" i="33" s="1"/>
  <c r="V108" i="32"/>
  <c r="J22" i="33" s="1"/>
  <c r="W108" i="32"/>
  <c r="J23" i="33" s="1"/>
  <c r="X108" i="32"/>
  <c r="J24" i="33"/>
  <c r="Y108" i="32"/>
  <c r="J25" i="33" s="1"/>
  <c r="Z108" i="32"/>
  <c r="J26" i="33" s="1"/>
  <c r="AA108" i="32"/>
  <c r="J27" i="33"/>
  <c r="AB108" i="32"/>
  <c r="J28" i="33"/>
  <c r="AC108" i="32"/>
  <c r="J29" i="33" s="1"/>
  <c r="AD108" i="32"/>
  <c r="J30" i="33"/>
  <c r="AE108" i="32"/>
  <c r="J31" i="33" s="1"/>
  <c r="AF108" i="32"/>
  <c r="J32" i="33"/>
  <c r="AG108" i="32"/>
  <c r="J33" i="33" s="1"/>
  <c r="AH108" i="32"/>
  <c r="J34" i="33"/>
  <c r="AI108" i="32"/>
  <c r="J35" i="33" s="1"/>
  <c r="AJ108" i="32"/>
  <c r="J36" i="33"/>
  <c r="AK108" i="32"/>
  <c r="J37" i="33" s="1"/>
  <c r="AL108" i="32"/>
  <c r="J38" i="33" s="1"/>
  <c r="AM108" i="32"/>
  <c r="J39" i="33"/>
  <c r="AN108" i="32"/>
  <c r="J40" i="33"/>
  <c r="AS20" i="8"/>
  <c r="AQ33" i="8"/>
  <c r="AF202" i="4"/>
  <c r="AF203" i="4"/>
  <c r="AF204" i="4"/>
  <c r="AF205" i="4"/>
  <c r="AF201" i="4"/>
  <c r="AF200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/>
  <c r="AJ20" i="8" s="1"/>
  <c r="X3" i="11"/>
  <c r="AS50" i="4"/>
  <c r="X4" i="11"/>
  <c r="AS170" i="4" s="1"/>
  <c r="X5" i="11"/>
  <c r="X6" i="11"/>
  <c r="X7" i="11"/>
  <c r="AS207" i="4"/>
  <c r="X8" i="11"/>
  <c r="X9" i="11"/>
  <c r="X10" i="11"/>
  <c r="X11" i="11"/>
  <c r="X12" i="11"/>
  <c r="X13" i="11"/>
  <c r="X14" i="11"/>
  <c r="X2" i="11"/>
  <c r="AS83" i="4"/>
  <c r="AS113" i="4"/>
  <c r="AS161" i="4"/>
  <c r="AS25" i="4"/>
  <c r="AS44" i="4"/>
  <c r="AS109" i="4"/>
  <c r="AS132" i="4"/>
  <c r="AS191" i="4"/>
  <c r="AS147" i="4"/>
  <c r="AS46" i="4"/>
  <c r="AS80" i="4"/>
  <c r="AS78" i="4"/>
  <c r="AS65" i="4"/>
  <c r="AS130" i="4"/>
  <c r="AS179" i="4"/>
  <c r="AS118" i="4"/>
  <c r="AS178" i="4"/>
  <c r="AS14" i="4"/>
  <c r="AS186" i="4"/>
  <c r="AS100" i="4"/>
  <c r="AS58" i="4"/>
  <c r="AS123" i="4"/>
  <c r="AS136" i="4"/>
  <c r="AS68" i="4"/>
  <c r="AS117" i="4"/>
  <c r="AS167" i="4"/>
  <c r="AS110" i="4"/>
  <c r="AS13" i="4"/>
  <c r="AS105" i="4"/>
  <c r="AS6" i="4"/>
  <c r="AS48" i="4"/>
  <c r="AS164" i="4"/>
  <c r="AS9" i="4"/>
  <c r="AS153" i="4"/>
  <c r="AS81" i="4"/>
  <c r="AS22" i="4"/>
  <c r="AS89" i="4"/>
  <c r="AS93" i="4"/>
  <c r="AS124" i="4"/>
  <c r="AS96" i="4"/>
  <c r="AS120" i="4"/>
  <c r="AS55" i="4"/>
  <c r="AS190" i="4"/>
  <c r="AS177" i="4"/>
  <c r="AQ31" i="8"/>
  <c r="AM31" i="8"/>
  <c r="AF31" i="8"/>
  <c r="AD31" i="8" s="1"/>
  <c r="AJ31" i="8" s="1"/>
  <c r="X31" i="8"/>
  <c r="AQ30" i="8"/>
  <c r="AM30" i="8"/>
  <c r="AF30" i="8"/>
  <c r="AD30" i="8" s="1"/>
  <c r="AJ30" i="8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132" i="12"/>
  <c r="B133" i="12"/>
  <c r="B268" i="12" s="1"/>
  <c r="B119" i="12"/>
  <c r="B254" i="12" s="1"/>
  <c r="B389" i="12" s="1"/>
  <c r="B120" i="12"/>
  <c r="B255" i="12" s="1"/>
  <c r="B121" i="12"/>
  <c r="B122" i="12"/>
  <c r="B257" i="12" s="1"/>
  <c r="B123" i="12"/>
  <c r="B258" i="12"/>
  <c r="B393" i="12" s="1"/>
  <c r="B528" i="12" s="1"/>
  <c r="B663" i="12"/>
  <c r="B798" i="12" s="1"/>
  <c r="B933" i="12"/>
  <c r="B124" i="12"/>
  <c r="B125" i="12"/>
  <c r="B260" i="12" s="1"/>
  <c r="B395" i="12" s="1"/>
  <c r="B126" i="12"/>
  <c r="B261" i="12" s="1"/>
  <c r="B396" i="12"/>
  <c r="B531" i="12" s="1"/>
  <c r="B127" i="12"/>
  <c r="B128" i="12"/>
  <c r="B129" i="12"/>
  <c r="B130" i="12"/>
  <c r="B265" i="12" s="1"/>
  <c r="B400" i="12" s="1"/>
  <c r="B535" i="12"/>
  <c r="B670" i="12" s="1"/>
  <c r="AY201" i="4"/>
  <c r="AY202" i="4"/>
  <c r="AY203" i="4"/>
  <c r="AY204" i="4"/>
  <c r="AY205" i="4"/>
  <c r="AY208" i="4"/>
  <c r="AY207" i="4"/>
  <c r="AY206" i="4"/>
  <c r="AY210" i="4"/>
  <c r="AY209" i="4"/>
  <c r="AY212" i="4"/>
  <c r="AY211" i="4"/>
  <c r="AY216" i="4"/>
  <c r="AY215" i="4"/>
  <c r="AY214" i="4"/>
  <c r="AY213" i="4"/>
  <c r="AY200" i="4"/>
  <c r="AJ200" i="4"/>
  <c r="AP200" i="4" s="1"/>
  <c r="AK200" i="4"/>
  <c r="AK201" i="4"/>
  <c r="AK202" i="4"/>
  <c r="AK203" i="4"/>
  <c r="AK204" i="4"/>
  <c r="AK205" i="4"/>
  <c r="AK208" i="4"/>
  <c r="AK207" i="4"/>
  <c r="AK206" i="4"/>
  <c r="AK210" i="4"/>
  <c r="AK209" i="4"/>
  <c r="AK212" i="4"/>
  <c r="AK211" i="4"/>
  <c r="AK216" i="4"/>
  <c r="AK215" i="4"/>
  <c r="AK214" i="4"/>
  <c r="AK213" i="4"/>
  <c r="AL3" i="4"/>
  <c r="AK3" i="4" s="1"/>
  <c r="AL4" i="4"/>
  <c r="AK4" i="4" s="1"/>
  <c r="AL5" i="4"/>
  <c r="AK5" i="4"/>
  <c r="AL6" i="4"/>
  <c r="AK6" i="4"/>
  <c r="AL7" i="4"/>
  <c r="AK7" i="4" s="1"/>
  <c r="AL8" i="4"/>
  <c r="AK8" i="4" s="1"/>
  <c r="AL9" i="4"/>
  <c r="AK9" i="4" s="1"/>
  <c r="AL10" i="4"/>
  <c r="AK10" i="4" s="1"/>
  <c r="AL11" i="4"/>
  <c r="AK11" i="4" s="1"/>
  <c r="AL12" i="4"/>
  <c r="AK12" i="4" s="1"/>
  <c r="AL13" i="4"/>
  <c r="AK13" i="4"/>
  <c r="AL14" i="4"/>
  <c r="AK14" i="4" s="1"/>
  <c r="AL15" i="4"/>
  <c r="AK15" i="4" s="1"/>
  <c r="AL16" i="4"/>
  <c r="AK16" i="4" s="1"/>
  <c r="AL17" i="4"/>
  <c r="AK17" i="4"/>
  <c r="AL18" i="4"/>
  <c r="AK18" i="4" s="1"/>
  <c r="AL19" i="4"/>
  <c r="AK19" i="4" s="1"/>
  <c r="AL20" i="4"/>
  <c r="AK20" i="4" s="1"/>
  <c r="AL21" i="4"/>
  <c r="AK21" i="4"/>
  <c r="AL22" i="4"/>
  <c r="AK22" i="4" s="1"/>
  <c r="AL23" i="4"/>
  <c r="AK23" i="4" s="1"/>
  <c r="AL24" i="4"/>
  <c r="AK24" i="4" s="1"/>
  <c r="AL25" i="4"/>
  <c r="AK25" i="4" s="1"/>
  <c r="AL26" i="4"/>
  <c r="AK26" i="4" s="1"/>
  <c r="AL27" i="4"/>
  <c r="AK27" i="4" s="1"/>
  <c r="AL28" i="4"/>
  <c r="AK28" i="4" s="1"/>
  <c r="AL29" i="4"/>
  <c r="AK29" i="4" s="1"/>
  <c r="AL30" i="4"/>
  <c r="AK30" i="4" s="1"/>
  <c r="AL31" i="4"/>
  <c r="AK31" i="4" s="1"/>
  <c r="AL32" i="4"/>
  <c r="AK32" i="4" s="1"/>
  <c r="AL33" i="4"/>
  <c r="AK33" i="4" s="1"/>
  <c r="AL34" i="4"/>
  <c r="AK34" i="4" s="1"/>
  <c r="AL35" i="4"/>
  <c r="AK35" i="4" s="1"/>
  <c r="AL36" i="4"/>
  <c r="AK36" i="4" s="1"/>
  <c r="AL37" i="4"/>
  <c r="AK37" i="4"/>
  <c r="AL38" i="4"/>
  <c r="AK38" i="4" s="1"/>
  <c r="AL39" i="4"/>
  <c r="AK39" i="4" s="1"/>
  <c r="AL40" i="4"/>
  <c r="AK40" i="4" s="1"/>
  <c r="AL41" i="4"/>
  <c r="AK41" i="4" s="1"/>
  <c r="AL42" i="4"/>
  <c r="AK42" i="4"/>
  <c r="AL43" i="4"/>
  <c r="AK43" i="4" s="1"/>
  <c r="AL44" i="4"/>
  <c r="AK44" i="4" s="1"/>
  <c r="AL45" i="4"/>
  <c r="AK45" i="4" s="1"/>
  <c r="AL46" i="4"/>
  <c r="AK46" i="4" s="1"/>
  <c r="AL47" i="4"/>
  <c r="AK47" i="4" s="1"/>
  <c r="AL48" i="4"/>
  <c r="AK48" i="4" s="1"/>
  <c r="AL49" i="4"/>
  <c r="AK49" i="4" s="1"/>
  <c r="AL50" i="4"/>
  <c r="AK50" i="4" s="1"/>
  <c r="AL51" i="4"/>
  <c r="AK51" i="4" s="1"/>
  <c r="AL52" i="4"/>
  <c r="AK52" i="4" s="1"/>
  <c r="AL53" i="4"/>
  <c r="AK53" i="4" s="1"/>
  <c r="AL54" i="4"/>
  <c r="AK54" i="4"/>
  <c r="AL55" i="4"/>
  <c r="AK55" i="4" s="1"/>
  <c r="AL56" i="4"/>
  <c r="AK56" i="4" s="1"/>
  <c r="AL57" i="4"/>
  <c r="AK57" i="4" s="1"/>
  <c r="AL58" i="4"/>
  <c r="AK58" i="4" s="1"/>
  <c r="AL59" i="4"/>
  <c r="AK59" i="4" s="1"/>
  <c r="AL60" i="4"/>
  <c r="AK60" i="4" s="1"/>
  <c r="AL61" i="4"/>
  <c r="AK61" i="4" s="1"/>
  <c r="AL62" i="4"/>
  <c r="AK62" i="4" s="1"/>
  <c r="AL63" i="4"/>
  <c r="AK63" i="4" s="1"/>
  <c r="AL64" i="4"/>
  <c r="AK64" i="4" s="1"/>
  <c r="AL65" i="4"/>
  <c r="AK65" i="4" s="1"/>
  <c r="AL66" i="4"/>
  <c r="AK66" i="4" s="1"/>
  <c r="AL67" i="4"/>
  <c r="AK67" i="4" s="1"/>
  <c r="AL68" i="4"/>
  <c r="AK68" i="4" s="1"/>
  <c r="AL69" i="4"/>
  <c r="AK69" i="4" s="1"/>
  <c r="AL70" i="4"/>
  <c r="AK70" i="4" s="1"/>
  <c r="AL71" i="4"/>
  <c r="AK71" i="4" s="1"/>
  <c r="AL72" i="4"/>
  <c r="AK72" i="4" s="1"/>
  <c r="AL73" i="4"/>
  <c r="AK73" i="4"/>
  <c r="AL74" i="4"/>
  <c r="AK74" i="4"/>
  <c r="AL75" i="4"/>
  <c r="AK75" i="4" s="1"/>
  <c r="AL76" i="4"/>
  <c r="AK76" i="4" s="1"/>
  <c r="AL77" i="4"/>
  <c r="AK77" i="4" s="1"/>
  <c r="AL78" i="4"/>
  <c r="AK78" i="4" s="1"/>
  <c r="AL79" i="4"/>
  <c r="AK79" i="4" s="1"/>
  <c r="AL80" i="4"/>
  <c r="AK80" i="4" s="1"/>
  <c r="AL81" i="4"/>
  <c r="AK81" i="4"/>
  <c r="AL82" i="4"/>
  <c r="AK82" i="4" s="1"/>
  <c r="AL83" i="4"/>
  <c r="AK83" i="4" s="1"/>
  <c r="AL84" i="4"/>
  <c r="AK84" i="4" s="1"/>
  <c r="AL85" i="4"/>
  <c r="AK85" i="4"/>
  <c r="AL86" i="4"/>
  <c r="AK86" i="4" s="1"/>
  <c r="AL87" i="4"/>
  <c r="AK87" i="4" s="1"/>
  <c r="AL88" i="4"/>
  <c r="AK88" i="4" s="1"/>
  <c r="AL89" i="4"/>
  <c r="AK89" i="4" s="1"/>
  <c r="AL90" i="4"/>
  <c r="AK90" i="4" s="1"/>
  <c r="AL91" i="4"/>
  <c r="AK91" i="4" s="1"/>
  <c r="AL92" i="4"/>
  <c r="AK92" i="4" s="1"/>
  <c r="AL93" i="4"/>
  <c r="AK93" i="4" s="1"/>
  <c r="AL94" i="4"/>
  <c r="AK94" i="4" s="1"/>
  <c r="AL95" i="4"/>
  <c r="AK95" i="4" s="1"/>
  <c r="AL96" i="4"/>
  <c r="AK96" i="4" s="1"/>
  <c r="AL97" i="4"/>
  <c r="AK97" i="4"/>
  <c r="AL98" i="4"/>
  <c r="AK98" i="4" s="1"/>
  <c r="AL99" i="4"/>
  <c r="AK99" i="4" s="1"/>
  <c r="AL100" i="4"/>
  <c r="AK100" i="4" s="1"/>
  <c r="AL101" i="4"/>
  <c r="AK101" i="4"/>
  <c r="AL102" i="4"/>
  <c r="AK102" i="4" s="1"/>
  <c r="AL103" i="4"/>
  <c r="AK103" i="4" s="1"/>
  <c r="AL104" i="4"/>
  <c r="AK104" i="4" s="1"/>
  <c r="AL105" i="4"/>
  <c r="AK105" i="4"/>
  <c r="AL106" i="4"/>
  <c r="AK106" i="4" s="1"/>
  <c r="AL107" i="4"/>
  <c r="AK107" i="4" s="1"/>
  <c r="AL108" i="4"/>
  <c r="AK108" i="4" s="1"/>
  <c r="AL109" i="4"/>
  <c r="AK109" i="4"/>
  <c r="AL110" i="4"/>
  <c r="AK110" i="4" s="1"/>
  <c r="AL111" i="4"/>
  <c r="AK111" i="4" s="1"/>
  <c r="AL112" i="4"/>
  <c r="AK112" i="4" s="1"/>
  <c r="AL113" i="4"/>
  <c r="AK113" i="4"/>
  <c r="AL114" i="4"/>
  <c r="AK114" i="4" s="1"/>
  <c r="AL115" i="4"/>
  <c r="AK115" i="4" s="1"/>
  <c r="AL116" i="4"/>
  <c r="AK116" i="4" s="1"/>
  <c r="AL117" i="4"/>
  <c r="AK117" i="4"/>
  <c r="AL118" i="4"/>
  <c r="AK118" i="4" s="1"/>
  <c r="AL119" i="4"/>
  <c r="AK119" i="4" s="1"/>
  <c r="AL120" i="4"/>
  <c r="AK120" i="4" s="1"/>
  <c r="AL121" i="4"/>
  <c r="AK121" i="4"/>
  <c r="AL122" i="4"/>
  <c r="AK122" i="4"/>
  <c r="AL123" i="4"/>
  <c r="AK123" i="4" s="1"/>
  <c r="AL124" i="4"/>
  <c r="AK124" i="4" s="1"/>
  <c r="AL125" i="4"/>
  <c r="AK125" i="4" s="1"/>
  <c r="AL126" i="4"/>
  <c r="AK126" i="4" s="1"/>
  <c r="AL127" i="4"/>
  <c r="AK127" i="4" s="1"/>
  <c r="AL128" i="4"/>
  <c r="AK128" i="4" s="1"/>
  <c r="AL129" i="4"/>
  <c r="AK129" i="4"/>
  <c r="AL130" i="4"/>
  <c r="AK130" i="4" s="1"/>
  <c r="AL131" i="4"/>
  <c r="AK131" i="4" s="1"/>
  <c r="AL132" i="4"/>
  <c r="AK132" i="4" s="1"/>
  <c r="AL133" i="4"/>
  <c r="AK133" i="4"/>
  <c r="AL134" i="4"/>
  <c r="AK134" i="4"/>
  <c r="AL135" i="4"/>
  <c r="AK135" i="4" s="1"/>
  <c r="AL136" i="4"/>
  <c r="AK136" i="4" s="1"/>
  <c r="AL137" i="4"/>
  <c r="AK137" i="4" s="1"/>
  <c r="AL138" i="4"/>
  <c r="AK138" i="4"/>
  <c r="AL139" i="4"/>
  <c r="AK139" i="4" s="1"/>
  <c r="AL140" i="4"/>
  <c r="AK140" i="4" s="1"/>
  <c r="AL141" i="4"/>
  <c r="AK141" i="4" s="1"/>
  <c r="AL142" i="4"/>
  <c r="AK142" i="4" s="1"/>
  <c r="AL143" i="4"/>
  <c r="AK143" i="4" s="1"/>
  <c r="AL144" i="4"/>
  <c r="AK144" i="4" s="1"/>
  <c r="AL145" i="4"/>
  <c r="AK145" i="4"/>
  <c r="AL146" i="4"/>
  <c r="AK146" i="4" s="1"/>
  <c r="AL147" i="4"/>
  <c r="AK147" i="4" s="1"/>
  <c r="AL148" i="4"/>
  <c r="AK148" i="4" s="1"/>
  <c r="AL149" i="4"/>
  <c r="AK149" i="4" s="1"/>
  <c r="AL150" i="4"/>
  <c r="AK150" i="4"/>
  <c r="AL151" i="4"/>
  <c r="AK151" i="4" s="1"/>
  <c r="AL152" i="4"/>
  <c r="AK152" i="4" s="1"/>
  <c r="AL153" i="4"/>
  <c r="AK153" i="4" s="1"/>
  <c r="AL154" i="4"/>
  <c r="AK154" i="4" s="1"/>
  <c r="AL155" i="4"/>
  <c r="AK155" i="4" s="1"/>
  <c r="AL156" i="4"/>
  <c r="AK156" i="4" s="1"/>
  <c r="AL157" i="4"/>
  <c r="AK157" i="4"/>
  <c r="AL158" i="4"/>
  <c r="AK158" i="4" s="1"/>
  <c r="AL159" i="4"/>
  <c r="AK159" i="4" s="1"/>
  <c r="AL160" i="4"/>
  <c r="AK160" i="4" s="1"/>
  <c r="AL161" i="4"/>
  <c r="AK161" i="4" s="1"/>
  <c r="AL162" i="4"/>
  <c r="AK162" i="4" s="1"/>
  <c r="AL163" i="4"/>
  <c r="AK163" i="4" s="1"/>
  <c r="AL164" i="4"/>
  <c r="AK164" i="4" s="1"/>
  <c r="AL165" i="4"/>
  <c r="AK165" i="4" s="1"/>
  <c r="AL166" i="4"/>
  <c r="AK166" i="4" s="1"/>
  <c r="AL167" i="4"/>
  <c r="AK167" i="4" s="1"/>
  <c r="AL168" i="4"/>
  <c r="AK168" i="4" s="1"/>
  <c r="AL169" i="4"/>
  <c r="AK169" i="4"/>
  <c r="AL170" i="4"/>
  <c r="AK170" i="4"/>
  <c r="AL171" i="4"/>
  <c r="AK171" i="4" s="1"/>
  <c r="AL172" i="4"/>
  <c r="AK172" i="4" s="1"/>
  <c r="AL173" i="4"/>
  <c r="AK173" i="4" s="1"/>
  <c r="AL174" i="4"/>
  <c r="AK174" i="4" s="1"/>
  <c r="AL175" i="4"/>
  <c r="AK175" i="4" s="1"/>
  <c r="AL176" i="4"/>
  <c r="AK176" i="4" s="1"/>
  <c r="AL177" i="4"/>
  <c r="AK177" i="4"/>
  <c r="AL178" i="4"/>
  <c r="AK178" i="4" s="1"/>
  <c r="AL179" i="4"/>
  <c r="AK179" i="4" s="1"/>
  <c r="AL180" i="4"/>
  <c r="AK180" i="4" s="1"/>
  <c r="AL181" i="4"/>
  <c r="AK181" i="4"/>
  <c r="AL182" i="4"/>
  <c r="AK182" i="4"/>
  <c r="AL183" i="4"/>
  <c r="AK183" i="4" s="1"/>
  <c r="AL184" i="4"/>
  <c r="AK184" i="4" s="1"/>
  <c r="AL185" i="4"/>
  <c r="AK185" i="4" s="1"/>
  <c r="AL186" i="4"/>
  <c r="AK186" i="4"/>
  <c r="AL187" i="4"/>
  <c r="AK187" i="4" s="1"/>
  <c r="AL188" i="4"/>
  <c r="AK188" i="4" s="1"/>
  <c r="AL189" i="4"/>
  <c r="AK189" i="4" s="1"/>
  <c r="AL190" i="4"/>
  <c r="AK190" i="4" s="1"/>
  <c r="AL191" i="4"/>
  <c r="AK191" i="4" s="1"/>
  <c r="AL192" i="4"/>
  <c r="AK192" i="4" s="1"/>
  <c r="Y192" i="4"/>
  <c r="R192" i="4"/>
  <c r="Y191" i="4"/>
  <c r="X191" i="4"/>
  <c r="R191" i="4"/>
  <c r="Q191" i="4"/>
  <c r="Y190" i="4"/>
  <c r="X190" i="4" s="1"/>
  <c r="R190" i="4"/>
  <c r="S190" i="4" s="1"/>
  <c r="Q190" i="4"/>
  <c r="Y189" i="4"/>
  <c r="X189" i="4" s="1"/>
  <c r="R189" i="4"/>
  <c r="Q189" i="4" s="1"/>
  <c r="Y188" i="4"/>
  <c r="X188" i="4" s="1"/>
  <c r="R188" i="4"/>
  <c r="S188" i="4" s="1"/>
  <c r="Y187" i="4"/>
  <c r="R187" i="4"/>
  <c r="S187" i="4" s="1"/>
  <c r="Y186" i="4"/>
  <c r="R186" i="4"/>
  <c r="Y185" i="4"/>
  <c r="X185" i="4"/>
  <c r="R185" i="4"/>
  <c r="Y184" i="4"/>
  <c r="X184" i="4" s="1"/>
  <c r="R184" i="4"/>
  <c r="S184" i="4"/>
  <c r="Y183" i="4"/>
  <c r="X183" i="4" s="1"/>
  <c r="R183" i="4"/>
  <c r="Q183" i="4" s="1"/>
  <c r="Y182" i="4"/>
  <c r="X182" i="4" s="1"/>
  <c r="R182" i="4"/>
  <c r="S182" i="4"/>
  <c r="Y181" i="4"/>
  <c r="X181" i="4" s="1"/>
  <c r="R181" i="4"/>
  <c r="Q181" i="4"/>
  <c r="Y180" i="4"/>
  <c r="R180" i="4"/>
  <c r="Y179" i="4"/>
  <c r="X179" i="4" s="1"/>
  <c r="R179" i="4"/>
  <c r="Y178" i="4"/>
  <c r="X178" i="4" s="1"/>
  <c r="R178" i="4"/>
  <c r="S178" i="4" s="1"/>
  <c r="Y177" i="4"/>
  <c r="X177" i="4" s="1"/>
  <c r="R177" i="4"/>
  <c r="Q177" i="4" s="1"/>
  <c r="S177" i="4"/>
  <c r="Y176" i="4"/>
  <c r="X176" i="4" s="1"/>
  <c r="R176" i="4"/>
  <c r="S176" i="4" s="1"/>
  <c r="Y175" i="4"/>
  <c r="X175" i="4" s="1"/>
  <c r="R175" i="4"/>
  <c r="Y174" i="4"/>
  <c r="X174" i="4" s="1"/>
  <c r="R174" i="4"/>
  <c r="Z174" i="4" s="1"/>
  <c r="Y173" i="4"/>
  <c r="R173" i="4"/>
  <c r="Y172" i="4"/>
  <c r="X172" i="4" s="1"/>
  <c r="R172" i="4"/>
  <c r="Q172" i="4" s="1"/>
  <c r="Y171" i="4"/>
  <c r="X171" i="4"/>
  <c r="R171" i="4"/>
  <c r="Y170" i="4"/>
  <c r="R170" i="4"/>
  <c r="S170" i="4" s="1"/>
  <c r="Y169" i="4"/>
  <c r="X169" i="4" s="1"/>
  <c r="R169" i="4"/>
  <c r="S169" i="4"/>
  <c r="Y168" i="4"/>
  <c r="X168" i="4" s="1"/>
  <c r="R168" i="4"/>
  <c r="Q168" i="4" s="1"/>
  <c r="Y167" i="4"/>
  <c r="X167" i="4" s="1"/>
  <c r="R167" i="4"/>
  <c r="Y166" i="4"/>
  <c r="R166" i="4"/>
  <c r="Y165" i="4"/>
  <c r="R165" i="4"/>
  <c r="S165" i="4" s="1"/>
  <c r="Y164" i="4"/>
  <c r="R164" i="4"/>
  <c r="Y163" i="4"/>
  <c r="X163" i="4" s="1"/>
  <c r="R163" i="4"/>
  <c r="Y162" i="4"/>
  <c r="X162" i="4" s="1"/>
  <c r="R162" i="4"/>
  <c r="Y161" i="4"/>
  <c r="R161" i="4"/>
  <c r="Q161" i="4" s="1"/>
  <c r="Y160" i="4"/>
  <c r="X160" i="4" s="1"/>
  <c r="R160" i="4"/>
  <c r="S160" i="4" s="1"/>
  <c r="Y159" i="4"/>
  <c r="R159" i="4"/>
  <c r="S159" i="4" s="1"/>
  <c r="Y158" i="4"/>
  <c r="R158" i="4"/>
  <c r="Y157" i="4"/>
  <c r="X157" i="4" s="1"/>
  <c r="R157" i="4"/>
  <c r="Y156" i="4"/>
  <c r="X156" i="4" s="1"/>
  <c r="R156" i="4"/>
  <c r="S156" i="4" s="1"/>
  <c r="Y155" i="4"/>
  <c r="X155" i="4" s="1"/>
  <c r="R155" i="4"/>
  <c r="Y154" i="4"/>
  <c r="X154" i="4"/>
  <c r="R154" i="4"/>
  <c r="S154" i="4"/>
  <c r="Y153" i="4"/>
  <c r="X153" i="4" s="1"/>
  <c r="R153" i="4"/>
  <c r="Y152" i="4"/>
  <c r="X152" i="4" s="1"/>
  <c r="R152" i="4"/>
  <c r="S152" i="4" s="1"/>
  <c r="Y151" i="4"/>
  <c r="R151" i="4"/>
  <c r="S151" i="4" s="1"/>
  <c r="Y150" i="4"/>
  <c r="X150" i="4" s="1"/>
  <c r="R150" i="4"/>
  <c r="Y149" i="4"/>
  <c r="X149" i="4" s="1"/>
  <c r="R149" i="4"/>
  <c r="Q149" i="4" s="1"/>
  <c r="Y148" i="4"/>
  <c r="X148" i="4" s="1"/>
  <c r="R148" i="4"/>
  <c r="Y147" i="4"/>
  <c r="R147" i="4"/>
  <c r="Q147" i="4" s="1"/>
  <c r="Y146" i="4"/>
  <c r="X146" i="4" s="1"/>
  <c r="R146" i="4"/>
  <c r="Y145" i="4"/>
  <c r="R145" i="4"/>
  <c r="Q145" i="4" s="1"/>
  <c r="Y144" i="4"/>
  <c r="R144" i="4"/>
  <c r="Y143" i="4"/>
  <c r="X143" i="4" s="1"/>
  <c r="R143" i="4"/>
  <c r="Y142" i="4"/>
  <c r="R142" i="4"/>
  <c r="Z142" i="4" s="1"/>
  <c r="Y141" i="4"/>
  <c r="X141" i="4" s="1"/>
  <c r="R141" i="4"/>
  <c r="S141" i="4" s="1"/>
  <c r="Y140" i="4"/>
  <c r="X140" i="4" s="1"/>
  <c r="R140" i="4"/>
  <c r="Y139" i="4"/>
  <c r="R139" i="4"/>
  <c r="Q139" i="4"/>
  <c r="Y138" i="4"/>
  <c r="X138" i="4" s="1"/>
  <c r="R138" i="4"/>
  <c r="Y137" i="4"/>
  <c r="R137" i="4"/>
  <c r="S137" i="4" s="1"/>
  <c r="Y136" i="4"/>
  <c r="X136" i="4" s="1"/>
  <c r="R136" i="4"/>
  <c r="Q136" i="4"/>
  <c r="Y135" i="4"/>
  <c r="R135" i="4"/>
  <c r="S135" i="4" s="1"/>
  <c r="Y134" i="4"/>
  <c r="R134" i="4"/>
  <c r="Q134" i="4"/>
  <c r="Y133" i="4"/>
  <c r="X133" i="4" s="1"/>
  <c r="R133" i="4"/>
  <c r="Q133" i="4" s="1"/>
  <c r="Y132" i="4"/>
  <c r="R132" i="4"/>
  <c r="Q132" i="4" s="1"/>
  <c r="Y131" i="4"/>
  <c r="R131" i="4"/>
  <c r="Y130" i="4"/>
  <c r="X130" i="4" s="1"/>
  <c r="R130" i="4"/>
  <c r="Y129" i="4"/>
  <c r="X129" i="4" s="1"/>
  <c r="R129" i="4"/>
  <c r="Y213" i="4"/>
  <c r="R213" i="4"/>
  <c r="S213" i="4" s="1"/>
  <c r="Y214" i="4"/>
  <c r="R214" i="4"/>
  <c r="Q214" i="4" s="1"/>
  <c r="Y215" i="4"/>
  <c r="R215" i="4"/>
  <c r="S215" i="4" s="1"/>
  <c r="Q215" i="4"/>
  <c r="Y216" i="4"/>
  <c r="R216" i="4"/>
  <c r="S216" i="4"/>
  <c r="Y211" i="4"/>
  <c r="X211" i="4"/>
  <c r="R211" i="4"/>
  <c r="Y212" i="4"/>
  <c r="R212" i="4"/>
  <c r="Q212" i="4" s="1"/>
  <c r="Y209" i="4"/>
  <c r="R209" i="4"/>
  <c r="Y210" i="4"/>
  <c r="X210" i="4" s="1"/>
  <c r="R210" i="4"/>
  <c r="S210" i="4"/>
  <c r="Y206" i="4"/>
  <c r="X206" i="4"/>
  <c r="R206" i="4"/>
  <c r="Q206" i="4" s="1"/>
  <c r="Y207" i="4"/>
  <c r="R207" i="4"/>
  <c r="Y208" i="4"/>
  <c r="X208" i="4"/>
  <c r="R208" i="4"/>
  <c r="S208" i="4"/>
  <c r="Y205" i="4"/>
  <c r="R205" i="4"/>
  <c r="S205" i="4" s="1"/>
  <c r="Y204" i="4"/>
  <c r="X204" i="4" s="1"/>
  <c r="R204" i="4"/>
  <c r="Y203" i="4"/>
  <c r="X203" i="4" s="1"/>
  <c r="R203" i="4"/>
  <c r="S203" i="4" s="1"/>
  <c r="Y202" i="4"/>
  <c r="R202" i="4"/>
  <c r="Y201" i="4"/>
  <c r="X201" i="4" s="1"/>
  <c r="R201" i="4"/>
  <c r="Y200" i="4"/>
  <c r="X200" i="4" s="1"/>
  <c r="R200" i="4"/>
  <c r="S200" i="4"/>
  <c r="AU200" i="4"/>
  <c r="AZ200" i="4"/>
  <c r="AU201" i="4"/>
  <c r="AZ201" i="4"/>
  <c r="AU202" i="4"/>
  <c r="AZ202" i="4"/>
  <c r="AU203" i="4"/>
  <c r="AZ203" i="4"/>
  <c r="AU204" i="4"/>
  <c r="AZ204" i="4"/>
  <c r="AU205" i="4"/>
  <c r="AZ205" i="4"/>
  <c r="AF208" i="4"/>
  <c r="AU208" i="4"/>
  <c r="AZ208" i="4"/>
  <c r="AF207" i="4"/>
  <c r="AU207" i="4"/>
  <c r="AZ207" i="4"/>
  <c r="AF206" i="4"/>
  <c r="AU206" i="4"/>
  <c r="AZ206" i="4"/>
  <c r="AF210" i="4"/>
  <c r="AU210" i="4"/>
  <c r="AZ210" i="4"/>
  <c r="AF209" i="4"/>
  <c r="AU209" i="4"/>
  <c r="AZ209" i="4"/>
  <c r="AF212" i="4"/>
  <c r="AU212" i="4"/>
  <c r="AZ212" i="4"/>
  <c r="AF211" i="4"/>
  <c r="AU211" i="4"/>
  <c r="AZ211" i="4"/>
  <c r="AF216" i="4"/>
  <c r="AU216" i="4"/>
  <c r="AZ216" i="4"/>
  <c r="AF215" i="4"/>
  <c r="AU215" i="4"/>
  <c r="AZ215" i="4"/>
  <c r="AF214" i="4"/>
  <c r="AU214" i="4"/>
  <c r="AZ214" i="4"/>
  <c r="AF213" i="4"/>
  <c r="AU213" i="4"/>
  <c r="AZ213" i="4"/>
  <c r="Y128" i="4"/>
  <c r="X128" i="4"/>
  <c r="R128" i="4"/>
  <c r="Y127" i="4"/>
  <c r="X127" i="4" s="1"/>
  <c r="R127" i="4"/>
  <c r="Y126" i="4"/>
  <c r="R126" i="4"/>
  <c r="Q126" i="4" s="1"/>
  <c r="Y125" i="4"/>
  <c r="X125" i="4" s="1"/>
  <c r="R125" i="4"/>
  <c r="Z125" i="4" s="1"/>
  <c r="Y124" i="4"/>
  <c r="X124" i="4" s="1"/>
  <c r="R124" i="4"/>
  <c r="Q124" i="4" s="1"/>
  <c r="Y123" i="4"/>
  <c r="X123" i="4" s="1"/>
  <c r="R123" i="4"/>
  <c r="Q123" i="4" s="1"/>
  <c r="Y122" i="4"/>
  <c r="R122" i="4"/>
  <c r="S122" i="4"/>
  <c r="Y121" i="4"/>
  <c r="X121" i="4" s="1"/>
  <c r="R121" i="4"/>
  <c r="Q121" i="4"/>
  <c r="Y120" i="4"/>
  <c r="X120" i="4"/>
  <c r="R120" i="4"/>
  <c r="S120" i="4" s="1"/>
  <c r="Y119" i="4"/>
  <c r="R119" i="4"/>
  <c r="Q119" i="4" s="1"/>
  <c r="Y118" i="4"/>
  <c r="R118" i="4"/>
  <c r="S118" i="4"/>
  <c r="Y117" i="4"/>
  <c r="R117" i="4"/>
  <c r="S117" i="4" s="1"/>
  <c r="Y116" i="4"/>
  <c r="R116" i="4"/>
  <c r="Q116" i="4" s="1"/>
  <c r="Y115" i="4"/>
  <c r="X115" i="4" s="1"/>
  <c r="R115" i="4"/>
  <c r="Q115" i="4" s="1"/>
  <c r="Y114" i="4"/>
  <c r="R114" i="4"/>
  <c r="S114" i="4" s="1"/>
  <c r="Y113" i="4"/>
  <c r="R113" i="4"/>
  <c r="Y112" i="4"/>
  <c r="R112" i="4"/>
  <c r="Y111" i="4"/>
  <c r="X111" i="4" s="1"/>
  <c r="R111" i="4"/>
  <c r="Y110" i="4"/>
  <c r="X110" i="4" s="1"/>
  <c r="R110" i="4"/>
  <c r="S110" i="4" s="1"/>
  <c r="Y109" i="4"/>
  <c r="R109" i="4"/>
  <c r="S109" i="4" s="1"/>
  <c r="Q109" i="4"/>
  <c r="Y108" i="4"/>
  <c r="X108" i="4" s="1"/>
  <c r="R108" i="4"/>
  <c r="Q108" i="4" s="1"/>
  <c r="Y107" i="4"/>
  <c r="X107" i="4" s="1"/>
  <c r="R107" i="4"/>
  <c r="Y106" i="4"/>
  <c r="X106" i="4"/>
  <c r="R106" i="4"/>
  <c r="Q106" i="4" s="1"/>
  <c r="Y105" i="4"/>
  <c r="R105" i="4"/>
  <c r="S105" i="4" s="1"/>
  <c r="Y104" i="4"/>
  <c r="X104" i="4" s="1"/>
  <c r="R104" i="4"/>
  <c r="Y103" i="4"/>
  <c r="X103" i="4"/>
  <c r="R103" i="4"/>
  <c r="S103" i="4" s="1"/>
  <c r="Y102" i="4"/>
  <c r="X102" i="4" s="1"/>
  <c r="R102" i="4"/>
  <c r="S102" i="4"/>
  <c r="Y101" i="4"/>
  <c r="R101" i="4"/>
  <c r="S101" i="4" s="1"/>
  <c r="Q101" i="4"/>
  <c r="Y100" i="4"/>
  <c r="X100" i="4" s="1"/>
  <c r="R100" i="4"/>
  <c r="Q100" i="4" s="1"/>
  <c r="Y99" i="4"/>
  <c r="R99" i="4"/>
  <c r="Y98" i="4"/>
  <c r="X98" i="4" s="1"/>
  <c r="R98" i="4"/>
  <c r="Q98" i="4" s="1"/>
  <c r="Y97" i="4"/>
  <c r="R97" i="4"/>
  <c r="Z97" i="4" s="1"/>
  <c r="S97" i="4"/>
  <c r="Y96" i="4"/>
  <c r="R96" i="4"/>
  <c r="Y95" i="4"/>
  <c r="X95" i="4" s="1"/>
  <c r="R95" i="4"/>
  <c r="Y94" i="4"/>
  <c r="X94" i="4" s="1"/>
  <c r="R94" i="4"/>
  <c r="Y93" i="4"/>
  <c r="X93" i="4" s="1"/>
  <c r="R93" i="4"/>
  <c r="Q93" i="4" s="1"/>
  <c r="Y92" i="4"/>
  <c r="X92" i="4" s="1"/>
  <c r="R92" i="4"/>
  <c r="Y91" i="4"/>
  <c r="R91" i="4"/>
  <c r="S91" i="4" s="1"/>
  <c r="Y90" i="4"/>
  <c r="X90" i="4" s="1"/>
  <c r="R90" i="4"/>
  <c r="Q90" i="4" s="1"/>
  <c r="Y89" i="4"/>
  <c r="X89" i="4" s="1"/>
  <c r="R89" i="4"/>
  <c r="S89" i="4" s="1"/>
  <c r="Y88" i="4"/>
  <c r="R88" i="4"/>
  <c r="Q88" i="4" s="1"/>
  <c r="Y87" i="4"/>
  <c r="X87" i="4" s="1"/>
  <c r="R87" i="4"/>
  <c r="S87" i="4" s="1"/>
  <c r="Y86" i="4"/>
  <c r="X86" i="4" s="1"/>
  <c r="R86" i="4"/>
  <c r="Z86" i="4" s="1"/>
  <c r="Y85" i="4"/>
  <c r="R85" i="4"/>
  <c r="Y84" i="4"/>
  <c r="X84" i="4" s="1"/>
  <c r="R84" i="4"/>
  <c r="S84" i="4"/>
  <c r="Y83" i="4"/>
  <c r="R83" i="4"/>
  <c r="S83" i="4" s="1"/>
  <c r="Y82" i="4"/>
  <c r="X82" i="4" s="1"/>
  <c r="R82" i="4"/>
  <c r="Q82" i="4" s="1"/>
  <c r="Y81" i="4"/>
  <c r="X81" i="4"/>
  <c r="R81" i="4"/>
  <c r="Q81" i="4" s="1"/>
  <c r="Y80" i="4"/>
  <c r="X80" i="4" s="1"/>
  <c r="R80" i="4"/>
  <c r="Q80" i="4" s="1"/>
  <c r="Y79" i="4"/>
  <c r="X79" i="4"/>
  <c r="R79" i="4"/>
  <c r="Z79" i="4" s="1"/>
  <c r="Y78" i="4"/>
  <c r="R78" i="4"/>
  <c r="Y77" i="4"/>
  <c r="X77" i="4"/>
  <c r="R77" i="4"/>
  <c r="S77" i="4" s="1"/>
  <c r="Y76" i="4"/>
  <c r="X76" i="4" s="1"/>
  <c r="R76" i="4"/>
  <c r="Y75" i="4"/>
  <c r="X75" i="4" s="1"/>
  <c r="R75" i="4"/>
  <c r="Y74" i="4"/>
  <c r="R74" i="4"/>
  <c r="Y73" i="4"/>
  <c r="X73" i="4" s="1"/>
  <c r="R73" i="4"/>
  <c r="S73" i="4" s="1"/>
  <c r="Y72" i="4"/>
  <c r="X72" i="4"/>
  <c r="R72" i="4"/>
  <c r="Y71" i="4"/>
  <c r="X71" i="4" s="1"/>
  <c r="R71" i="4"/>
  <c r="Y70" i="4"/>
  <c r="X70" i="4"/>
  <c r="R70" i="4"/>
  <c r="Y69" i="4"/>
  <c r="X69" i="4"/>
  <c r="R69" i="4"/>
  <c r="S69" i="4" s="1"/>
  <c r="Y68" i="4"/>
  <c r="X68" i="4" s="1"/>
  <c r="R68" i="4"/>
  <c r="Q68" i="4" s="1"/>
  <c r="Y67" i="4"/>
  <c r="X67" i="4"/>
  <c r="R67" i="4"/>
  <c r="Q67" i="4" s="1"/>
  <c r="Y66" i="4"/>
  <c r="X66" i="4" s="1"/>
  <c r="R66" i="4"/>
  <c r="Q66" i="4"/>
  <c r="Y65" i="4"/>
  <c r="X65" i="4" s="1"/>
  <c r="R65" i="4"/>
  <c r="Y64" i="4"/>
  <c r="X64" i="4" s="1"/>
  <c r="R64" i="4"/>
  <c r="Y63" i="4"/>
  <c r="X63" i="4" s="1"/>
  <c r="R63" i="4"/>
  <c r="S63" i="4" s="1"/>
  <c r="Y62" i="4"/>
  <c r="X62" i="4" s="1"/>
  <c r="R62" i="4"/>
  <c r="Q62" i="4" s="1"/>
  <c r="Y61" i="4"/>
  <c r="X61" i="4"/>
  <c r="R61" i="4"/>
  <c r="Q61" i="4"/>
  <c r="Y60" i="4"/>
  <c r="X60" i="4" s="1"/>
  <c r="R60" i="4"/>
  <c r="Y59" i="4"/>
  <c r="X59" i="4"/>
  <c r="R59" i="4"/>
  <c r="Q59" i="4" s="1"/>
  <c r="S59" i="4"/>
  <c r="Y58" i="4"/>
  <c r="X58" i="4" s="1"/>
  <c r="R58" i="4"/>
  <c r="Y57" i="4"/>
  <c r="X57" i="4" s="1"/>
  <c r="R57" i="4"/>
  <c r="Y56" i="4"/>
  <c r="X56" i="4" s="1"/>
  <c r="R56" i="4"/>
  <c r="Z56" i="4" s="1"/>
  <c r="Y55" i="4"/>
  <c r="X55" i="4" s="1"/>
  <c r="R55" i="4"/>
  <c r="Q55" i="4"/>
  <c r="Y54" i="4"/>
  <c r="X54" i="4" s="1"/>
  <c r="R54" i="4"/>
  <c r="S54" i="4" s="1"/>
  <c r="Y53" i="4"/>
  <c r="X53" i="4" s="1"/>
  <c r="R53" i="4"/>
  <c r="S53" i="4"/>
  <c r="Y52" i="4"/>
  <c r="R52" i="4"/>
  <c r="Y51" i="4"/>
  <c r="X51" i="4" s="1"/>
  <c r="R51" i="4"/>
  <c r="Q51" i="4"/>
  <c r="Y50" i="4"/>
  <c r="R50" i="4"/>
  <c r="Q50" i="4" s="1"/>
  <c r="S50" i="4"/>
  <c r="Y49" i="4"/>
  <c r="R49" i="4"/>
  <c r="Y48" i="4"/>
  <c r="X48" i="4" s="1"/>
  <c r="R48" i="4"/>
  <c r="Y47" i="4"/>
  <c r="X47" i="4" s="1"/>
  <c r="R47" i="4"/>
  <c r="S47" i="4" s="1"/>
  <c r="Y46" i="4"/>
  <c r="Y45" i="4"/>
  <c r="X45" i="4"/>
  <c r="R45" i="4"/>
  <c r="Q45" i="4" s="1"/>
  <c r="Y44" i="4"/>
  <c r="R44" i="4"/>
  <c r="Y43" i="4"/>
  <c r="X43" i="4" s="1"/>
  <c r="R43" i="4"/>
  <c r="Y42" i="4"/>
  <c r="X42" i="4" s="1"/>
  <c r="R42" i="4"/>
  <c r="Y41" i="4"/>
  <c r="X41" i="4" s="1"/>
  <c r="R41" i="4"/>
  <c r="Y40" i="4"/>
  <c r="R40" i="4"/>
  <c r="S40" i="4" s="1"/>
  <c r="Y39" i="4"/>
  <c r="X39" i="4" s="1"/>
  <c r="R39" i="4"/>
  <c r="S39" i="4" s="1"/>
  <c r="Y38" i="4"/>
  <c r="R38" i="4"/>
  <c r="Q38" i="4" s="1"/>
  <c r="Y37" i="4"/>
  <c r="R37" i="4"/>
  <c r="Y36" i="4"/>
  <c r="R36" i="4"/>
  <c r="S36" i="4" s="1"/>
  <c r="Y35" i="4"/>
  <c r="X35" i="4" s="1"/>
  <c r="R35" i="4"/>
  <c r="Y34" i="4"/>
  <c r="R34" i="4"/>
  <c r="S34" i="4" s="1"/>
  <c r="Y33" i="4"/>
  <c r="R33" i="4"/>
  <c r="S33" i="4" s="1"/>
  <c r="Y32" i="4"/>
  <c r="X32" i="4" s="1"/>
  <c r="R32" i="4"/>
  <c r="S32" i="4" s="1"/>
  <c r="Y31" i="4"/>
  <c r="X31" i="4" s="1"/>
  <c r="R31" i="4"/>
  <c r="S31" i="4" s="1"/>
  <c r="Y30" i="4"/>
  <c r="R30" i="4"/>
  <c r="Q30" i="4" s="1"/>
  <c r="Y29" i="4"/>
  <c r="R29" i="4"/>
  <c r="Q29" i="4"/>
  <c r="Y28" i="4"/>
  <c r="R28" i="4"/>
  <c r="Y27" i="4"/>
  <c r="X27" i="4" s="1"/>
  <c r="R27" i="4"/>
  <c r="Y26" i="4"/>
  <c r="X26" i="4"/>
  <c r="R26" i="4"/>
  <c r="Q26" i="4"/>
  <c r="Y25" i="4"/>
  <c r="X25" i="4" s="1"/>
  <c r="R25" i="4"/>
  <c r="Q25" i="4" s="1"/>
  <c r="Y24" i="4"/>
  <c r="X24" i="4"/>
  <c r="R24" i="4"/>
  <c r="Q24" i="4"/>
  <c r="Y23" i="4"/>
  <c r="X23" i="4" s="1"/>
  <c r="R23" i="4"/>
  <c r="Y22" i="4"/>
  <c r="R22" i="4"/>
  <c r="Q22" i="4" s="1"/>
  <c r="Y21" i="4"/>
  <c r="X21" i="4" s="1"/>
  <c r="R21" i="4"/>
  <c r="Y20" i="4"/>
  <c r="R20" i="4"/>
  <c r="Y19" i="4"/>
  <c r="X19" i="4"/>
  <c r="R19" i="4"/>
  <c r="Q19" i="4" s="1"/>
  <c r="Y18" i="4"/>
  <c r="X18" i="4" s="1"/>
  <c r="R18" i="4"/>
  <c r="Q18" i="4" s="1"/>
  <c r="Y17" i="4"/>
  <c r="R17" i="4"/>
  <c r="Y16" i="4"/>
  <c r="X16" i="4" s="1"/>
  <c r="R16" i="4"/>
  <c r="S16" i="4" s="1"/>
  <c r="Y15" i="4"/>
  <c r="X15" i="4" s="1"/>
  <c r="R15" i="4"/>
  <c r="Y14" i="4"/>
  <c r="X14" i="4" s="1"/>
  <c r="R14" i="4"/>
  <c r="Y13" i="4"/>
  <c r="R13" i="4"/>
  <c r="S13" i="4"/>
  <c r="Y12" i="4"/>
  <c r="R12" i="4"/>
  <c r="S12" i="4" s="1"/>
  <c r="Y11" i="4"/>
  <c r="R11" i="4"/>
  <c r="Y10" i="4"/>
  <c r="X10" i="4"/>
  <c r="R10" i="4"/>
  <c r="Y9" i="4"/>
  <c r="X9" i="4" s="1"/>
  <c r="R9" i="4"/>
  <c r="Y8" i="4"/>
  <c r="X8" i="4" s="1"/>
  <c r="R8" i="4"/>
  <c r="Q8" i="4"/>
  <c r="Y7" i="4"/>
  <c r="X7" i="4" s="1"/>
  <c r="R7" i="4"/>
  <c r="Q7" i="4" s="1"/>
  <c r="Y6" i="4"/>
  <c r="R6" i="4"/>
  <c r="Y5" i="4"/>
  <c r="R5" i="4"/>
  <c r="S5" i="4" s="1"/>
  <c r="Y4" i="4"/>
  <c r="X4" i="4" s="1"/>
  <c r="R4" i="4"/>
  <c r="Q4" i="4" s="1"/>
  <c r="Y3" i="4"/>
  <c r="X3" i="4" s="1"/>
  <c r="R3" i="4"/>
  <c r="Y2" i="4"/>
  <c r="X2" i="4" s="1"/>
  <c r="R2" i="4"/>
  <c r="AF2" i="4"/>
  <c r="AL2" i="4"/>
  <c r="AK2" i="4" s="1"/>
  <c r="AP2" i="4"/>
  <c r="AT2" i="4" s="1"/>
  <c r="AU2" i="4"/>
  <c r="AY2" i="4"/>
  <c r="AZ2" i="4"/>
  <c r="AF3" i="4"/>
  <c r="AP3" i="4"/>
  <c r="AU3" i="4"/>
  <c r="AY3" i="4"/>
  <c r="AZ3" i="4"/>
  <c r="AF4" i="4"/>
  <c r="AP4" i="4"/>
  <c r="AT4" i="4" s="1"/>
  <c r="AU4" i="4"/>
  <c r="AY4" i="4"/>
  <c r="AZ4" i="4"/>
  <c r="AF5" i="4"/>
  <c r="AP5" i="4"/>
  <c r="AU5" i="4"/>
  <c r="AY5" i="4"/>
  <c r="AZ5" i="4"/>
  <c r="AF6" i="4"/>
  <c r="AP6" i="4"/>
  <c r="AU6" i="4"/>
  <c r="AY6" i="4"/>
  <c r="AZ6" i="4"/>
  <c r="AF7" i="4"/>
  <c r="AP7" i="4"/>
  <c r="AU7" i="4"/>
  <c r="AY7" i="4"/>
  <c r="AZ7" i="4"/>
  <c r="AF8" i="4"/>
  <c r="AP8" i="4"/>
  <c r="AR8" i="4" s="1"/>
  <c r="AU8" i="4"/>
  <c r="AY8" i="4"/>
  <c r="AZ8" i="4"/>
  <c r="AF9" i="4"/>
  <c r="AP9" i="4"/>
  <c r="AU9" i="4"/>
  <c r="AY9" i="4"/>
  <c r="AZ9" i="4"/>
  <c r="AF10" i="4"/>
  <c r="AP10" i="4"/>
  <c r="AU10" i="4"/>
  <c r="AY10" i="4"/>
  <c r="AZ10" i="4"/>
  <c r="AP11" i="4"/>
  <c r="AR11" i="4" s="1"/>
  <c r="AT11" i="4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 s="1"/>
  <c r="AU15" i="4"/>
  <c r="AY15" i="4"/>
  <c r="AZ15" i="4"/>
  <c r="AP16" i="4"/>
  <c r="AT16" i="4" s="1"/>
  <c r="AU16" i="4"/>
  <c r="AY16" i="4"/>
  <c r="AZ16" i="4"/>
  <c r="AF17" i="4"/>
  <c r="AP17" i="4"/>
  <c r="AU17" i="4"/>
  <c r="AY17" i="4"/>
  <c r="AZ17" i="4"/>
  <c r="AF18" i="4"/>
  <c r="AP18" i="4"/>
  <c r="AR18" i="4" s="1"/>
  <c r="AU18" i="4"/>
  <c r="AY18" i="4"/>
  <c r="AZ18" i="4"/>
  <c r="AF19" i="4"/>
  <c r="AP19" i="4"/>
  <c r="AR19" i="4" s="1"/>
  <c r="AU19" i="4"/>
  <c r="AY19" i="4"/>
  <c r="AZ19" i="4"/>
  <c r="AP20" i="4"/>
  <c r="AT20" i="4"/>
  <c r="AU20" i="4"/>
  <c r="AY20" i="4"/>
  <c r="AZ20" i="4"/>
  <c r="AF21" i="4"/>
  <c r="AP21" i="4"/>
  <c r="AT21" i="4" s="1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T24" i="4" s="1"/>
  <c r="AU24" i="4"/>
  <c r="AY24" i="4"/>
  <c r="AZ24" i="4"/>
  <c r="AF25" i="4"/>
  <c r="AP25" i="4"/>
  <c r="AR25" i="4" s="1"/>
  <c r="AU25" i="4"/>
  <c r="AY25" i="4"/>
  <c r="AZ25" i="4"/>
  <c r="AF26" i="4"/>
  <c r="AP26" i="4"/>
  <c r="AU26" i="4"/>
  <c r="AY26" i="4"/>
  <c r="AZ26" i="4"/>
  <c r="AF27" i="4"/>
  <c r="AP27" i="4"/>
  <c r="AR27" i="4" s="1"/>
  <c r="AU27" i="4"/>
  <c r="AY27" i="4"/>
  <c r="AZ27" i="4"/>
  <c r="AF28" i="4"/>
  <c r="AP28" i="4"/>
  <c r="AR28" i="4" s="1"/>
  <c r="AU28" i="4"/>
  <c r="AY28" i="4"/>
  <c r="AZ28" i="4"/>
  <c r="AF29" i="4"/>
  <c r="AP29" i="4"/>
  <c r="AR29" i="4" s="1"/>
  <c r="AU29" i="4"/>
  <c r="AY29" i="4"/>
  <c r="AZ29" i="4"/>
  <c r="AF30" i="4"/>
  <c r="AP30" i="4"/>
  <c r="AT30" i="4" s="1"/>
  <c r="AU30" i="4"/>
  <c r="AY30" i="4"/>
  <c r="AZ30" i="4"/>
  <c r="AF31" i="4"/>
  <c r="AP31" i="4"/>
  <c r="AR31" i="4"/>
  <c r="AU31" i="4"/>
  <c r="AY31" i="4"/>
  <c r="AZ31" i="4"/>
  <c r="AF32" i="4"/>
  <c r="AP32" i="4"/>
  <c r="AR32" i="4" s="1"/>
  <c r="AU32" i="4"/>
  <c r="AY32" i="4"/>
  <c r="AZ32" i="4"/>
  <c r="AF33" i="4"/>
  <c r="AP33" i="4"/>
  <c r="AU33" i="4"/>
  <c r="AY33" i="4"/>
  <c r="AZ33" i="4"/>
  <c r="AF34" i="4"/>
  <c r="AP34" i="4"/>
  <c r="AR34" i="4" s="1"/>
  <c r="AT34" i="4"/>
  <c r="AU34" i="4"/>
  <c r="AY34" i="4"/>
  <c r="AZ34" i="4"/>
  <c r="AF35" i="4"/>
  <c r="AP35" i="4"/>
  <c r="AU35" i="4"/>
  <c r="AY35" i="4"/>
  <c r="AZ35" i="4"/>
  <c r="AF36" i="4"/>
  <c r="AP36" i="4"/>
  <c r="AU36" i="4"/>
  <c r="AY36" i="4"/>
  <c r="AZ36" i="4"/>
  <c r="AF37" i="4"/>
  <c r="AP37" i="4"/>
  <c r="AR37" i="4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 s="1"/>
  <c r="AU41" i="4"/>
  <c r="AY41" i="4"/>
  <c r="AZ41" i="4"/>
  <c r="AF42" i="4"/>
  <c r="AP42" i="4"/>
  <c r="AT42" i="4" s="1"/>
  <c r="AU42" i="4"/>
  <c r="AY42" i="4"/>
  <c r="AZ42" i="4"/>
  <c r="AF43" i="4"/>
  <c r="AP43" i="4"/>
  <c r="AU43" i="4"/>
  <c r="AY43" i="4"/>
  <c r="AZ43" i="4"/>
  <c r="AF44" i="4"/>
  <c r="AP44" i="4"/>
  <c r="AT44" i="4"/>
  <c r="AU44" i="4"/>
  <c r="AY44" i="4"/>
  <c r="AZ44" i="4"/>
  <c r="AF45" i="4"/>
  <c r="AP45" i="4"/>
  <c r="AT45" i="4" s="1"/>
  <c r="AR45" i="4"/>
  <c r="AU45" i="4"/>
  <c r="AY45" i="4"/>
  <c r="AZ45" i="4"/>
  <c r="AF46" i="4"/>
  <c r="AP46" i="4"/>
  <c r="AR46" i="4"/>
  <c r="AU46" i="4"/>
  <c r="AY46" i="4"/>
  <c r="AZ46" i="4"/>
  <c r="AF47" i="4"/>
  <c r="AP47" i="4"/>
  <c r="AU47" i="4"/>
  <c r="AY47" i="4"/>
  <c r="AZ47" i="4"/>
  <c r="AF48" i="4"/>
  <c r="AP48" i="4"/>
  <c r="AU48" i="4"/>
  <c r="AY48" i="4"/>
  <c r="AZ48" i="4"/>
  <c r="AF49" i="4"/>
  <c r="AP49" i="4"/>
  <c r="AT49" i="4"/>
  <c r="AU49" i="4"/>
  <c r="AY49" i="4"/>
  <c r="AZ49" i="4"/>
  <c r="AF50" i="4"/>
  <c r="AP50" i="4"/>
  <c r="AT50" i="4"/>
  <c r="AU50" i="4"/>
  <c r="AY50" i="4"/>
  <c r="AZ50" i="4"/>
  <c r="AF51" i="4"/>
  <c r="AP51" i="4"/>
  <c r="AU51" i="4"/>
  <c r="AY51" i="4"/>
  <c r="AZ51" i="4"/>
  <c r="AF52" i="4"/>
  <c r="AP52" i="4"/>
  <c r="AT52" i="4"/>
  <c r="AU52" i="4"/>
  <c r="AY52" i="4"/>
  <c r="AZ52" i="4"/>
  <c r="AF53" i="4"/>
  <c r="AP53" i="4"/>
  <c r="AU53" i="4"/>
  <c r="AY53" i="4"/>
  <c r="AZ53" i="4"/>
  <c r="AF54" i="4"/>
  <c r="AP54" i="4"/>
  <c r="AU54" i="4"/>
  <c r="AY54" i="4"/>
  <c r="AZ54" i="4"/>
  <c r="AF55" i="4"/>
  <c r="AP55" i="4"/>
  <c r="AT55" i="4" s="1"/>
  <c r="AU55" i="4"/>
  <c r="AY55" i="4"/>
  <c r="AZ55" i="4"/>
  <c r="AF56" i="4"/>
  <c r="AP56" i="4"/>
  <c r="AR56" i="4" s="1"/>
  <c r="AU56" i="4"/>
  <c r="AY56" i="4"/>
  <c r="AZ56" i="4"/>
  <c r="AF57" i="4"/>
  <c r="AP57" i="4"/>
  <c r="AU57" i="4"/>
  <c r="AY57" i="4"/>
  <c r="AZ57" i="4"/>
  <c r="AF58" i="4"/>
  <c r="AP58" i="4"/>
  <c r="AR58" i="4" s="1"/>
  <c r="AU58" i="4"/>
  <c r="AY58" i="4"/>
  <c r="AZ58" i="4"/>
  <c r="AF59" i="4"/>
  <c r="AP59" i="4"/>
  <c r="AT59" i="4" s="1"/>
  <c r="AU59" i="4"/>
  <c r="AY59" i="4"/>
  <c r="AZ59" i="4"/>
  <c r="AF60" i="4"/>
  <c r="AP60" i="4"/>
  <c r="AR60" i="4" s="1"/>
  <c r="AU60" i="4"/>
  <c r="AY60" i="4"/>
  <c r="AZ60" i="4"/>
  <c r="AF61" i="4"/>
  <c r="AP61" i="4"/>
  <c r="AU61" i="4"/>
  <c r="AY61" i="4"/>
  <c r="AZ61" i="4"/>
  <c r="AF62" i="4"/>
  <c r="AP62" i="4"/>
  <c r="AU62" i="4"/>
  <c r="AY62" i="4"/>
  <c r="AZ62" i="4"/>
  <c r="AF63" i="4"/>
  <c r="AP63" i="4"/>
  <c r="AT63" i="4"/>
  <c r="AU63" i="4"/>
  <c r="AY63" i="4"/>
  <c r="AZ63" i="4"/>
  <c r="AF64" i="4"/>
  <c r="AP64" i="4"/>
  <c r="AT64" i="4" s="1"/>
  <c r="AU64" i="4"/>
  <c r="AY64" i="4"/>
  <c r="AZ64" i="4"/>
  <c r="AF65" i="4"/>
  <c r="AP65" i="4"/>
  <c r="AU65" i="4"/>
  <c r="AY65" i="4"/>
  <c r="AZ65" i="4"/>
  <c r="AF66" i="4"/>
  <c r="AP66" i="4"/>
  <c r="AR66" i="4" s="1"/>
  <c r="AU66" i="4"/>
  <c r="AY66" i="4"/>
  <c r="AZ66" i="4"/>
  <c r="AF67" i="4"/>
  <c r="AP67" i="4"/>
  <c r="AT67" i="4"/>
  <c r="AU67" i="4"/>
  <c r="AY67" i="4"/>
  <c r="AZ67" i="4"/>
  <c r="AF68" i="4"/>
  <c r="AP68" i="4"/>
  <c r="AT68" i="4" s="1"/>
  <c r="AU68" i="4"/>
  <c r="AY68" i="4"/>
  <c r="AZ68" i="4"/>
  <c r="AF69" i="4"/>
  <c r="AP69" i="4"/>
  <c r="AT69" i="4" s="1"/>
  <c r="AU69" i="4"/>
  <c r="AY69" i="4"/>
  <c r="AZ69" i="4"/>
  <c r="AF70" i="4"/>
  <c r="AP70" i="4"/>
  <c r="AU70" i="4"/>
  <c r="AY70" i="4"/>
  <c r="AZ70" i="4"/>
  <c r="AF71" i="4"/>
  <c r="AP71" i="4"/>
  <c r="AR71" i="4" s="1"/>
  <c r="AU71" i="4"/>
  <c r="AY71" i="4"/>
  <c r="AZ71" i="4"/>
  <c r="AF72" i="4"/>
  <c r="AP72" i="4"/>
  <c r="AR72" i="4" s="1"/>
  <c r="AU72" i="4"/>
  <c r="AY72" i="4"/>
  <c r="AZ72" i="4"/>
  <c r="AF73" i="4"/>
  <c r="AP73" i="4"/>
  <c r="AT73" i="4"/>
  <c r="AU73" i="4"/>
  <c r="AY73" i="4"/>
  <c r="AZ73" i="4"/>
  <c r="AF74" i="4"/>
  <c r="AP74" i="4"/>
  <c r="AU74" i="4"/>
  <c r="AY74" i="4"/>
  <c r="AZ74" i="4"/>
  <c r="AF75" i="4"/>
  <c r="AP75" i="4"/>
  <c r="AU75" i="4"/>
  <c r="AY75" i="4"/>
  <c r="AZ75" i="4"/>
  <c r="AF76" i="4"/>
  <c r="AP76" i="4"/>
  <c r="AU76" i="4"/>
  <c r="AY76" i="4"/>
  <c r="AZ76" i="4"/>
  <c r="AF77" i="4"/>
  <c r="AP77" i="4"/>
  <c r="AU77" i="4"/>
  <c r="AY77" i="4"/>
  <c r="AZ77" i="4"/>
  <c r="AF78" i="4"/>
  <c r="AP78" i="4"/>
  <c r="AU78" i="4"/>
  <c r="AY78" i="4"/>
  <c r="AZ78" i="4"/>
  <c r="AF79" i="4"/>
  <c r="AP79" i="4"/>
  <c r="AT79" i="4" s="1"/>
  <c r="AR79" i="4"/>
  <c r="AU79" i="4"/>
  <c r="AY79" i="4"/>
  <c r="AZ79" i="4"/>
  <c r="AF80" i="4"/>
  <c r="AP80" i="4"/>
  <c r="AR80" i="4"/>
  <c r="AU80" i="4"/>
  <c r="AY80" i="4"/>
  <c r="AZ80" i="4"/>
  <c r="AF81" i="4"/>
  <c r="AP81" i="4"/>
  <c r="AU81" i="4"/>
  <c r="AY81" i="4"/>
  <c r="AZ81" i="4"/>
  <c r="AF82" i="4"/>
  <c r="AP82" i="4"/>
  <c r="AT82" i="4" s="1"/>
  <c r="AR82" i="4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T85" i="4" s="1"/>
  <c r="AR85" i="4"/>
  <c r="AU85" i="4"/>
  <c r="AY85" i="4"/>
  <c r="AZ85" i="4"/>
  <c r="AF86" i="4"/>
  <c r="AP86" i="4"/>
  <c r="AT86" i="4" s="1"/>
  <c r="AU86" i="4"/>
  <c r="AY86" i="4"/>
  <c r="AZ86" i="4"/>
  <c r="AF87" i="4"/>
  <c r="AP87" i="4"/>
  <c r="AR87" i="4" s="1"/>
  <c r="AU87" i="4"/>
  <c r="AY87" i="4"/>
  <c r="AZ87" i="4"/>
  <c r="AF88" i="4"/>
  <c r="AP88" i="4"/>
  <c r="AT88" i="4" s="1"/>
  <c r="AR88" i="4"/>
  <c r="AU88" i="4"/>
  <c r="AY88" i="4"/>
  <c r="AZ88" i="4"/>
  <c r="AF89" i="4"/>
  <c r="AP89" i="4"/>
  <c r="AU89" i="4"/>
  <c r="AY89" i="4"/>
  <c r="AZ89" i="4"/>
  <c r="AF90" i="4"/>
  <c r="AP90" i="4"/>
  <c r="AR90" i="4"/>
  <c r="AU90" i="4"/>
  <c r="AY90" i="4"/>
  <c r="AZ90" i="4"/>
  <c r="AF91" i="4"/>
  <c r="AP91" i="4"/>
  <c r="AT91" i="4" s="1"/>
  <c r="AU91" i="4"/>
  <c r="AY91" i="4"/>
  <c r="AZ91" i="4"/>
  <c r="AF92" i="4"/>
  <c r="AP92" i="4"/>
  <c r="AU92" i="4"/>
  <c r="AY92" i="4"/>
  <c r="AZ92" i="4"/>
  <c r="AF93" i="4"/>
  <c r="AP93" i="4"/>
  <c r="AR93" i="4" s="1"/>
  <c r="AU93" i="4"/>
  <c r="AY93" i="4"/>
  <c r="AZ93" i="4"/>
  <c r="AF94" i="4"/>
  <c r="AP94" i="4"/>
  <c r="AU94" i="4"/>
  <c r="AY94" i="4"/>
  <c r="AZ94" i="4"/>
  <c r="AF95" i="4"/>
  <c r="AP95" i="4"/>
  <c r="AU95" i="4"/>
  <c r="AY95" i="4"/>
  <c r="AZ95" i="4"/>
  <c r="AF96" i="4"/>
  <c r="AP96" i="4"/>
  <c r="AU96" i="4"/>
  <c r="AY96" i="4"/>
  <c r="AZ96" i="4"/>
  <c r="AF97" i="4"/>
  <c r="AP97" i="4"/>
  <c r="AU97" i="4"/>
  <c r="AY97" i="4"/>
  <c r="AZ97" i="4"/>
  <c r="AF98" i="4"/>
  <c r="AP98" i="4"/>
  <c r="AT98" i="4" s="1"/>
  <c r="AU98" i="4"/>
  <c r="AY98" i="4"/>
  <c r="AZ98" i="4"/>
  <c r="AF99" i="4"/>
  <c r="AP99" i="4"/>
  <c r="AU99" i="4"/>
  <c r="AY99" i="4"/>
  <c r="AZ99" i="4"/>
  <c r="AF100" i="4"/>
  <c r="AP100" i="4"/>
  <c r="AU100" i="4"/>
  <c r="AY100" i="4"/>
  <c r="AZ100" i="4"/>
  <c r="AF101" i="4"/>
  <c r="AP101" i="4"/>
  <c r="AU101" i="4"/>
  <c r="AY101" i="4"/>
  <c r="AZ101" i="4"/>
  <c r="AF102" i="4"/>
  <c r="AP102" i="4"/>
  <c r="AU102" i="4"/>
  <c r="AY102" i="4"/>
  <c r="AZ102" i="4"/>
  <c r="AF103" i="4"/>
  <c r="AP103" i="4"/>
  <c r="AT103" i="4" s="1"/>
  <c r="AU103" i="4"/>
  <c r="AY103" i="4"/>
  <c r="AZ103" i="4"/>
  <c r="AF104" i="4"/>
  <c r="AP104" i="4"/>
  <c r="AR104" i="4" s="1"/>
  <c r="AU104" i="4"/>
  <c r="AY104" i="4"/>
  <c r="AZ104" i="4"/>
  <c r="AF105" i="4"/>
  <c r="AP105" i="4"/>
  <c r="AU105" i="4"/>
  <c r="AY105" i="4"/>
  <c r="AZ105" i="4"/>
  <c r="AF106" i="4"/>
  <c r="AP106" i="4"/>
  <c r="AR106" i="4" s="1"/>
  <c r="AU106" i="4"/>
  <c r="AY106" i="4"/>
  <c r="AZ106" i="4"/>
  <c r="AF107" i="4"/>
  <c r="AP107" i="4"/>
  <c r="AU107" i="4"/>
  <c r="AY107" i="4"/>
  <c r="AZ107" i="4"/>
  <c r="AF108" i="4"/>
  <c r="AP108" i="4"/>
  <c r="AT108" i="4" s="1"/>
  <c r="AU108" i="4"/>
  <c r="AY108" i="4"/>
  <c r="AZ108" i="4"/>
  <c r="AF109" i="4"/>
  <c r="AP109" i="4"/>
  <c r="AR109" i="4" s="1"/>
  <c r="AU109" i="4"/>
  <c r="AY109" i="4"/>
  <c r="AZ109" i="4"/>
  <c r="AF110" i="4"/>
  <c r="AP110" i="4"/>
  <c r="AU110" i="4"/>
  <c r="AY110" i="4"/>
  <c r="AZ110" i="4"/>
  <c r="AF111" i="4"/>
  <c r="AP111" i="4"/>
  <c r="AR111" i="4" s="1"/>
  <c r="AU111" i="4"/>
  <c r="AY111" i="4"/>
  <c r="AZ111" i="4"/>
  <c r="AF112" i="4"/>
  <c r="AP112" i="4"/>
  <c r="AU112" i="4"/>
  <c r="AY112" i="4"/>
  <c r="AZ112" i="4"/>
  <c r="AF113" i="4"/>
  <c r="AP113" i="4"/>
  <c r="AU113" i="4"/>
  <c r="AY113" i="4"/>
  <c r="AZ113" i="4"/>
  <c r="AF114" i="4"/>
  <c r="AP114" i="4"/>
  <c r="AU114" i="4"/>
  <c r="AY114" i="4"/>
  <c r="AZ114" i="4"/>
  <c r="AF115" i="4"/>
  <c r="AP115" i="4"/>
  <c r="AR115" i="4" s="1"/>
  <c r="AU115" i="4"/>
  <c r="AY115" i="4"/>
  <c r="AZ115" i="4"/>
  <c r="AF116" i="4"/>
  <c r="AP116" i="4"/>
  <c r="AR116" i="4" s="1"/>
  <c r="AU116" i="4"/>
  <c r="AY116" i="4"/>
  <c r="AZ116" i="4"/>
  <c r="AF117" i="4"/>
  <c r="AP117" i="4"/>
  <c r="AT117" i="4" s="1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U120" i="4"/>
  <c r="AY120" i="4"/>
  <c r="AZ120" i="4"/>
  <c r="AF121" i="4"/>
  <c r="AP121" i="4"/>
  <c r="AT121" i="4" s="1"/>
  <c r="AU121" i="4"/>
  <c r="AY121" i="4"/>
  <c r="AZ121" i="4"/>
  <c r="AF122" i="4"/>
  <c r="AP122" i="4"/>
  <c r="AR122" i="4" s="1"/>
  <c r="AU122" i="4"/>
  <c r="AY122" i="4"/>
  <c r="AZ122" i="4"/>
  <c r="AF123" i="4"/>
  <c r="AP123" i="4"/>
  <c r="AU123" i="4"/>
  <c r="AY123" i="4"/>
  <c r="AZ123" i="4"/>
  <c r="AF124" i="4"/>
  <c r="AP124" i="4"/>
  <c r="AR124" i="4" s="1"/>
  <c r="AT124" i="4"/>
  <c r="AU124" i="4"/>
  <c r="AY124" i="4"/>
  <c r="AZ124" i="4"/>
  <c r="AF125" i="4"/>
  <c r="AP125" i="4"/>
  <c r="AU125" i="4"/>
  <c r="AY125" i="4"/>
  <c r="AZ125" i="4"/>
  <c r="AF126" i="4"/>
  <c r="AP126" i="4"/>
  <c r="AU126" i="4"/>
  <c r="AY126" i="4"/>
  <c r="AZ126" i="4"/>
  <c r="AF127" i="4"/>
  <c r="AP127" i="4"/>
  <c r="AT127" i="4" s="1"/>
  <c r="AR127" i="4"/>
  <c r="AU127" i="4"/>
  <c r="AY127" i="4"/>
  <c r="AZ127" i="4"/>
  <c r="AF128" i="4"/>
  <c r="AP128" i="4"/>
  <c r="AR128" i="4" s="1"/>
  <c r="AT128" i="4"/>
  <c r="AU128" i="4"/>
  <c r="AY128" i="4"/>
  <c r="AZ128" i="4"/>
  <c r="AF129" i="4"/>
  <c r="AP129" i="4"/>
  <c r="AT129" i="4"/>
  <c r="AU129" i="4"/>
  <c r="AY129" i="4"/>
  <c r="AZ129" i="4"/>
  <c r="AF130" i="4"/>
  <c r="AP130" i="4"/>
  <c r="AU130" i="4"/>
  <c r="AY130" i="4"/>
  <c r="AZ130" i="4"/>
  <c r="AF131" i="4"/>
  <c r="AP131" i="4"/>
  <c r="AR131" i="4" s="1"/>
  <c r="AT131" i="4"/>
  <c r="AU131" i="4"/>
  <c r="AY131" i="4"/>
  <c r="AZ131" i="4"/>
  <c r="AF132" i="4"/>
  <c r="AP132" i="4"/>
  <c r="AT132" i="4" s="1"/>
  <c r="AU132" i="4"/>
  <c r="AY132" i="4"/>
  <c r="AZ132" i="4"/>
  <c r="AF133" i="4"/>
  <c r="AP133" i="4"/>
  <c r="AU133" i="4"/>
  <c r="AY133" i="4"/>
  <c r="AZ133" i="4"/>
  <c r="AF134" i="4"/>
  <c r="AP134" i="4"/>
  <c r="AT134" i="4" s="1"/>
  <c r="AU134" i="4"/>
  <c r="AY134" i="4"/>
  <c r="AZ134" i="4"/>
  <c r="AF135" i="4"/>
  <c r="AP135" i="4"/>
  <c r="AU135" i="4"/>
  <c r="AY135" i="4"/>
  <c r="AZ135" i="4"/>
  <c r="AF136" i="4"/>
  <c r="AP136" i="4"/>
  <c r="AT136" i="4" s="1"/>
  <c r="AU136" i="4"/>
  <c r="AY136" i="4"/>
  <c r="AZ136" i="4"/>
  <c r="AF137" i="4"/>
  <c r="AP137" i="4"/>
  <c r="AT137" i="4" s="1"/>
  <c r="AU137" i="4"/>
  <c r="AY137" i="4"/>
  <c r="AZ137" i="4"/>
  <c r="AF138" i="4"/>
  <c r="AP138" i="4"/>
  <c r="AT138" i="4"/>
  <c r="AU138" i="4"/>
  <c r="AY138" i="4"/>
  <c r="AZ138" i="4"/>
  <c r="AF139" i="4"/>
  <c r="AP139" i="4"/>
  <c r="AR139" i="4" s="1"/>
  <c r="AU139" i="4"/>
  <c r="AY139" i="4"/>
  <c r="AZ139" i="4"/>
  <c r="AF140" i="4"/>
  <c r="AP140" i="4"/>
  <c r="AR140" i="4" s="1"/>
  <c r="AU140" i="4"/>
  <c r="AY140" i="4"/>
  <c r="AZ140" i="4"/>
  <c r="AF141" i="4"/>
  <c r="AP141" i="4"/>
  <c r="AU141" i="4"/>
  <c r="AY141" i="4"/>
  <c r="AZ141" i="4"/>
  <c r="AF142" i="4"/>
  <c r="AP142" i="4"/>
  <c r="AR142" i="4" s="1"/>
  <c r="AU142" i="4"/>
  <c r="AY142" i="4"/>
  <c r="AZ142" i="4"/>
  <c r="AF143" i="4"/>
  <c r="AP143" i="4"/>
  <c r="AT143" i="4"/>
  <c r="AU143" i="4"/>
  <c r="AY143" i="4"/>
  <c r="AZ143" i="4"/>
  <c r="AF144" i="4"/>
  <c r="AP144" i="4"/>
  <c r="AT144" i="4" s="1"/>
  <c r="AU144" i="4"/>
  <c r="AY144" i="4"/>
  <c r="AZ144" i="4"/>
  <c r="AF145" i="4"/>
  <c r="AP145" i="4"/>
  <c r="AR145" i="4" s="1"/>
  <c r="AU145" i="4"/>
  <c r="AY145" i="4"/>
  <c r="AZ145" i="4"/>
  <c r="AF146" i="4"/>
  <c r="AP146" i="4"/>
  <c r="AR146" i="4" s="1"/>
  <c r="AU146" i="4"/>
  <c r="AY146" i="4"/>
  <c r="AZ146" i="4"/>
  <c r="AF147" i="4"/>
  <c r="AP147" i="4"/>
  <c r="AU147" i="4"/>
  <c r="AY147" i="4"/>
  <c r="AZ147" i="4"/>
  <c r="AF148" i="4"/>
  <c r="AP148" i="4"/>
  <c r="AR148" i="4" s="1"/>
  <c r="AU148" i="4"/>
  <c r="AY148" i="4"/>
  <c r="AZ148" i="4"/>
  <c r="AF149" i="4"/>
  <c r="AP149" i="4"/>
  <c r="AT149" i="4" s="1"/>
  <c r="AU149" i="4"/>
  <c r="AY149" i="4"/>
  <c r="AZ149" i="4"/>
  <c r="AF150" i="4"/>
  <c r="AP150" i="4"/>
  <c r="AR150" i="4" s="1"/>
  <c r="AU150" i="4"/>
  <c r="AY150" i="4"/>
  <c r="AZ150" i="4"/>
  <c r="AF151" i="4"/>
  <c r="AP151" i="4"/>
  <c r="AT151" i="4" s="1"/>
  <c r="AU151" i="4"/>
  <c r="AY151" i="4"/>
  <c r="AZ151" i="4"/>
  <c r="AF152" i="4"/>
  <c r="AP152" i="4"/>
  <c r="AT152" i="4" s="1"/>
  <c r="AU152" i="4"/>
  <c r="AY152" i="4"/>
  <c r="AZ152" i="4"/>
  <c r="AF153" i="4"/>
  <c r="AP153" i="4"/>
  <c r="AR153" i="4"/>
  <c r="AU153" i="4"/>
  <c r="AY153" i="4"/>
  <c r="AZ153" i="4"/>
  <c r="AF154" i="4"/>
  <c r="AP154" i="4"/>
  <c r="AT154" i="4" s="1"/>
  <c r="AU154" i="4"/>
  <c r="AY154" i="4"/>
  <c r="AZ154" i="4"/>
  <c r="AF155" i="4"/>
  <c r="AP155" i="4"/>
  <c r="AT155" i="4" s="1"/>
  <c r="AU155" i="4"/>
  <c r="AY155" i="4"/>
  <c r="AZ155" i="4"/>
  <c r="AF156" i="4"/>
  <c r="AP156" i="4"/>
  <c r="AU156" i="4"/>
  <c r="AY156" i="4"/>
  <c r="AZ156" i="4"/>
  <c r="AF157" i="4"/>
  <c r="AP157" i="4"/>
  <c r="AU157" i="4"/>
  <c r="AY157" i="4"/>
  <c r="AZ157" i="4"/>
  <c r="AF158" i="4"/>
  <c r="AP158" i="4"/>
  <c r="AT158" i="4" s="1"/>
  <c r="AU158" i="4"/>
  <c r="AY158" i="4"/>
  <c r="AZ158" i="4"/>
  <c r="AF159" i="4"/>
  <c r="AP159" i="4"/>
  <c r="AT159" i="4" s="1"/>
  <c r="AU159" i="4"/>
  <c r="AY159" i="4"/>
  <c r="AZ159" i="4"/>
  <c r="AF160" i="4"/>
  <c r="AP160" i="4"/>
  <c r="AU160" i="4"/>
  <c r="AY160" i="4"/>
  <c r="AZ160" i="4"/>
  <c r="AF161" i="4"/>
  <c r="AP161" i="4"/>
  <c r="AT161" i="4" s="1"/>
  <c r="AU161" i="4"/>
  <c r="AY161" i="4"/>
  <c r="AZ161" i="4"/>
  <c r="AF162" i="4"/>
  <c r="AP162" i="4"/>
  <c r="AT162" i="4" s="1"/>
  <c r="AU162" i="4"/>
  <c r="AY162" i="4"/>
  <c r="AZ162" i="4"/>
  <c r="AF163" i="4"/>
  <c r="AP163" i="4"/>
  <c r="AU163" i="4"/>
  <c r="AY163" i="4"/>
  <c r="AZ163" i="4"/>
  <c r="AF164" i="4"/>
  <c r="AP164" i="4"/>
  <c r="AU164" i="4"/>
  <c r="AY164" i="4"/>
  <c r="AZ164" i="4"/>
  <c r="AF165" i="4"/>
  <c r="AP165" i="4"/>
  <c r="AU165" i="4"/>
  <c r="AY165" i="4"/>
  <c r="AZ165" i="4"/>
  <c r="AF166" i="4"/>
  <c r="AP166" i="4"/>
  <c r="AT166" i="4" s="1"/>
  <c r="AU166" i="4"/>
  <c r="AY166" i="4"/>
  <c r="AZ166" i="4"/>
  <c r="AF167" i="4"/>
  <c r="AP167" i="4"/>
  <c r="AT167" i="4" s="1"/>
  <c r="AU167" i="4"/>
  <c r="AY167" i="4"/>
  <c r="AZ167" i="4"/>
  <c r="AF168" i="4"/>
  <c r="AP168" i="4"/>
  <c r="AR168" i="4" s="1"/>
  <c r="AU168" i="4"/>
  <c r="AY168" i="4"/>
  <c r="AZ168" i="4"/>
  <c r="AF169" i="4"/>
  <c r="AP169" i="4"/>
  <c r="AT169" i="4" s="1"/>
  <c r="AU169" i="4"/>
  <c r="AY169" i="4"/>
  <c r="AZ169" i="4"/>
  <c r="AF170" i="4"/>
  <c r="AP170" i="4"/>
  <c r="AR170" i="4" s="1"/>
  <c r="AU170" i="4"/>
  <c r="AY170" i="4"/>
  <c r="AZ170" i="4"/>
  <c r="AF171" i="4"/>
  <c r="AP171" i="4"/>
  <c r="AR171" i="4"/>
  <c r="AU171" i="4"/>
  <c r="AY171" i="4"/>
  <c r="AZ171" i="4"/>
  <c r="AF172" i="4"/>
  <c r="AP172" i="4"/>
  <c r="AT172" i="4"/>
  <c r="AU172" i="4"/>
  <c r="AY172" i="4"/>
  <c r="AZ172" i="4"/>
  <c r="AF173" i="4"/>
  <c r="AP173" i="4"/>
  <c r="AT173" i="4" s="1"/>
  <c r="AU173" i="4"/>
  <c r="AY173" i="4"/>
  <c r="AZ173" i="4"/>
  <c r="AF174" i="4"/>
  <c r="AP174" i="4"/>
  <c r="AU174" i="4"/>
  <c r="AY174" i="4"/>
  <c r="AZ174" i="4"/>
  <c r="AF175" i="4"/>
  <c r="AP175" i="4"/>
  <c r="AT175" i="4" s="1"/>
  <c r="AU175" i="4"/>
  <c r="AY175" i="4"/>
  <c r="AZ175" i="4"/>
  <c r="AF176" i="4"/>
  <c r="AP176" i="4"/>
  <c r="AT176" i="4" s="1"/>
  <c r="AU176" i="4"/>
  <c r="AY176" i="4"/>
  <c r="AZ176" i="4"/>
  <c r="AF177" i="4"/>
  <c r="AP177" i="4"/>
  <c r="AT177" i="4" s="1"/>
  <c r="AU177" i="4"/>
  <c r="AY177" i="4"/>
  <c r="AZ177" i="4"/>
  <c r="AF178" i="4"/>
  <c r="AP178" i="4"/>
  <c r="AR178" i="4" s="1"/>
  <c r="AU178" i="4"/>
  <c r="AY178" i="4"/>
  <c r="AZ178" i="4"/>
  <c r="AF179" i="4"/>
  <c r="AP179" i="4"/>
  <c r="AR179" i="4" s="1"/>
  <c r="AU179" i="4"/>
  <c r="AY179" i="4"/>
  <c r="AZ179" i="4"/>
  <c r="AF180" i="4"/>
  <c r="AP180" i="4"/>
  <c r="AU180" i="4"/>
  <c r="AY180" i="4"/>
  <c r="AZ180" i="4"/>
  <c r="AF181" i="4"/>
  <c r="AP181" i="4"/>
  <c r="AR181" i="4"/>
  <c r="AU181" i="4"/>
  <c r="AY181" i="4"/>
  <c r="AZ181" i="4"/>
  <c r="AF182" i="4"/>
  <c r="AP182" i="4"/>
  <c r="AT182" i="4" s="1"/>
  <c r="AU182" i="4"/>
  <c r="AY182" i="4"/>
  <c r="AZ182" i="4"/>
  <c r="AF183" i="4"/>
  <c r="AP183" i="4"/>
  <c r="AU183" i="4"/>
  <c r="AY183" i="4"/>
  <c r="AZ183" i="4"/>
  <c r="AF184" i="4"/>
  <c r="AP184" i="4"/>
  <c r="AU184" i="4"/>
  <c r="AY184" i="4"/>
  <c r="AZ184" i="4"/>
  <c r="AF185" i="4"/>
  <c r="AP185" i="4"/>
  <c r="AU185" i="4"/>
  <c r="AY185" i="4"/>
  <c r="AZ185" i="4"/>
  <c r="AF186" i="4"/>
  <c r="AP186" i="4"/>
  <c r="AT186" i="4" s="1"/>
  <c r="AU186" i="4"/>
  <c r="AY186" i="4"/>
  <c r="AZ186" i="4"/>
  <c r="AF187" i="4"/>
  <c r="AP187" i="4"/>
  <c r="AU187" i="4"/>
  <c r="AY187" i="4"/>
  <c r="AZ187" i="4"/>
  <c r="AF188" i="4"/>
  <c r="AP188" i="4"/>
  <c r="AU188" i="4"/>
  <c r="AY188" i="4"/>
  <c r="AZ188" i="4"/>
  <c r="AF189" i="4"/>
  <c r="AP189" i="4"/>
  <c r="AT189" i="4"/>
  <c r="AU189" i="4"/>
  <c r="AY189" i="4"/>
  <c r="AZ189" i="4"/>
  <c r="AF190" i="4"/>
  <c r="AP190" i="4"/>
  <c r="AR190" i="4" s="1"/>
  <c r="AU190" i="4"/>
  <c r="AY190" i="4"/>
  <c r="AZ190" i="4"/>
  <c r="AF191" i="4"/>
  <c r="AP191" i="4"/>
  <c r="AU191" i="4"/>
  <c r="AY191" i="4"/>
  <c r="AZ191" i="4"/>
  <c r="AF192" i="4"/>
  <c r="AP192" i="4"/>
  <c r="AU192" i="4"/>
  <c r="AY192" i="4"/>
  <c r="AZ192" i="4"/>
  <c r="AQ10" i="8"/>
  <c r="B97" i="12"/>
  <c r="B232" i="12" s="1"/>
  <c r="B98" i="12"/>
  <c r="B233" i="12" s="1"/>
  <c r="B99" i="12"/>
  <c r="B234" i="12"/>
  <c r="B369" i="12"/>
  <c r="B504" i="12" s="1"/>
  <c r="B100" i="12"/>
  <c r="B101" i="12"/>
  <c r="B236" i="12" s="1"/>
  <c r="B102" i="12"/>
  <c r="B237" i="12"/>
  <c r="B103" i="12"/>
  <c r="B238" i="12" s="1"/>
  <c r="B373" i="12" s="1"/>
  <c r="B104" i="12"/>
  <c r="B105" i="12"/>
  <c r="B240" i="12" s="1"/>
  <c r="B106" i="12"/>
  <c r="B241" i="12"/>
  <c r="B376" i="12"/>
  <c r="B511" i="12" s="1"/>
  <c r="B107" i="12"/>
  <c r="B242" i="12" s="1"/>
  <c r="B377" i="12" s="1"/>
  <c r="B108" i="12"/>
  <c r="B109" i="12"/>
  <c r="B110" i="12"/>
  <c r="B245" i="12"/>
  <c r="B380" i="12"/>
  <c r="B111" i="12"/>
  <c r="B246" i="12" s="1"/>
  <c r="B381" i="12" s="1"/>
  <c r="B516" i="12" s="1"/>
  <c r="B112" i="12"/>
  <c r="B113" i="12"/>
  <c r="B248" i="12" s="1"/>
  <c r="B114" i="12"/>
  <c r="B115" i="12"/>
  <c r="B250" i="12" s="1"/>
  <c r="B385" i="12" s="1"/>
  <c r="B520" i="12" s="1"/>
  <c r="B655" i="12" s="1"/>
  <c r="B790" i="12" s="1"/>
  <c r="B116" i="12"/>
  <c r="B251" i="12"/>
  <c r="B117" i="12"/>
  <c r="B118" i="12"/>
  <c r="B253" i="12"/>
  <c r="B388" i="12" s="1"/>
  <c r="B523" i="12" s="1"/>
  <c r="B81" i="12"/>
  <c r="B216" i="12" s="1"/>
  <c r="B351" i="12" s="1"/>
  <c r="B486" i="12" s="1"/>
  <c r="B82" i="12"/>
  <c r="B83" i="12"/>
  <c r="B218" i="12"/>
  <c r="B84" i="12"/>
  <c r="B85" i="12"/>
  <c r="B220" i="12" s="1"/>
  <c r="B355" i="12" s="1"/>
  <c r="B86" i="12"/>
  <c r="B221" i="12" s="1"/>
  <c r="B356" i="12" s="1"/>
  <c r="B491" i="12" s="1"/>
  <c r="B626" i="12" s="1"/>
  <c r="B87" i="12"/>
  <c r="B88" i="12"/>
  <c r="B223" i="12"/>
  <c r="B358" i="12" s="1"/>
  <c r="B493" i="12" s="1"/>
  <c r="B89" i="12"/>
  <c r="B90" i="12"/>
  <c r="B225" i="12" s="1"/>
  <c r="B360" i="12" s="1"/>
  <c r="B495" i="12" s="1"/>
  <c r="B630" i="12"/>
  <c r="B765" i="12" s="1"/>
  <c r="B91" i="12"/>
  <c r="B92" i="12"/>
  <c r="B227" i="12"/>
  <c r="B362" i="12" s="1"/>
  <c r="B497" i="12"/>
  <c r="B93" i="12"/>
  <c r="B94" i="12"/>
  <c r="B229" i="12"/>
  <c r="B95" i="12"/>
  <c r="B230" i="12" s="1"/>
  <c r="B365" i="12" s="1"/>
  <c r="B500" i="12" s="1"/>
  <c r="B96" i="12"/>
  <c r="B231" i="12"/>
  <c r="B366" i="12" s="1"/>
  <c r="B501" i="12" s="1"/>
  <c r="B636" i="12" s="1"/>
  <c r="B771" i="12" s="1"/>
  <c r="B906" i="12"/>
  <c r="B1041" i="12" s="1"/>
  <c r="B1176" i="12"/>
  <c r="B1311" i="12"/>
  <c r="B1446" i="12" s="1"/>
  <c r="B1581" i="12" s="1"/>
  <c r="B1716" i="12" s="1"/>
  <c r="B1851" i="12" s="1"/>
  <c r="B3" i="12"/>
  <c r="B138" i="12"/>
  <c r="B4" i="12"/>
  <c r="B5" i="12"/>
  <c r="B140" i="12" s="1"/>
  <c r="B275" i="12" s="1"/>
  <c r="B410" i="12" s="1"/>
  <c r="B6" i="12"/>
  <c r="B141" i="12"/>
  <c r="B276" i="12"/>
  <c r="B411" i="12"/>
  <c r="B546" i="12" s="1"/>
  <c r="B7" i="12"/>
  <c r="B8" i="12"/>
  <c r="B9" i="12"/>
  <c r="B10" i="12"/>
  <c r="B145" i="12"/>
  <c r="B280" i="12" s="1"/>
  <c r="B415" i="12"/>
  <c r="B550" i="12" s="1"/>
  <c r="B685" i="12" s="1"/>
  <c r="B820" i="12" s="1"/>
  <c r="B955" i="12" s="1"/>
  <c r="B11" i="12"/>
  <c r="B12" i="12"/>
  <c r="B147" i="12" s="1"/>
  <c r="B13" i="12"/>
  <c r="B14" i="12"/>
  <c r="B149" i="12"/>
  <c r="B284" i="12" s="1"/>
  <c r="B15" i="12"/>
  <c r="B150" i="12" s="1"/>
  <c r="B16" i="12"/>
  <c r="B17" i="12"/>
  <c r="B18" i="12"/>
  <c r="B19" i="12"/>
  <c r="B154" i="12" s="1"/>
  <c r="B289" i="12" s="1"/>
  <c r="B424" i="12" s="1"/>
  <c r="B559" i="12" s="1"/>
  <c r="B694" i="12"/>
  <c r="B829" i="12"/>
  <c r="B964" i="12" s="1"/>
  <c r="B1099" i="12"/>
  <c r="B20" i="12"/>
  <c r="B155" i="12" s="1"/>
  <c r="B290" i="12" s="1"/>
  <c r="B425" i="12" s="1"/>
  <c r="B560" i="12" s="1"/>
  <c r="B695" i="12"/>
  <c r="B21" i="12"/>
  <c r="B156" i="12" s="1"/>
  <c r="B22" i="12"/>
  <c r="B23" i="12"/>
  <c r="B24" i="12"/>
  <c r="B25" i="12"/>
  <c r="B26" i="12"/>
  <c r="B161" i="12" s="1"/>
  <c r="B27" i="12"/>
  <c r="B162" i="12" s="1"/>
  <c r="B28" i="12"/>
  <c r="B163" i="12" s="1"/>
  <c r="B29" i="12"/>
  <c r="B164" i="12" s="1"/>
  <c r="B299" i="12"/>
  <c r="B434" i="12" s="1"/>
  <c r="B30" i="12"/>
  <c r="B31" i="12"/>
  <c r="B166" i="12"/>
  <c r="B301" i="12" s="1"/>
  <c r="B32" i="12"/>
  <c r="B33" i="12"/>
  <c r="B34" i="12"/>
  <c r="B35" i="12"/>
  <c r="B36" i="12"/>
  <c r="B171" i="12" s="1"/>
  <c r="B37" i="12"/>
  <c r="B172" i="12" s="1"/>
  <c r="B38" i="12"/>
  <c r="B39" i="12"/>
  <c r="B174" i="12"/>
  <c r="B309" i="12" s="1"/>
  <c r="B40" i="12"/>
  <c r="B175" i="12" s="1"/>
  <c r="B41" i="12"/>
  <c r="B176" i="12"/>
  <c r="B311" i="12" s="1"/>
  <c r="B446" i="12" s="1"/>
  <c r="B581" i="12" s="1"/>
  <c r="B716" i="12" s="1"/>
  <c r="B851" i="12"/>
  <c r="B986" i="12" s="1"/>
  <c r="B42" i="12"/>
  <c r="B43" i="12"/>
  <c r="B178" i="12" s="1"/>
  <c r="B44" i="12"/>
  <c r="B45" i="12"/>
  <c r="B46" i="12"/>
  <c r="B181" i="12" s="1"/>
  <c r="B47" i="12"/>
  <c r="B182" i="12"/>
  <c r="B317" i="12"/>
  <c r="B48" i="12"/>
  <c r="B49" i="12"/>
  <c r="B50" i="12"/>
  <c r="B51" i="12"/>
  <c r="B186" i="12"/>
  <c r="B321" i="12" s="1"/>
  <c r="B456" i="12"/>
  <c r="B52" i="12"/>
  <c r="B187" i="12" s="1"/>
  <c r="B53" i="12"/>
  <c r="B54" i="12"/>
  <c r="B55" i="12"/>
  <c r="B56" i="12"/>
  <c r="B191" i="12" s="1"/>
  <c r="B326" i="12" s="1"/>
  <c r="B461" i="12" s="1"/>
  <c r="B57" i="12"/>
  <c r="B192" i="12"/>
  <c r="B58" i="12"/>
  <c r="B59" i="12"/>
  <c r="B194" i="12" s="1"/>
  <c r="B60" i="12"/>
  <c r="B61" i="12"/>
  <c r="B196" i="12"/>
  <c r="B62" i="12"/>
  <c r="B197" i="12" s="1"/>
  <c r="B63" i="12"/>
  <c r="B198" i="12" s="1"/>
  <c r="B333" i="12" s="1"/>
  <c r="B468" i="12" s="1"/>
  <c r="B603" i="12" s="1"/>
  <c r="B64" i="12"/>
  <c r="B199" i="12"/>
  <c r="B65" i="12"/>
  <c r="B66" i="12"/>
  <c r="B67" i="12"/>
  <c r="B202" i="12" s="1"/>
  <c r="B337" i="12"/>
  <c r="B68" i="12"/>
  <c r="B203" i="12"/>
  <c r="B338" i="12"/>
  <c r="B473" i="12" s="1"/>
  <c r="B608" i="12" s="1"/>
  <c r="B743" i="12" s="1"/>
  <c r="B878" i="12" s="1"/>
  <c r="B1013" i="12" s="1"/>
  <c r="B69" i="12"/>
  <c r="B204" i="12"/>
  <c r="B339" i="12" s="1"/>
  <c r="B70" i="12"/>
  <c r="B71" i="12"/>
  <c r="B72" i="12"/>
  <c r="B73" i="12"/>
  <c r="B208" i="12" s="1"/>
  <c r="B343" i="12" s="1"/>
  <c r="B74" i="12"/>
  <c r="B75" i="12"/>
  <c r="B210" i="12"/>
  <c r="B76" i="12"/>
  <c r="B77" i="12"/>
  <c r="B212" i="12" s="1"/>
  <c r="B347" i="12" s="1"/>
  <c r="B482" i="12" s="1"/>
  <c r="B617" i="12" s="1"/>
  <c r="B752" i="12"/>
  <c r="B887" i="12"/>
  <c r="B1022" i="12" s="1"/>
  <c r="B1157" i="12"/>
  <c r="B78" i="12"/>
  <c r="B213" i="12"/>
  <c r="B348" i="12" s="1"/>
  <c r="B79" i="12"/>
  <c r="B80" i="12"/>
  <c r="B215" i="12" s="1"/>
  <c r="B621" i="12"/>
  <c r="B756" i="12" s="1"/>
  <c r="B891" i="12" s="1"/>
  <c r="B1026" i="12" s="1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/>
  <c r="AJ38" i="8" s="1"/>
  <c r="AL38" i="8" s="1"/>
  <c r="AN38" i="8" s="1"/>
  <c r="AF39" i="8"/>
  <c r="AD39" i="8" s="1"/>
  <c r="AJ39" i="8" s="1"/>
  <c r="AL39" i="8" s="1"/>
  <c r="AN39" i="8" s="1"/>
  <c r="AO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M34" i="8"/>
  <c r="AQ34" i="8"/>
  <c r="AF2" i="8"/>
  <c r="AD2" i="8"/>
  <c r="AJ2" i="8"/>
  <c r="AL2" i="8" s="1"/>
  <c r="AF3" i="8"/>
  <c r="AD3" i="8" s="1"/>
  <c r="AJ3" i="8" s="1"/>
  <c r="AL3" i="8" s="1"/>
  <c r="AF5" i="8"/>
  <c r="AD5" i="8" s="1"/>
  <c r="AJ5" i="8" s="1"/>
  <c r="AF6" i="8"/>
  <c r="AD6" i="8" s="1"/>
  <c r="AJ6" i="8" s="1"/>
  <c r="AK6" i="8" s="1"/>
  <c r="AF7" i="8"/>
  <c r="AD7" i="8" s="1"/>
  <c r="AJ7" i="8" s="1"/>
  <c r="AF8" i="8"/>
  <c r="AD8" i="8"/>
  <c r="AJ8" i="8"/>
  <c r="AF33" i="8"/>
  <c r="AD33" i="8" s="1"/>
  <c r="AJ33" i="8" s="1"/>
  <c r="AK33" i="8" s="1"/>
  <c r="AF35" i="8"/>
  <c r="AD35" i="8"/>
  <c r="AJ35" i="8"/>
  <c r="AK35" i="8" s="1"/>
  <c r="AF36" i="8"/>
  <c r="AD36" i="8" s="1"/>
  <c r="AJ36" i="8" s="1"/>
  <c r="AF10" i="8"/>
  <c r="AD10" i="8"/>
  <c r="AJ10" i="8" s="1"/>
  <c r="AK10" i="8" s="1"/>
  <c r="AF12" i="8"/>
  <c r="AD12" i="8" s="1"/>
  <c r="AJ12" i="8" s="1"/>
  <c r="AL12" i="8" s="1"/>
  <c r="AF14" i="8"/>
  <c r="AD14" i="8" s="1"/>
  <c r="AJ14" i="8" s="1"/>
  <c r="AF15" i="8"/>
  <c r="AD15" i="8" s="1"/>
  <c r="AJ15" i="8"/>
  <c r="AF16" i="8"/>
  <c r="AD16" i="8" s="1"/>
  <c r="AJ16" i="8" s="1"/>
  <c r="AF21" i="8"/>
  <c r="AD21" i="8" s="1"/>
  <c r="AJ21" i="8" s="1"/>
  <c r="AF22" i="8"/>
  <c r="AD22" i="8"/>
  <c r="AJ22" i="8" s="1"/>
  <c r="AK22" i="8" s="1"/>
  <c r="AF23" i="8"/>
  <c r="AD23" i="8" s="1"/>
  <c r="AJ23" i="8" s="1"/>
  <c r="AF24" i="8"/>
  <c r="AD24" i="8" s="1"/>
  <c r="AJ24" i="8"/>
  <c r="AF25" i="8"/>
  <c r="AD25" i="8" s="1"/>
  <c r="AJ25" i="8" s="1"/>
  <c r="AK25" i="8" s="1"/>
  <c r="AF26" i="8"/>
  <c r="AD26" i="8" s="1"/>
  <c r="AJ26" i="8" s="1"/>
  <c r="AF27" i="8"/>
  <c r="AD27" i="8"/>
  <c r="AJ27" i="8" s="1"/>
  <c r="AK27" i="8" s="1"/>
  <c r="AF32" i="8"/>
  <c r="AD32" i="8" s="1"/>
  <c r="AJ32" i="8" s="1"/>
  <c r="AK32" i="8" s="1"/>
  <c r="O34" i="8"/>
  <c r="AM33" i="8"/>
  <c r="X33" i="8"/>
  <c r="J33" i="8"/>
  <c r="AQ35" i="8"/>
  <c r="AM35" i="8"/>
  <c r="X35" i="8"/>
  <c r="J35" i="8"/>
  <c r="O33" i="8"/>
  <c r="O35" i="8"/>
  <c r="AB2" i="28"/>
  <c r="S150" i="28"/>
  <c r="Y150" i="28"/>
  <c r="AB99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 s="1"/>
  <c r="E47" i="40"/>
  <c r="F47" i="40"/>
  <c r="F46" i="40"/>
  <c r="E46" i="40"/>
  <c r="O46" i="40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T77" i="32"/>
  <c r="X20" i="33"/>
  <c r="R78" i="32"/>
  <c r="Y18" i="33"/>
  <c r="T78" i="32"/>
  <c r="Q79" i="32"/>
  <c r="Z17" i="33" s="1"/>
  <c r="T79" i="32"/>
  <c r="Z20" i="33" s="1"/>
  <c r="Q80" i="32"/>
  <c r="AA17" i="33"/>
  <c r="R80" i="32"/>
  <c r="AA18" i="33"/>
  <c r="S80" i="32"/>
  <c r="AA19" i="33" s="1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Z18" i="33"/>
  <c r="S79" i="32"/>
  <c r="Z19" i="33" s="1"/>
  <c r="T80" i="32"/>
  <c r="AA20" i="33" s="1"/>
  <c r="R81" i="32"/>
  <c r="AB18" i="33"/>
  <c r="S51" i="32"/>
  <c r="Q51" i="32"/>
  <c r="R77" i="32"/>
  <c r="X18" i="33" s="1"/>
  <c r="Q77" i="32"/>
  <c r="Q81" i="32"/>
  <c r="AB17" i="33"/>
  <c r="S78" i="32"/>
  <c r="Y19" i="33"/>
  <c r="O51" i="32"/>
  <c r="T51" i="32"/>
  <c r="R51" i="32"/>
  <c r="T42" i="32"/>
  <c r="T76" i="32"/>
  <c r="R42" i="32"/>
  <c r="R76" i="32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90" i="28"/>
  <c r="B90" i="28" s="1"/>
  <c r="U90" i="28"/>
  <c r="D91" i="28"/>
  <c r="B91" i="28" s="1"/>
  <c r="U91" i="28"/>
  <c r="D92" i="28"/>
  <c r="B92" i="28" s="1"/>
  <c r="U92" i="28"/>
  <c r="D238" i="28"/>
  <c r="B238" i="28"/>
  <c r="S238" i="28"/>
  <c r="Y238" i="28"/>
  <c r="U238" i="28"/>
  <c r="D239" i="28"/>
  <c r="B239" i="28" s="1"/>
  <c r="S239" i="28"/>
  <c r="U239" i="28"/>
  <c r="D237" i="28"/>
  <c r="B237" i="28" s="1"/>
  <c r="S237" i="28"/>
  <c r="U237" i="28"/>
  <c r="D236" i="28"/>
  <c r="B236" i="28"/>
  <c r="S236" i="28"/>
  <c r="Y236" i="28"/>
  <c r="U236" i="28"/>
  <c r="J2" i="8"/>
  <c r="X32" i="8"/>
  <c r="AQ32" i="8"/>
  <c r="AM32" i="8"/>
  <c r="O32" i="8"/>
  <c r="J32" i="8"/>
  <c r="D7" i="34"/>
  <c r="D18" i="34"/>
  <c r="E7" i="34"/>
  <c r="E18" i="34"/>
  <c r="F7" i="34"/>
  <c r="F18" i="34"/>
  <c r="G7" i="34"/>
  <c r="G18" i="34" s="1"/>
  <c r="H7" i="34"/>
  <c r="H18" i="34" s="1"/>
  <c r="I7" i="34"/>
  <c r="I18" i="34" s="1"/>
  <c r="J7" i="34"/>
  <c r="J18" i="34"/>
  <c r="K7" i="34"/>
  <c r="K18" i="34" s="1"/>
  <c r="L7" i="34"/>
  <c r="L18" i="34"/>
  <c r="M7" i="34"/>
  <c r="M18" i="34" s="1"/>
  <c r="N7" i="34"/>
  <c r="N18" i="34"/>
  <c r="O7" i="34"/>
  <c r="O18" i="34" s="1"/>
  <c r="P7" i="34"/>
  <c r="P18" i="34"/>
  <c r="Q7" i="34"/>
  <c r="Q18" i="34"/>
  <c r="R7" i="34"/>
  <c r="R18" i="34"/>
  <c r="S7" i="34"/>
  <c r="S18" i="34" s="1"/>
  <c r="T7" i="34"/>
  <c r="T18" i="34" s="1"/>
  <c r="U7" i="34"/>
  <c r="U18" i="34" s="1"/>
  <c r="V7" i="34"/>
  <c r="V18" i="34"/>
  <c r="W7" i="34"/>
  <c r="W18" i="34" s="1"/>
  <c r="X7" i="34"/>
  <c r="X18" i="34"/>
  <c r="Y7" i="34"/>
  <c r="Y18" i="34"/>
  <c r="Z7" i="34"/>
  <c r="Z18" i="34"/>
  <c r="AA7" i="34"/>
  <c r="AA18" i="34" s="1"/>
  <c r="AB7" i="34"/>
  <c r="AB18" i="34"/>
  <c r="AC7" i="34"/>
  <c r="AC18" i="34" s="1"/>
  <c r="AD7" i="34"/>
  <c r="AD18" i="34"/>
  <c r="AE7" i="34"/>
  <c r="AE18" i="34" s="1"/>
  <c r="AF7" i="34"/>
  <c r="AF18" i="34" s="1"/>
  <c r="AG7" i="34"/>
  <c r="AG18" i="34"/>
  <c r="AH7" i="34"/>
  <c r="AH18" i="34"/>
  <c r="AI7" i="34"/>
  <c r="AI18" i="34" s="1"/>
  <c r="AJ7" i="34"/>
  <c r="AJ18" i="34" s="1"/>
  <c r="AK7" i="34"/>
  <c r="AK18" i="34"/>
  <c r="AL7" i="34"/>
  <c r="AL18" i="34"/>
  <c r="AM7" i="34"/>
  <c r="AM18" i="34" s="1"/>
  <c r="AN7" i="34"/>
  <c r="AN18" i="34"/>
  <c r="AO7" i="34"/>
  <c r="AO18" i="34" s="1"/>
  <c r="C7" i="34"/>
  <c r="C18" i="34"/>
  <c r="U168" i="28"/>
  <c r="D168" i="28"/>
  <c r="B168" i="28"/>
  <c r="U167" i="28"/>
  <c r="D167" i="28"/>
  <c r="B167" i="28" s="1"/>
  <c r="U367" i="28"/>
  <c r="D367" i="28"/>
  <c r="B367" i="28"/>
  <c r="U366" i="28"/>
  <c r="D366" i="28"/>
  <c r="B366" i="28"/>
  <c r="U379" i="28"/>
  <c r="D379" i="28"/>
  <c r="B379" i="28" s="1"/>
  <c r="U382" i="28"/>
  <c r="D382" i="28"/>
  <c r="B382" i="28" s="1"/>
  <c r="U373" i="28"/>
  <c r="D373" i="28"/>
  <c r="B373" i="28"/>
  <c r="U376" i="28"/>
  <c r="D376" i="28"/>
  <c r="B376" i="28"/>
  <c r="U370" i="28"/>
  <c r="D370" i="28"/>
  <c r="B370" i="28"/>
  <c r="U378" i="28"/>
  <c r="D378" i="28"/>
  <c r="B378" i="28"/>
  <c r="U381" i="28"/>
  <c r="D381" i="28"/>
  <c r="B381" i="28"/>
  <c r="U372" i="28"/>
  <c r="D372" i="28"/>
  <c r="B372" i="28"/>
  <c r="U375" i="28"/>
  <c r="D375" i="28"/>
  <c r="B375" i="28" s="1"/>
  <c r="U369" i="28"/>
  <c r="D369" i="28"/>
  <c r="B369" i="28" s="1"/>
  <c r="U377" i="28"/>
  <c r="D377" i="28"/>
  <c r="B377" i="28" s="1"/>
  <c r="U380" i="28"/>
  <c r="D380" i="28"/>
  <c r="B380" i="28"/>
  <c r="U371" i="28"/>
  <c r="D371" i="28"/>
  <c r="B371" i="28"/>
  <c r="U374" i="28"/>
  <c r="D374" i="28"/>
  <c r="B374" i="28"/>
  <c r="U368" i="28"/>
  <c r="D368" i="28"/>
  <c r="B368" i="28"/>
  <c r="U365" i="28"/>
  <c r="D365" i="28"/>
  <c r="B365" i="28"/>
  <c r="U362" i="28"/>
  <c r="D362" i="28"/>
  <c r="B362" i="28" s="1"/>
  <c r="U359" i="28"/>
  <c r="D359" i="28"/>
  <c r="B359" i="28" s="1"/>
  <c r="U364" i="28"/>
  <c r="D364" i="28"/>
  <c r="B364" i="28"/>
  <c r="U361" i="28"/>
  <c r="D361" i="28"/>
  <c r="B361" i="28"/>
  <c r="U358" i="28"/>
  <c r="D358" i="28"/>
  <c r="B358" i="28"/>
  <c r="U363" i="28"/>
  <c r="D363" i="28"/>
  <c r="B363" i="28"/>
  <c r="U360" i="28"/>
  <c r="D360" i="28"/>
  <c r="B360" i="28"/>
  <c r="U357" i="28"/>
  <c r="D357" i="28"/>
  <c r="B357" i="28" s="1"/>
  <c r="U356" i="28"/>
  <c r="D356" i="28"/>
  <c r="B356" i="28" s="1"/>
  <c r="U352" i="28"/>
  <c r="D352" i="28"/>
  <c r="B352" i="28" s="1"/>
  <c r="U348" i="28"/>
  <c r="D348" i="28"/>
  <c r="B348" i="28"/>
  <c r="U355" i="28"/>
  <c r="D355" i="28"/>
  <c r="B355" i="28"/>
  <c r="U351" i="28"/>
  <c r="D351" i="28"/>
  <c r="B351" i="28"/>
  <c r="U347" i="28"/>
  <c r="D347" i="28"/>
  <c r="B347" i="28" s="1"/>
  <c r="U354" i="28"/>
  <c r="D354" i="28"/>
  <c r="B354" i="28"/>
  <c r="U350" i="28"/>
  <c r="D350" i="28"/>
  <c r="B350" i="28" s="1"/>
  <c r="U346" i="28"/>
  <c r="D346" i="28"/>
  <c r="B346" i="28" s="1"/>
  <c r="U353" i="28"/>
  <c r="D353" i="28"/>
  <c r="B353" i="28" s="1"/>
  <c r="U349" i="28"/>
  <c r="D349" i="28"/>
  <c r="B349" i="28"/>
  <c r="U345" i="28"/>
  <c r="D345" i="28"/>
  <c r="B345" i="28"/>
  <c r="U89" i="28"/>
  <c r="D89" i="28"/>
  <c r="B89" i="28"/>
  <c r="U86" i="28"/>
  <c r="D86" i="28"/>
  <c r="B86" i="28" s="1"/>
  <c r="U83" i="28"/>
  <c r="D83" i="28"/>
  <c r="B83" i="28"/>
  <c r="U88" i="28"/>
  <c r="D88" i="28"/>
  <c r="B88" i="28"/>
  <c r="U85" i="28"/>
  <c r="D85" i="28"/>
  <c r="B85" i="28" s="1"/>
  <c r="U82" i="28"/>
  <c r="D82" i="28"/>
  <c r="B82" i="28" s="1"/>
  <c r="U87" i="28"/>
  <c r="D87" i="28"/>
  <c r="B87" i="28" s="1"/>
  <c r="U84" i="28"/>
  <c r="D84" i="28"/>
  <c r="B84" i="28"/>
  <c r="U81" i="28"/>
  <c r="D81" i="28"/>
  <c r="B81" i="28"/>
  <c r="U13" i="28"/>
  <c r="D13" i="28"/>
  <c r="B13" i="28"/>
  <c r="U16" i="28"/>
  <c r="D16" i="28"/>
  <c r="B16" i="28"/>
  <c r="U7" i="28"/>
  <c r="D7" i="28"/>
  <c r="B7" i="28"/>
  <c r="U10" i="28"/>
  <c r="D10" i="28"/>
  <c r="B10" i="28" s="1"/>
  <c r="U4" i="28"/>
  <c r="D4" i="28"/>
  <c r="B4" i="28" s="1"/>
  <c r="U12" i="28"/>
  <c r="D12" i="28"/>
  <c r="B12" i="28"/>
  <c r="U15" i="28"/>
  <c r="D15" i="28"/>
  <c r="B15" i="28"/>
  <c r="U6" i="28"/>
  <c r="D6" i="28"/>
  <c r="B6" i="28"/>
  <c r="U9" i="28"/>
  <c r="D9" i="28"/>
  <c r="B9" i="28"/>
  <c r="U3" i="28"/>
  <c r="D3" i="28"/>
  <c r="B3" i="28"/>
  <c r="U11" i="28"/>
  <c r="D11" i="28"/>
  <c r="B11" i="28" s="1"/>
  <c r="U14" i="28"/>
  <c r="D14" i="28"/>
  <c r="B14" i="28" s="1"/>
  <c r="U5" i="28"/>
  <c r="D5" i="28"/>
  <c r="B5" i="28" s="1"/>
  <c r="U8" i="28"/>
  <c r="D8" i="28"/>
  <c r="B8" i="28"/>
  <c r="U2" i="28"/>
  <c r="D2" i="28"/>
  <c r="B2" i="28"/>
  <c r="U150" i="28"/>
  <c r="D150" i="28"/>
  <c r="B150" i="28"/>
  <c r="U144" i="28"/>
  <c r="D144" i="28"/>
  <c r="B144" i="28" s="1"/>
  <c r="U138" i="28"/>
  <c r="D138" i="28"/>
  <c r="B138" i="28"/>
  <c r="U149" i="28"/>
  <c r="D149" i="28"/>
  <c r="B149" i="28"/>
  <c r="U143" i="28"/>
  <c r="D143" i="28"/>
  <c r="B143" i="28" s="1"/>
  <c r="U137" i="28"/>
  <c r="D137" i="28"/>
  <c r="B137" i="28" s="1"/>
  <c r="U148" i="28"/>
  <c r="D148" i="28"/>
  <c r="B148" i="28" s="1"/>
  <c r="U142" i="28"/>
  <c r="D142" i="28"/>
  <c r="B142" i="28"/>
  <c r="U136" i="28"/>
  <c r="D136" i="28"/>
  <c r="B136" i="28"/>
  <c r="U147" i="28"/>
  <c r="D147" i="28"/>
  <c r="B147" i="28"/>
  <c r="U141" i="28"/>
  <c r="D141" i="28"/>
  <c r="B141" i="28"/>
  <c r="U135" i="28"/>
  <c r="D135" i="28"/>
  <c r="B135" i="28"/>
  <c r="U146" i="28"/>
  <c r="D146" i="28"/>
  <c r="B146" i="28" s="1"/>
  <c r="U140" i="28"/>
  <c r="D140" i="28"/>
  <c r="B140" i="28" s="1"/>
  <c r="U134" i="28"/>
  <c r="D134" i="28"/>
  <c r="B134" i="28" s="1"/>
  <c r="U145" i="28"/>
  <c r="D145" i="28"/>
  <c r="B145" i="28"/>
  <c r="U139" i="28"/>
  <c r="D139" i="28"/>
  <c r="B139" i="28"/>
  <c r="U133" i="28"/>
  <c r="D133" i="28"/>
  <c r="B133" i="28"/>
  <c r="U162" i="28"/>
  <c r="D162" i="28"/>
  <c r="B162" i="28"/>
  <c r="U166" i="28"/>
  <c r="D166" i="28"/>
  <c r="B166" i="28"/>
  <c r="U158" i="28"/>
  <c r="D158" i="28"/>
  <c r="B158" i="28" s="1"/>
  <c r="U154" i="28"/>
  <c r="D154" i="28"/>
  <c r="B154" i="28" s="1"/>
  <c r="U161" i="28"/>
  <c r="D161" i="28"/>
  <c r="B161" i="28"/>
  <c r="U165" i="28"/>
  <c r="D165" i="28"/>
  <c r="B165" i="28"/>
  <c r="U157" i="28"/>
  <c r="D157" i="28"/>
  <c r="B157" i="28"/>
  <c r="U153" i="28"/>
  <c r="D153" i="28"/>
  <c r="B153" i="28"/>
  <c r="U160" i="28"/>
  <c r="D160" i="28"/>
  <c r="B160" i="28"/>
  <c r="U164" i="28"/>
  <c r="D164" i="28"/>
  <c r="B164" i="28" s="1"/>
  <c r="U156" i="28"/>
  <c r="D156" i="28"/>
  <c r="B156" i="28" s="1"/>
  <c r="U152" i="28"/>
  <c r="D152" i="28"/>
  <c r="B152" i="28" s="1"/>
  <c r="U159" i="28"/>
  <c r="D159" i="28"/>
  <c r="B159" i="28" s="1"/>
  <c r="U163" i="28"/>
  <c r="D163" i="28"/>
  <c r="B163" i="28"/>
  <c r="U155" i="28"/>
  <c r="D155" i="28"/>
  <c r="B155" i="28"/>
  <c r="U151" i="28"/>
  <c r="D151" i="28"/>
  <c r="B151" i="28" s="1"/>
  <c r="U112" i="28"/>
  <c r="D112" i="28"/>
  <c r="B112" i="28"/>
  <c r="U107" i="28"/>
  <c r="D107" i="28"/>
  <c r="B107" i="28"/>
  <c r="U102" i="28"/>
  <c r="D102" i="28"/>
  <c r="B102" i="28" s="1"/>
  <c r="U97" i="28"/>
  <c r="D97" i="28"/>
  <c r="B97" i="28" s="1"/>
  <c r="U111" i="28"/>
  <c r="D111" i="28"/>
  <c r="B111" i="28" s="1"/>
  <c r="U106" i="28"/>
  <c r="D106" i="28"/>
  <c r="B106" i="28"/>
  <c r="U101" i="28"/>
  <c r="D101" i="28"/>
  <c r="B101" i="28"/>
  <c r="U96" i="28"/>
  <c r="D96" i="28"/>
  <c r="B96" i="28"/>
  <c r="U110" i="28"/>
  <c r="D110" i="28"/>
  <c r="B110" i="28"/>
  <c r="U105" i="28"/>
  <c r="D105" i="28"/>
  <c r="B105" i="28"/>
  <c r="U100" i="28"/>
  <c r="D100" i="28"/>
  <c r="B100" i="28" s="1"/>
  <c r="U95" i="28"/>
  <c r="D95" i="28"/>
  <c r="B95" i="28" s="1"/>
  <c r="U109" i="28"/>
  <c r="D109" i="28"/>
  <c r="B109" i="28" s="1"/>
  <c r="U104" i="28"/>
  <c r="D104" i="28"/>
  <c r="B104" i="28"/>
  <c r="U99" i="28"/>
  <c r="D99" i="28"/>
  <c r="B99" i="28"/>
  <c r="U94" i="28"/>
  <c r="D94" i="28"/>
  <c r="B94" i="28"/>
  <c r="U108" i="28"/>
  <c r="D108" i="28"/>
  <c r="B108" i="28"/>
  <c r="U103" i="28"/>
  <c r="D103" i="28"/>
  <c r="B103" i="28"/>
  <c r="U98" i="28"/>
  <c r="D98" i="28"/>
  <c r="B98" i="28" s="1"/>
  <c r="U93" i="28"/>
  <c r="D93" i="28"/>
  <c r="B93" i="28" s="1"/>
  <c r="U180" i="28"/>
  <c r="D180" i="28"/>
  <c r="B180" i="28"/>
  <c r="U186" i="28"/>
  <c r="D186" i="28"/>
  <c r="B186" i="28"/>
  <c r="U174" i="28"/>
  <c r="D174" i="28"/>
  <c r="B174" i="28"/>
  <c r="U179" i="28"/>
  <c r="D179" i="28"/>
  <c r="B179" i="28"/>
  <c r="U185" i="28"/>
  <c r="D185" i="28"/>
  <c r="B185" i="28"/>
  <c r="U173" i="28"/>
  <c r="D173" i="28"/>
  <c r="B173" i="28" s="1"/>
  <c r="U190" i="28"/>
  <c r="D190" i="28"/>
  <c r="B190" i="28" s="1"/>
  <c r="U178" i="28"/>
  <c r="D178" i="28"/>
  <c r="B178" i="28" s="1"/>
  <c r="U184" i="28"/>
  <c r="D184" i="28"/>
  <c r="B184" i="28" s="1"/>
  <c r="U172" i="28"/>
  <c r="D172" i="28"/>
  <c r="B172" i="28"/>
  <c r="U189" i="28"/>
  <c r="D189" i="28"/>
  <c r="B189" i="28"/>
  <c r="U177" i="28"/>
  <c r="D177" i="28"/>
  <c r="B177" i="28" s="1"/>
  <c r="U183" i="28"/>
  <c r="D183" i="28"/>
  <c r="B183" i="28"/>
  <c r="U171" i="28"/>
  <c r="D171" i="28"/>
  <c r="B171" i="28" s="1"/>
  <c r="U188" i="28"/>
  <c r="D188" i="28"/>
  <c r="B188" i="28" s="1"/>
  <c r="U176" i="28"/>
  <c r="D176" i="28"/>
  <c r="B176" i="28" s="1"/>
  <c r="U182" i="28"/>
  <c r="D182" i="28"/>
  <c r="B182" i="28" s="1"/>
  <c r="U170" i="28"/>
  <c r="D170" i="28"/>
  <c r="B170" i="28"/>
  <c r="U187" i="28"/>
  <c r="D187" i="28"/>
  <c r="B187" i="28"/>
  <c r="U175" i="28"/>
  <c r="D175" i="28"/>
  <c r="B175" i="28" s="1"/>
  <c r="U181" i="28"/>
  <c r="D181" i="28"/>
  <c r="B181" i="28"/>
  <c r="U169" i="28"/>
  <c r="D169" i="28"/>
  <c r="B169" i="28"/>
  <c r="U248" i="28"/>
  <c r="D248" i="28"/>
  <c r="B248" i="28" s="1"/>
  <c r="U245" i="28"/>
  <c r="D245" i="28"/>
  <c r="B245" i="28" s="1"/>
  <c r="U242" i="28"/>
  <c r="D242" i="28"/>
  <c r="B242" i="28" s="1"/>
  <c r="U235" i="28"/>
  <c r="D235" i="28"/>
  <c r="B235" i="28"/>
  <c r="U247" i="28"/>
  <c r="D247" i="28"/>
  <c r="B247" i="28"/>
  <c r="U244" i="28"/>
  <c r="D244" i="28"/>
  <c r="B244" i="28"/>
  <c r="U241" i="28"/>
  <c r="D241" i="28"/>
  <c r="B241" i="28"/>
  <c r="U234" i="28"/>
  <c r="D234" i="28"/>
  <c r="B234" i="28"/>
  <c r="U246" i="28"/>
  <c r="D246" i="28"/>
  <c r="B246" i="28" s="1"/>
  <c r="U243" i="28"/>
  <c r="D243" i="28"/>
  <c r="B243" i="28" s="1"/>
  <c r="U240" i="28"/>
  <c r="D240" i="28"/>
  <c r="B240" i="28"/>
  <c r="U233" i="28"/>
  <c r="D233" i="28"/>
  <c r="B233" i="28"/>
  <c r="U323" i="28"/>
  <c r="D323" i="28"/>
  <c r="B323" i="28"/>
  <c r="U343" i="28"/>
  <c r="D343" i="28"/>
  <c r="B343" i="28"/>
  <c r="U339" i="28"/>
  <c r="D339" i="28"/>
  <c r="B339" i="28"/>
  <c r="U322" i="28"/>
  <c r="D322" i="28"/>
  <c r="B322" i="28" s="1"/>
  <c r="U342" i="28"/>
  <c r="D342" i="28"/>
  <c r="B342" i="28" s="1"/>
  <c r="U324" i="28"/>
  <c r="D324" i="28"/>
  <c r="B324" i="28" s="1"/>
  <c r="U321" i="28"/>
  <c r="D321" i="28"/>
  <c r="B321" i="28" s="1"/>
  <c r="U341" i="28"/>
  <c r="D341" i="28"/>
  <c r="B341" i="28"/>
  <c r="U338" i="28"/>
  <c r="D338" i="28"/>
  <c r="B338" i="28"/>
  <c r="U344" i="28"/>
  <c r="D344" i="28"/>
  <c r="B344" i="28" s="1"/>
  <c r="U340" i="28"/>
  <c r="D340" i="28"/>
  <c r="B340" i="28"/>
  <c r="U320" i="28"/>
  <c r="D320" i="28"/>
  <c r="B320" i="28" s="1"/>
  <c r="S168" i="28"/>
  <c r="S167" i="28"/>
  <c r="S367" i="28"/>
  <c r="S366" i="28"/>
  <c r="S379" i="28"/>
  <c r="S382" i="28"/>
  <c r="Y382" i="28"/>
  <c r="S373" i="28"/>
  <c r="S376" i="28"/>
  <c r="S370" i="28"/>
  <c r="S378" i="28"/>
  <c r="Y378" i="28"/>
  <c r="S381" i="28"/>
  <c r="Y381" i="28"/>
  <c r="S372" i="28"/>
  <c r="Y372" i="28" s="1"/>
  <c r="S375" i="28"/>
  <c r="S369" i="28"/>
  <c r="S377" i="28"/>
  <c r="Y377" i="28"/>
  <c r="S380" i="28"/>
  <c r="Y380" i="28" s="1"/>
  <c r="S371" i="28"/>
  <c r="Y371" i="28"/>
  <c r="S374" i="28"/>
  <c r="T374" i="28" s="1"/>
  <c r="V374" i="28" s="1"/>
  <c r="W374" i="28" s="1"/>
  <c r="S368" i="28"/>
  <c r="Y368" i="28"/>
  <c r="S365" i="28"/>
  <c r="Y365" i="28" s="1"/>
  <c r="S362" i="28"/>
  <c r="Y362" i="28"/>
  <c r="S359" i="28"/>
  <c r="Y359" i="28" s="1"/>
  <c r="S364" i="28"/>
  <c r="S361" i="28"/>
  <c r="Y361" i="28"/>
  <c r="S358" i="28"/>
  <c r="Y358" i="28" s="1"/>
  <c r="S363" i="28"/>
  <c r="Y363" i="28" s="1"/>
  <c r="S360" i="28"/>
  <c r="S357" i="28"/>
  <c r="S356" i="28"/>
  <c r="S352" i="28"/>
  <c r="S348" i="28"/>
  <c r="Y348" i="28" s="1"/>
  <c r="S355" i="28"/>
  <c r="S351" i="28"/>
  <c r="S347" i="28"/>
  <c r="Y347" i="28" s="1"/>
  <c r="S354" i="28"/>
  <c r="S350" i="28"/>
  <c r="S346" i="28"/>
  <c r="Y346" i="28"/>
  <c r="S353" i="28"/>
  <c r="Y353" i="28"/>
  <c r="S349" i="28"/>
  <c r="S86" i="28"/>
  <c r="S83" i="28"/>
  <c r="Y83" i="28"/>
  <c r="S85" i="28"/>
  <c r="S82" i="28"/>
  <c r="Y82" i="28" s="1"/>
  <c r="S84" i="28"/>
  <c r="S81" i="28"/>
  <c r="Y16" i="28"/>
  <c r="T7" i="28"/>
  <c r="V7" i="28" s="1"/>
  <c r="W7" i="28" s="1"/>
  <c r="Y4" i="28"/>
  <c r="Y12" i="28"/>
  <c r="Y15" i="28"/>
  <c r="Y6" i="28"/>
  <c r="Y9" i="28"/>
  <c r="Y5" i="28"/>
  <c r="Y8" i="28"/>
  <c r="S144" i="28"/>
  <c r="S138" i="28"/>
  <c r="Y138" i="28"/>
  <c r="S149" i="28"/>
  <c r="Y149" i="28"/>
  <c r="S143" i="28"/>
  <c r="S137" i="28"/>
  <c r="Y137" i="28"/>
  <c r="S148" i="28"/>
  <c r="Y148" i="28" s="1"/>
  <c r="S142" i="28"/>
  <c r="S136" i="28"/>
  <c r="S147" i="28"/>
  <c r="S141" i="28"/>
  <c r="S135" i="28"/>
  <c r="S146" i="28"/>
  <c r="S140" i="28"/>
  <c r="S134" i="28"/>
  <c r="Y134" i="28" s="1"/>
  <c r="S145" i="28"/>
  <c r="S139" i="28"/>
  <c r="Y139" i="28" s="1"/>
  <c r="S133" i="28"/>
  <c r="Y133" i="28"/>
  <c r="S162" i="28"/>
  <c r="T162" i="28" s="1"/>
  <c r="V162" i="28" s="1"/>
  <c r="S166" i="28"/>
  <c r="Y166" i="28"/>
  <c r="S158" i="28"/>
  <c r="S154" i="28"/>
  <c r="S161" i="28"/>
  <c r="S165" i="28"/>
  <c r="S157" i="28"/>
  <c r="Y157" i="28" s="1"/>
  <c r="S153" i="28"/>
  <c r="S160" i="28"/>
  <c r="S164" i="28"/>
  <c r="S156" i="28"/>
  <c r="S152" i="28"/>
  <c r="S159" i="28"/>
  <c r="S163" i="28"/>
  <c r="S155" i="28"/>
  <c r="Y155" i="28"/>
  <c r="S151" i="28"/>
  <c r="T151" i="28"/>
  <c r="V151" i="28" s="1"/>
  <c r="W151" i="28" s="1"/>
  <c r="S112" i="28"/>
  <c r="S107" i="28"/>
  <c r="S102" i="28"/>
  <c r="S97" i="28"/>
  <c r="S111" i="28"/>
  <c r="Y111" i="28" s="1"/>
  <c r="S106" i="28"/>
  <c r="Y106" i="28" s="1"/>
  <c r="T106" i="28"/>
  <c r="V106" i="28" s="1"/>
  <c r="S101" i="28"/>
  <c r="S96" i="28"/>
  <c r="S110" i="28"/>
  <c r="Y110" i="28"/>
  <c r="S105" i="28"/>
  <c r="Y105" i="28"/>
  <c r="S100" i="28"/>
  <c r="T100" i="28" s="1"/>
  <c r="V100" i="28" s="1"/>
  <c r="S95" i="28"/>
  <c r="S109" i="28"/>
  <c r="Y109" i="28"/>
  <c r="S104" i="28"/>
  <c r="Y104" i="28" s="1"/>
  <c r="S99" i="28"/>
  <c r="S94" i="28"/>
  <c r="Y94" i="28"/>
  <c r="S108" i="28"/>
  <c r="S103" i="28"/>
  <c r="Y103" i="28"/>
  <c r="S98" i="28"/>
  <c r="Y98" i="28"/>
  <c r="S93" i="28"/>
  <c r="Y93" i="28" s="1"/>
  <c r="S180" i="28"/>
  <c r="Y180" i="28"/>
  <c r="S186" i="28"/>
  <c r="S174" i="28"/>
  <c r="S179" i="28"/>
  <c r="S185" i="28"/>
  <c r="Y185" i="28" s="1"/>
  <c r="S173" i="28"/>
  <c r="S190" i="28"/>
  <c r="Y190" i="28" s="1"/>
  <c r="S178" i="28"/>
  <c r="S184" i="28"/>
  <c r="S172" i="28"/>
  <c r="Y172" i="28" s="1"/>
  <c r="S189" i="28"/>
  <c r="Y189" i="28"/>
  <c r="S177" i="28"/>
  <c r="Y177" i="28"/>
  <c r="S183" i="28"/>
  <c r="S171" i="28"/>
  <c r="S188" i="28"/>
  <c r="S176" i="28"/>
  <c r="S182" i="28"/>
  <c r="Y182" i="28"/>
  <c r="S170" i="28"/>
  <c r="S187" i="28"/>
  <c r="S175" i="28"/>
  <c r="S181" i="28"/>
  <c r="S169" i="28"/>
  <c r="S248" i="28"/>
  <c r="Y248" i="28"/>
  <c r="S245" i="28"/>
  <c r="S242" i="28"/>
  <c r="Y242" i="28"/>
  <c r="S235" i="28"/>
  <c r="S247" i="28"/>
  <c r="Y247" i="28"/>
  <c r="S244" i="28"/>
  <c r="Y244" i="28" s="1"/>
  <c r="S241" i="28"/>
  <c r="S234" i="28"/>
  <c r="S246" i="28"/>
  <c r="Y246" i="28" s="1"/>
  <c r="S243" i="28"/>
  <c r="Y243" i="28"/>
  <c r="S240" i="28"/>
  <c r="S233" i="28"/>
  <c r="S323" i="28"/>
  <c r="S343" i="28"/>
  <c r="S339" i="28"/>
  <c r="Y339" i="28" s="1"/>
  <c r="S322" i="28"/>
  <c r="Y322" i="28"/>
  <c r="S342" i="28"/>
  <c r="Y342" i="28"/>
  <c r="S324" i="28"/>
  <c r="Y324" i="28" s="1"/>
  <c r="S321" i="28"/>
  <c r="S341" i="28"/>
  <c r="T341" i="28" s="1"/>
  <c r="V341" i="28" s="1"/>
  <c r="X341" i="28" s="1"/>
  <c r="S338" i="28"/>
  <c r="S344" i="28"/>
  <c r="S340" i="28"/>
  <c r="Y340" i="28" s="1"/>
  <c r="Y88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/>
  <c r="X76" i="32"/>
  <c r="W24" i="33"/>
  <c r="Y76" i="32"/>
  <c r="W25" i="33" s="1"/>
  <c r="Z76" i="32"/>
  <c r="AA76" i="32"/>
  <c r="AB76" i="32"/>
  <c r="W28" i="33"/>
  <c r="AC76" i="32"/>
  <c r="W29" i="33"/>
  <c r="AD76" i="32"/>
  <c r="AE76" i="32"/>
  <c r="W31" i="33" s="1"/>
  <c r="AF76" i="32"/>
  <c r="W32" i="33"/>
  <c r="AG76" i="32"/>
  <c r="W33" i="33"/>
  <c r="AH76" i="32"/>
  <c r="AI76" i="32"/>
  <c r="W35" i="33" s="1"/>
  <c r="AJ76" i="32"/>
  <c r="W36" i="33"/>
  <c r="AK76" i="32"/>
  <c r="W37" i="33" s="1"/>
  <c r="AL76" i="32"/>
  <c r="W38" i="33" s="1"/>
  <c r="AM76" i="32"/>
  <c r="W39" i="33"/>
  <c r="AN76" i="32"/>
  <c r="U77" i="32"/>
  <c r="X21" i="33"/>
  <c r="V77" i="32"/>
  <c r="X22" i="33"/>
  <c r="W77" i="32"/>
  <c r="X23" i="33"/>
  <c r="X77" i="32"/>
  <c r="Y77" i="32"/>
  <c r="X25" i="33"/>
  <c r="Z77" i="32"/>
  <c r="X26" i="33" s="1"/>
  <c r="AA77" i="32"/>
  <c r="X27" i="33"/>
  <c r="AB77" i="32"/>
  <c r="X28" i="33"/>
  <c r="AC77" i="32"/>
  <c r="AD77" i="32"/>
  <c r="X30" i="33"/>
  <c r="AE77" i="32"/>
  <c r="X31" i="33"/>
  <c r="AF77" i="32"/>
  <c r="AG77" i="32"/>
  <c r="AH77" i="32"/>
  <c r="X34" i="33"/>
  <c r="AI77" i="32"/>
  <c r="AJ77" i="32"/>
  <c r="AK77" i="32"/>
  <c r="X37" i="33"/>
  <c r="AL77" i="32"/>
  <c r="X38" i="33" s="1"/>
  <c r="AM77" i="32"/>
  <c r="AN77" i="32"/>
  <c r="X40" i="33" s="1"/>
  <c r="U78" i="32"/>
  <c r="Y21" i="33"/>
  <c r="V78" i="32"/>
  <c r="Y22" i="33" s="1"/>
  <c r="W78" i="32"/>
  <c r="Y23" i="33"/>
  <c r="X78" i="32"/>
  <c r="Y24" i="33" s="1"/>
  <c r="Y78" i="32"/>
  <c r="Z78" i="32"/>
  <c r="Y26" i="33"/>
  <c r="AA78" i="32"/>
  <c r="Y27" i="33" s="1"/>
  <c r="AB78" i="32"/>
  <c r="Y28" i="33"/>
  <c r="AC78" i="32"/>
  <c r="Y29" i="33"/>
  <c r="AD78" i="32"/>
  <c r="Y30" i="33" s="1"/>
  <c r="AE78" i="32"/>
  <c r="Y31" i="33" s="1"/>
  <c r="AF78" i="32"/>
  <c r="Y32" i="33"/>
  <c r="AG78" i="32"/>
  <c r="Y33" i="33"/>
  <c r="AH78" i="32"/>
  <c r="Y34" i="33" s="1"/>
  <c r="AI78" i="32"/>
  <c r="Y35" i="33" s="1"/>
  <c r="AJ78" i="32"/>
  <c r="Y36" i="33"/>
  <c r="AK78" i="32"/>
  <c r="Y37" i="33"/>
  <c r="AL78" i="32"/>
  <c r="Y38" i="33" s="1"/>
  <c r="AM78" i="32"/>
  <c r="Y39" i="33" s="1"/>
  <c r="AN78" i="32"/>
  <c r="Y40" i="33"/>
  <c r="U79" i="32"/>
  <c r="Z21" i="33" s="1"/>
  <c r="V79" i="32"/>
  <c r="Z22" i="33"/>
  <c r="W79" i="32"/>
  <c r="Z23" i="33"/>
  <c r="X79" i="32"/>
  <c r="Z24" i="33"/>
  <c r="Y79" i="32"/>
  <c r="Z25" i="33" s="1"/>
  <c r="Z79" i="32"/>
  <c r="Z26" i="33" s="1"/>
  <c r="AA79" i="32"/>
  <c r="Z27" i="33" s="1"/>
  <c r="AB79" i="32"/>
  <c r="Z28" i="33" s="1"/>
  <c r="AC79" i="32"/>
  <c r="Z29" i="33"/>
  <c r="AD79" i="32"/>
  <c r="Z30" i="33"/>
  <c r="AE79" i="32"/>
  <c r="AF79" i="32"/>
  <c r="Z32" i="33"/>
  <c r="AG79" i="32"/>
  <c r="AH79" i="32"/>
  <c r="Z34" i="33"/>
  <c r="AI79" i="32"/>
  <c r="Z35" i="33"/>
  <c r="AJ79" i="32"/>
  <c r="Z36" i="33" s="1"/>
  <c r="AK79" i="32"/>
  <c r="AL79" i="32"/>
  <c r="Z38" i="33"/>
  <c r="AM79" i="32"/>
  <c r="Z39" i="33" s="1"/>
  <c r="AN79" i="32"/>
  <c r="Z40" i="33"/>
  <c r="U80" i="32"/>
  <c r="AA21" i="33" s="1"/>
  <c r="V80" i="32"/>
  <c r="AA22" i="33"/>
  <c r="W80" i="32"/>
  <c r="AA23" i="33" s="1"/>
  <c r="X80" i="32"/>
  <c r="AA24" i="33" s="1"/>
  <c r="Y80" i="32"/>
  <c r="AA25" i="33"/>
  <c r="Z80" i="32"/>
  <c r="AA26" i="33"/>
  <c r="AA80" i="32"/>
  <c r="AA27" i="33" s="1"/>
  <c r="AB80" i="32"/>
  <c r="AA28" i="33"/>
  <c r="AC80" i="32"/>
  <c r="AA29" i="33"/>
  <c r="AD80" i="32"/>
  <c r="AA30" i="33"/>
  <c r="AE80" i="32"/>
  <c r="AF80" i="32"/>
  <c r="AA32" i="33"/>
  <c r="AG80" i="32"/>
  <c r="AA33" i="33" s="1"/>
  <c r="AH80" i="32"/>
  <c r="AA34" i="33" s="1"/>
  <c r="AI80" i="32"/>
  <c r="AJ80" i="32"/>
  <c r="AA36" i="33" s="1"/>
  <c r="AK80" i="32"/>
  <c r="AA37" i="33"/>
  <c r="AL80" i="32"/>
  <c r="AA38" i="33" s="1"/>
  <c r="AM80" i="32"/>
  <c r="AA39" i="33"/>
  <c r="AN80" i="32"/>
  <c r="AA40" i="33" s="1"/>
  <c r="U81" i="32"/>
  <c r="AB21" i="33"/>
  <c r="V81" i="32"/>
  <c r="AB22" i="33"/>
  <c r="W81" i="32"/>
  <c r="AB23" i="33"/>
  <c r="X81" i="32"/>
  <c r="AB24" i="33" s="1"/>
  <c r="Y81" i="32"/>
  <c r="AB25" i="33" s="1"/>
  <c r="Z81" i="32"/>
  <c r="Z82" i="32" s="1"/>
  <c r="AB26" i="33"/>
  <c r="AA81" i="32"/>
  <c r="AB27" i="33"/>
  <c r="AB81" i="32"/>
  <c r="AB28" i="33" s="1"/>
  <c r="AC81" i="32"/>
  <c r="AB29" i="33"/>
  <c r="AD81" i="32"/>
  <c r="AB30" i="33"/>
  <c r="AE81" i="32"/>
  <c r="AB31" i="33"/>
  <c r="AF81" i="32"/>
  <c r="AB32" i="33" s="1"/>
  <c r="AG81" i="32"/>
  <c r="AB33" i="33"/>
  <c r="AH81" i="32"/>
  <c r="AB34" i="33" s="1"/>
  <c r="AI81" i="32"/>
  <c r="AB35" i="33"/>
  <c r="AJ81" i="32"/>
  <c r="AK81" i="32"/>
  <c r="AB37" i="33"/>
  <c r="AL81" i="32"/>
  <c r="AB38" i="33"/>
  <c r="AM81" i="32"/>
  <c r="AB39" i="33" s="1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/>
  <c r="X7" i="8"/>
  <c r="N40" i="31"/>
  <c r="O7" i="8"/>
  <c r="J7" i="8"/>
  <c r="AM5" i="8"/>
  <c r="H28" i="31" s="1"/>
  <c r="X5" i="8"/>
  <c r="N28" i="31"/>
  <c r="AM4" i="8"/>
  <c r="X4" i="8"/>
  <c r="O5" i="8"/>
  <c r="J5" i="8"/>
  <c r="O4" i="8"/>
  <c r="J4" i="8"/>
  <c r="J6" i="8"/>
  <c r="O6" i="8"/>
  <c r="X6" i="8"/>
  <c r="N26" i="31" s="1"/>
  <c r="AM6" i="8"/>
  <c r="H26" i="31"/>
  <c r="AQ6" i="8"/>
  <c r="AM8" i="8"/>
  <c r="H27" i="31"/>
  <c r="X8" i="8"/>
  <c r="N27" i="3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/>
  <c r="AM22" i="8"/>
  <c r="X22" i="8"/>
  <c r="AM21" i="8"/>
  <c r="X21" i="8"/>
  <c r="AM16" i="8"/>
  <c r="X16" i="8"/>
  <c r="AM15" i="8"/>
  <c r="X15" i="8"/>
  <c r="AM14" i="8"/>
  <c r="H37" i="31" s="1"/>
  <c r="X14" i="8"/>
  <c r="N37" i="31"/>
  <c r="AM12" i="8"/>
  <c r="H34" i="31" s="1"/>
  <c r="X12" i="8"/>
  <c r="N34" i="31"/>
  <c r="AM10" i="8"/>
  <c r="H32" i="31" s="1"/>
  <c r="X10" i="8"/>
  <c r="N32" i="31" s="1"/>
  <c r="AM36" i="8"/>
  <c r="X36" i="8"/>
  <c r="AM3" i="8"/>
  <c r="H12" i="31"/>
  <c r="X3" i="8"/>
  <c r="N12" i="31" s="1"/>
  <c r="AM2" i="8"/>
  <c r="H11" i="31"/>
  <c r="X2" i="8"/>
  <c r="N11" i="3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K17" i="15"/>
  <c r="M17" i="15"/>
  <c r="AA17" i="15"/>
  <c r="AB17" i="15"/>
  <c r="S17" i="15"/>
  <c r="AG17" i="15"/>
  <c r="T17" i="15"/>
  <c r="AH17" i="15"/>
  <c r="V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D54" i="32"/>
  <c r="E16" i="32"/>
  <c r="F16" i="32"/>
  <c r="F21" i="32" s="1"/>
  <c r="G16" i="32"/>
  <c r="G30" i="32"/>
  <c r="H16" i="32"/>
  <c r="H44" i="32" s="1"/>
  <c r="I16" i="32"/>
  <c r="J16" i="32"/>
  <c r="J75" i="32"/>
  <c r="K16" i="32"/>
  <c r="K75" i="32" s="1"/>
  <c r="L16" i="32"/>
  <c r="M16" i="32"/>
  <c r="N16" i="32"/>
  <c r="N97" i="32" s="1"/>
  <c r="O16" i="32"/>
  <c r="P16" i="32"/>
  <c r="P54" i="32" s="1"/>
  <c r="Q16" i="32"/>
  <c r="R16" i="32"/>
  <c r="R54" i="32" s="1"/>
  <c r="S16" i="32"/>
  <c r="S75" i="32" s="1"/>
  <c r="T16" i="32"/>
  <c r="U16" i="32"/>
  <c r="V16" i="32"/>
  <c r="W16" i="32"/>
  <c r="X16" i="32"/>
  <c r="Y16" i="32"/>
  <c r="Y75" i="32" s="1"/>
  <c r="Z16" i="32"/>
  <c r="AA16" i="32"/>
  <c r="AA44" i="32"/>
  <c r="AB16" i="32"/>
  <c r="AB75" i="32"/>
  <c r="AC16" i="32"/>
  <c r="AD16" i="32"/>
  <c r="AD85" i="32"/>
  <c r="AE16" i="32"/>
  <c r="AE65" i="32"/>
  <c r="AF16" i="32"/>
  <c r="AF21" i="32" s="1"/>
  <c r="AG16" i="32"/>
  <c r="AH16" i="32"/>
  <c r="AI16" i="32"/>
  <c r="AJ16" i="32"/>
  <c r="AK16" i="32"/>
  <c r="AL16" i="32"/>
  <c r="AL54" i="32" s="1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C65" i="32"/>
  <c r="X21" i="32"/>
  <c r="A42" i="14"/>
  <c r="A43" i="14"/>
  <c r="A44" i="14"/>
  <c r="A45" i="14"/>
  <c r="A46" i="14"/>
  <c r="A85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99" i="14"/>
  <c r="A61" i="14"/>
  <c r="A62" i="14"/>
  <c r="A63" i="14"/>
  <c r="A64" i="14"/>
  <c r="A65" i="14"/>
  <c r="A66" i="14"/>
  <c r="A67" i="14"/>
  <c r="A68" i="14"/>
  <c r="A69" i="14"/>
  <c r="A108" i="14"/>
  <c r="A147" i="14" s="1"/>
  <c r="A186" i="14" s="1"/>
  <c r="A225" i="14" s="1"/>
  <c r="A70" i="14"/>
  <c r="A71" i="14"/>
  <c r="A72" i="14"/>
  <c r="A73" i="14"/>
  <c r="A74" i="14"/>
  <c r="A113" i="14" s="1"/>
  <c r="A152" i="14" s="1"/>
  <c r="A191" i="14" s="1"/>
  <c r="A230" i="14" s="1"/>
  <c r="A75" i="14"/>
  <c r="A114" i="14"/>
  <c r="A76" i="14"/>
  <c r="A77" i="14"/>
  <c r="A116" i="14"/>
  <c r="A78" i="14"/>
  <c r="A79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H41" i="14"/>
  <c r="B42" i="14"/>
  <c r="B81" i="14" s="1"/>
  <c r="B43" i="14"/>
  <c r="B82" i="14"/>
  <c r="B44" i="14"/>
  <c r="B45" i="14"/>
  <c r="B46" i="14"/>
  <c r="B47" i="14"/>
  <c r="B86" i="14" s="1"/>
  <c r="B125" i="14" s="1"/>
  <c r="B164" i="14" s="1"/>
  <c r="B203" i="14" s="1"/>
  <c r="B242" i="14"/>
  <c r="B48" i="14"/>
  <c r="B87" i="14" s="1"/>
  <c r="B126" i="14" s="1"/>
  <c r="B165" i="14" s="1"/>
  <c r="B204" i="14" s="1"/>
  <c r="B243" i="14" s="1"/>
  <c r="B49" i="14"/>
  <c r="B50" i="14"/>
  <c r="B51" i="14"/>
  <c r="C51" i="14" s="1"/>
  <c r="B52" i="14"/>
  <c r="B53" i="14"/>
  <c r="B54" i="14"/>
  <c r="B55" i="14"/>
  <c r="G55" i="14" s="1"/>
  <c r="B56" i="14"/>
  <c r="G56" i="14" s="1"/>
  <c r="B95" i="14"/>
  <c r="B134" i="14" s="1"/>
  <c r="B57" i="14"/>
  <c r="B96" i="14"/>
  <c r="B135" i="14" s="1"/>
  <c r="B174" i="14"/>
  <c r="B213" i="14" s="1"/>
  <c r="B252" i="14" s="1"/>
  <c r="B58" i="14"/>
  <c r="B59" i="14"/>
  <c r="B98" i="14"/>
  <c r="B137" i="14" s="1"/>
  <c r="B176" i="14" s="1"/>
  <c r="B215" i="14" s="1"/>
  <c r="B254" i="14" s="1"/>
  <c r="B60" i="14"/>
  <c r="C60" i="14" s="1"/>
  <c r="B61" i="14"/>
  <c r="B62" i="14"/>
  <c r="B101" i="14" s="1"/>
  <c r="B63" i="14"/>
  <c r="B64" i="14"/>
  <c r="B103" i="14" s="1"/>
  <c r="B65" i="14"/>
  <c r="B104" i="14"/>
  <c r="B143" i="14" s="1"/>
  <c r="B182" i="14" s="1"/>
  <c r="B221" i="14" s="1"/>
  <c r="B260" i="14" s="1"/>
  <c r="B66" i="14"/>
  <c r="B67" i="14"/>
  <c r="B68" i="14"/>
  <c r="G68" i="14" s="1"/>
  <c r="B69" i="14"/>
  <c r="B70" i="14"/>
  <c r="C70" i="14" s="1"/>
  <c r="B109" i="14"/>
  <c r="B71" i="14"/>
  <c r="B110" i="14"/>
  <c r="B149" i="14" s="1"/>
  <c r="B72" i="14"/>
  <c r="G72" i="14"/>
  <c r="B73" i="14"/>
  <c r="B74" i="14"/>
  <c r="B75" i="14"/>
  <c r="B76" i="14"/>
  <c r="B115" i="14" s="1"/>
  <c r="B77" i="14"/>
  <c r="B78" i="14"/>
  <c r="B79" i="14"/>
  <c r="C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B92" i="14"/>
  <c r="V17" i="17"/>
  <c r="X17" i="17"/>
  <c r="W17" i="17"/>
  <c r="AL1" i="13"/>
  <c r="B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18" i="31"/>
  <c r="H19" i="31"/>
  <c r="I110" i="5"/>
  <c r="I109" i="5"/>
  <c r="I108" i="5"/>
  <c r="I107" i="5"/>
  <c r="I106" i="5"/>
  <c r="I105" i="5"/>
  <c r="I104" i="5"/>
  <c r="I103" i="5"/>
  <c r="J102" i="5"/>
  <c r="J91" i="5"/>
  <c r="J98" i="5"/>
  <c r="J97" i="5"/>
  <c r="I91" i="5"/>
  <c r="I88" i="5"/>
  <c r="I87" i="5"/>
  <c r="I86" i="5"/>
  <c r="I85" i="5"/>
  <c r="I84" i="5"/>
  <c r="I83" i="5"/>
  <c r="I82" i="5"/>
  <c r="I81" i="5"/>
  <c r="K80" i="5"/>
  <c r="J80" i="5"/>
  <c r="I77" i="5"/>
  <c r="I76" i="5"/>
  <c r="I75" i="5"/>
  <c r="I74" i="5"/>
  <c r="I73" i="5"/>
  <c r="I72" i="5"/>
  <c r="I71" i="5"/>
  <c r="I70" i="5"/>
  <c r="K69" i="5"/>
  <c r="J69" i="5"/>
  <c r="J58" i="5"/>
  <c r="I58" i="5"/>
  <c r="I55" i="5"/>
  <c r="I54" i="5"/>
  <c r="I53" i="5"/>
  <c r="I52" i="5"/>
  <c r="I51" i="5"/>
  <c r="I50" i="5"/>
  <c r="I49" i="5"/>
  <c r="I48" i="5"/>
  <c r="M47" i="5"/>
  <c r="L47" i="5"/>
  <c r="K47" i="5"/>
  <c r="K51" i="5"/>
  <c r="J47" i="5"/>
  <c r="I44" i="5"/>
  <c r="I43" i="5"/>
  <c r="I42" i="5"/>
  <c r="I41" i="5"/>
  <c r="I40" i="5"/>
  <c r="I39" i="5"/>
  <c r="I38" i="5"/>
  <c r="I37" i="5"/>
  <c r="S36" i="5"/>
  <c r="R36" i="5"/>
  <c r="Q36" i="5"/>
  <c r="Q43" i="5" s="1"/>
  <c r="Q40" i="5"/>
  <c r="P36" i="5"/>
  <c r="P41" i="5"/>
  <c r="O36" i="5"/>
  <c r="N36" i="5"/>
  <c r="N38" i="5"/>
  <c r="M36" i="5"/>
  <c r="L36" i="5"/>
  <c r="L43" i="5" s="1"/>
  <c r="K36" i="5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M14" i="5"/>
  <c r="M17" i="5" s="1"/>
  <c r="L14" i="5"/>
  <c r="K14" i="5"/>
  <c r="J14" i="5"/>
  <c r="I14" i="5"/>
  <c r="I17" i="5"/>
  <c r="U2" i="5"/>
  <c r="U5" i="5"/>
  <c r="T2" i="5"/>
  <c r="S2" i="5"/>
  <c r="R2" i="5"/>
  <c r="Q2" i="5"/>
  <c r="Q4" i="5"/>
  <c r="P2" i="5"/>
  <c r="S113" i="5" s="1"/>
  <c r="K2" i="5"/>
  <c r="J2" i="5"/>
  <c r="I2" i="5"/>
  <c r="K54" i="5"/>
  <c r="B11" i="32"/>
  <c r="AJ214" i="4"/>
  <c r="AP214" i="4"/>
  <c r="AJ205" i="4"/>
  <c r="AP205" i="4"/>
  <c r="AT205" i="4" s="1"/>
  <c r="AV205" i="4" s="1"/>
  <c r="AX205" i="4" s="1"/>
  <c r="AJ209" i="4"/>
  <c r="AP209" i="4"/>
  <c r="AR209" i="4" s="1"/>
  <c r="AJ210" i="4"/>
  <c r="AP210" i="4" s="1"/>
  <c r="AJ212" i="4"/>
  <c r="AP212" i="4"/>
  <c r="AR212" i="4" s="1"/>
  <c r="AJ201" i="4"/>
  <c r="AP201" i="4"/>
  <c r="AJ215" i="4"/>
  <c r="AP215" i="4"/>
  <c r="AT215" i="4" s="1"/>
  <c r="AV215" i="4" s="1"/>
  <c r="AX215" i="4" s="1"/>
  <c r="AJ211" i="4"/>
  <c r="AP211" i="4" s="1"/>
  <c r="AJ202" i="4"/>
  <c r="AP202" i="4" s="1"/>
  <c r="AT202" i="4" s="1"/>
  <c r="AV202" i="4" s="1"/>
  <c r="AX202" i="4" s="1"/>
  <c r="AJ204" i="4"/>
  <c r="AP204" i="4" s="1"/>
  <c r="AR204" i="4" s="1"/>
  <c r="AJ203" i="4"/>
  <c r="AP203" i="4"/>
  <c r="AT203" i="4" s="1"/>
  <c r="AV203" i="4" s="1"/>
  <c r="AJ208" i="4"/>
  <c r="AP208" i="4"/>
  <c r="AJ207" i="4"/>
  <c r="AP207" i="4" s="1"/>
  <c r="AJ216" i="4"/>
  <c r="AP216" i="4"/>
  <c r="AT216" i="4" s="1"/>
  <c r="AJ206" i="4"/>
  <c r="AP206" i="4"/>
  <c r="AJ213" i="4"/>
  <c r="AP213" i="4" s="1"/>
  <c r="AR213" i="4" s="1"/>
  <c r="AQ9" i="8"/>
  <c r="J99" i="5"/>
  <c r="H54" i="32"/>
  <c r="N251" i="7"/>
  <c r="N1027" i="7"/>
  <c r="N1600" i="7"/>
  <c r="N1608" i="7"/>
  <c r="I454" i="7"/>
  <c r="I1031" i="7"/>
  <c r="I1098" i="7"/>
  <c r="I1102" i="7"/>
  <c r="I1121" i="7"/>
  <c r="I1275" i="7"/>
  <c r="N807" i="7"/>
  <c r="N1029" i="7"/>
  <c r="N1119" i="7"/>
  <c r="AE30" i="32"/>
  <c r="H30" i="32"/>
  <c r="B90" i="14"/>
  <c r="B129" i="14"/>
  <c r="B168" i="14" s="1"/>
  <c r="H65" i="32"/>
  <c r="H85" i="32"/>
  <c r="AS23" i="4"/>
  <c r="AS103" i="4"/>
  <c r="AS12" i="4"/>
  <c r="AS38" i="4"/>
  <c r="AS173" i="4"/>
  <c r="AS98" i="4"/>
  <c r="H35" i="32"/>
  <c r="J93" i="5"/>
  <c r="J96" i="5"/>
  <c r="J52" i="5"/>
  <c r="K50" i="5"/>
  <c r="C75" i="14"/>
  <c r="AS138" i="4"/>
  <c r="AS95" i="4"/>
  <c r="AS133" i="4"/>
  <c r="AS84" i="4"/>
  <c r="AS54" i="4"/>
  <c r="AS148" i="4"/>
  <c r="AS86" i="4"/>
  <c r="AS112" i="4"/>
  <c r="AS97" i="4"/>
  <c r="AS121" i="4"/>
  <c r="J94" i="5"/>
  <c r="AS72" i="4"/>
  <c r="AS126" i="4"/>
  <c r="AS17" i="4"/>
  <c r="AS111" i="4"/>
  <c r="AS45" i="4"/>
  <c r="AS77" i="4"/>
  <c r="AS75" i="4"/>
  <c r="AS171" i="4"/>
  <c r="AS139" i="4"/>
  <c r="AS41" i="4"/>
  <c r="AS188" i="4"/>
  <c r="AS39" i="4"/>
  <c r="AS137" i="4"/>
  <c r="AS151" i="4"/>
  <c r="AS146" i="4"/>
  <c r="AS129" i="4"/>
  <c r="AS20" i="4"/>
  <c r="AS158" i="4"/>
  <c r="AS27" i="4"/>
  <c r="J92" i="5"/>
  <c r="R3" i="5"/>
  <c r="T8" i="28"/>
  <c r="V8" i="28" s="1"/>
  <c r="G61" i="14"/>
  <c r="C86" i="12"/>
  <c r="C10" i="12"/>
  <c r="C61" i="12"/>
  <c r="C19" i="12"/>
  <c r="C21" i="12"/>
  <c r="C111" i="12"/>
  <c r="A313" i="12"/>
  <c r="A448" i="12" s="1"/>
  <c r="A583" i="12" s="1"/>
  <c r="A718" i="12" s="1"/>
  <c r="A853" i="12" s="1"/>
  <c r="A988" i="12" s="1"/>
  <c r="A1123" i="12" s="1"/>
  <c r="A1258" i="12" s="1"/>
  <c r="K87" i="5"/>
  <c r="P42" i="5"/>
  <c r="P38" i="5"/>
  <c r="Q7" i="5"/>
  <c r="P9" i="5"/>
  <c r="Y176" i="28"/>
  <c r="Y158" i="28"/>
  <c r="B107" i="14"/>
  <c r="A505" i="12"/>
  <c r="A640" i="12"/>
  <c r="A775" i="12" s="1"/>
  <c r="A910" i="12" s="1"/>
  <c r="A1045" i="12"/>
  <c r="A1180" i="12" s="1"/>
  <c r="A1315" i="12" s="1"/>
  <c r="A1450" i="12" s="1"/>
  <c r="A1585" i="12" s="1"/>
  <c r="A1720" i="12" s="1"/>
  <c r="A1855" i="12"/>
  <c r="A1990" i="12" s="1"/>
  <c r="A2125" i="12" s="1"/>
  <c r="A2260" i="12" s="1"/>
  <c r="A2395" i="12" s="1"/>
  <c r="A2530" i="12" s="1"/>
  <c r="A2665" i="12" s="1"/>
  <c r="A2800" i="12" s="1"/>
  <c r="A2935" i="12" s="1"/>
  <c r="A3070" i="12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J50" i="5"/>
  <c r="A3177" i="12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B177" i="12"/>
  <c r="C177" i="12" s="1"/>
  <c r="B312" i="12"/>
  <c r="C312" i="12" s="1"/>
  <c r="B447" i="12"/>
  <c r="B226" i="12"/>
  <c r="B361" i="12" s="1"/>
  <c r="B496" i="12" s="1"/>
  <c r="AL85" i="32"/>
  <c r="AL21" i="32"/>
  <c r="AL97" i="32"/>
  <c r="AL35" i="32"/>
  <c r="AL65" i="32"/>
  <c r="AL44" i="32"/>
  <c r="J21" i="5"/>
  <c r="J18" i="5"/>
  <c r="AF97" i="32"/>
  <c r="AF54" i="32"/>
  <c r="AS8" i="4"/>
  <c r="AS92" i="4"/>
  <c r="AS181" i="4"/>
  <c r="B111" i="14"/>
  <c r="B150" i="14"/>
  <c r="B189" i="14"/>
  <c r="B228" i="14" s="1"/>
  <c r="B267" i="14" s="1"/>
  <c r="Y143" i="28"/>
  <c r="S65" i="32"/>
  <c r="V21" i="32"/>
  <c r="H75" i="32"/>
  <c r="AS24" i="4"/>
  <c r="AS99" i="4"/>
  <c r="AS145" i="4"/>
  <c r="AS59" i="4"/>
  <c r="AS66" i="4"/>
  <c r="AS71" i="4"/>
  <c r="AS152" i="4"/>
  <c r="AS34" i="4"/>
  <c r="AS115" i="4"/>
  <c r="AS11" i="4"/>
  <c r="AS162" i="4"/>
  <c r="AS5" i="4"/>
  <c r="AS70" i="4"/>
  <c r="AS192" i="4"/>
  <c r="AS134" i="4"/>
  <c r="AS51" i="4"/>
  <c r="AS183" i="4"/>
  <c r="AS160" i="4"/>
  <c r="AS182" i="4"/>
  <c r="AS69" i="4"/>
  <c r="AS35" i="4"/>
  <c r="AS33" i="4"/>
  <c r="AS127" i="4"/>
  <c r="AS159" i="4"/>
  <c r="AS104" i="4"/>
  <c r="AS169" i="4"/>
  <c r="AS125" i="4"/>
  <c r="AS73" i="4"/>
  <c r="AS67" i="4"/>
  <c r="AS144" i="4"/>
  <c r="AS26" i="4"/>
  <c r="AS189" i="4"/>
  <c r="AS63" i="4"/>
  <c r="AS119" i="4"/>
  <c r="AS60" i="4"/>
  <c r="AS174" i="4"/>
  <c r="AS87" i="4"/>
  <c r="AS82" i="4"/>
  <c r="AS40" i="4"/>
  <c r="AS142" i="4"/>
  <c r="AS155" i="4"/>
  <c r="AS140" i="4"/>
  <c r="AS57" i="4"/>
  <c r="AS10" i="4"/>
  <c r="AS187" i="4"/>
  <c r="AS149" i="4"/>
  <c r="AS30" i="4"/>
  <c r="AS175" i="4"/>
  <c r="AS74" i="4"/>
  <c r="AS135" i="4"/>
  <c r="AS3" i="4"/>
  <c r="AS42" i="4"/>
  <c r="AS49" i="4"/>
  <c r="AS107" i="4"/>
  <c r="AS4" i="4"/>
  <c r="AS101" i="4"/>
  <c r="AS15" i="4"/>
  <c r="AS114" i="4"/>
  <c r="AS29" i="4"/>
  <c r="AS32" i="4"/>
  <c r="AS116" i="4"/>
  <c r="AS172" i="4"/>
  <c r="AS143" i="4"/>
  <c r="AS56" i="4"/>
  <c r="AS2" i="4"/>
  <c r="AS91" i="4"/>
  <c r="AS131" i="4"/>
  <c r="AS31" i="4"/>
  <c r="AS21" i="4"/>
  <c r="AS106" i="4"/>
  <c r="AS53" i="4"/>
  <c r="AS102" i="4"/>
  <c r="AS90" i="4"/>
  <c r="AS128" i="4"/>
  <c r="AS64" i="4"/>
  <c r="AS16" i="4"/>
  <c r="AS154" i="4"/>
  <c r="AS166" i="4"/>
  <c r="AS180" i="4"/>
  <c r="AS43" i="4"/>
  <c r="AS52" i="4"/>
  <c r="AS157" i="4"/>
  <c r="AS200" i="4"/>
  <c r="U24" i="15"/>
  <c r="B256" i="12"/>
  <c r="C256" i="12" s="1"/>
  <c r="B391" i="12"/>
  <c r="C121" i="12"/>
  <c r="N43" i="5"/>
  <c r="N42" i="5"/>
  <c r="Q10" i="5"/>
  <c r="S114" i="5"/>
  <c r="Q9" i="5"/>
  <c r="T114" i="5"/>
  <c r="Q3" i="5"/>
  <c r="U113" i="5"/>
  <c r="C46" i="14"/>
  <c r="J21" i="32"/>
  <c r="B390" i="12"/>
  <c r="K4" i="5"/>
  <c r="K8" i="5"/>
  <c r="G62" i="14"/>
  <c r="Y266" i="28"/>
  <c r="AJ85" i="32"/>
  <c r="Z31" i="33"/>
  <c r="A1117" i="12"/>
  <c r="R114" i="5"/>
  <c r="I97" i="32"/>
  <c r="I85" i="32"/>
  <c r="I65" i="32"/>
  <c r="A1810" i="12"/>
  <c r="A1945" i="12"/>
  <c r="A2080" i="12" s="1"/>
  <c r="A2215" i="12" s="1"/>
  <c r="A2350" i="12" s="1"/>
  <c r="A2485" i="12" s="1"/>
  <c r="A2620" i="12" s="1"/>
  <c r="A2755" i="12" s="1"/>
  <c r="A2890" i="12" s="1"/>
  <c r="A3025" i="12" s="1"/>
  <c r="A3160" i="12"/>
  <c r="A3295" i="12" s="1"/>
  <c r="A3430" i="12" s="1"/>
  <c r="A3565" i="12" s="1"/>
  <c r="A3700" i="12" s="1"/>
  <c r="A3835" i="12"/>
  <c r="A3970" i="12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K6" i="5"/>
  <c r="Q8" i="5"/>
  <c r="P4" i="5"/>
  <c r="P10" i="5"/>
  <c r="N44" i="5"/>
  <c r="J51" i="5"/>
  <c r="A84" i="14"/>
  <c r="Q85" i="32"/>
  <c r="Y146" i="28"/>
  <c r="K27" i="5"/>
  <c r="X85" i="32"/>
  <c r="T218" i="28"/>
  <c r="V218" i="28" s="1"/>
  <c r="T256" i="28"/>
  <c r="V256" i="28" s="1"/>
  <c r="T129" i="28"/>
  <c r="V129" i="28" s="1"/>
  <c r="AS211" i="4"/>
  <c r="AS205" i="4"/>
  <c r="AS215" i="4"/>
  <c r="AS203" i="4"/>
  <c r="AS199" i="4"/>
  <c r="AS202" i="4"/>
  <c r="AS197" i="4"/>
  <c r="AS201" i="4"/>
  <c r="AS206" i="4"/>
  <c r="A346" i="12"/>
  <c r="A481" i="12"/>
  <c r="A616" i="12"/>
  <c r="A751" i="12" s="1"/>
  <c r="A886" i="12" s="1"/>
  <c r="A1021" i="12" s="1"/>
  <c r="A1156" i="12" s="1"/>
  <c r="A1291" i="12" s="1"/>
  <c r="A1426" i="12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E97" i="32"/>
  <c r="AE35" i="32"/>
  <c r="AE44" i="32"/>
  <c r="AE75" i="32"/>
  <c r="AE54" i="32"/>
  <c r="AE21" i="32"/>
  <c r="AE85" i="32"/>
  <c r="E97" i="32"/>
  <c r="AD65" i="32"/>
  <c r="X44" i="32"/>
  <c r="X54" i="32"/>
  <c r="X75" i="32"/>
  <c r="X35" i="33"/>
  <c r="C231" i="12"/>
  <c r="C270" i="12"/>
  <c r="O84" i="17"/>
  <c r="S84" i="17"/>
  <c r="W20" i="33"/>
  <c r="Z75" i="32"/>
  <c r="C75" i="32"/>
  <c r="Z54" i="32"/>
  <c r="AI24" i="15"/>
  <c r="P24" i="15"/>
  <c r="AA24" i="15"/>
  <c r="N24" i="15"/>
  <c r="AJ24" i="15"/>
  <c r="AB24" i="15"/>
  <c r="M24" i="15"/>
  <c r="W24" i="15"/>
  <c r="AL24" i="15"/>
  <c r="AN24" i="15"/>
  <c r="O24" i="15"/>
  <c r="AC24" i="15"/>
  <c r="T24" i="15"/>
  <c r="J24" i="15"/>
  <c r="AE24" i="15"/>
  <c r="L24" i="15"/>
  <c r="S24" i="15"/>
  <c r="AG24" i="15"/>
  <c r="T120" i="28"/>
  <c r="V120" i="28" s="1"/>
  <c r="W120" i="28" s="1"/>
  <c r="Y120" i="28"/>
  <c r="I1247" i="7"/>
  <c r="I341" i="7"/>
  <c r="I1026" i="7"/>
  <c r="I1255" i="7"/>
  <c r="I1603" i="7"/>
  <c r="N1025" i="7"/>
  <c r="I256" i="7"/>
  <c r="I807" i="7"/>
  <c r="I918" i="7"/>
  <c r="I1095" i="7"/>
  <c r="I1100" i="7"/>
  <c r="I1172" i="7"/>
  <c r="I1248" i="7"/>
  <c r="I1265" i="7"/>
  <c r="I1269" i="7"/>
  <c r="I1277" i="7"/>
  <c r="I1599" i="7"/>
  <c r="N454" i="7"/>
  <c r="N809" i="7"/>
  <c r="N920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025" i="7"/>
  <c r="I1152" i="7"/>
  <c r="I1258" i="7"/>
  <c r="I1602" i="7"/>
  <c r="I1606" i="7"/>
  <c r="N255" i="7"/>
  <c r="N965" i="7"/>
  <c r="I810" i="7"/>
  <c r="I964" i="7"/>
  <c r="I1099" i="7"/>
  <c r="I1103" i="7"/>
  <c r="I1251" i="7"/>
  <c r="I1264" i="7"/>
  <c r="I1268" i="7"/>
  <c r="I1272" i="7"/>
  <c r="N595" i="7"/>
  <c r="N919" i="7"/>
  <c r="N1101" i="7"/>
  <c r="N1173" i="7"/>
  <c r="N1249" i="7"/>
  <c r="N1253" i="7"/>
  <c r="N1592" i="7"/>
  <c r="N1596" i="7"/>
  <c r="I1263" i="7"/>
  <c r="N258" i="7"/>
  <c r="N1121" i="7"/>
  <c r="I459" i="7"/>
  <c r="I1608" i="7"/>
  <c r="N341" i="7"/>
  <c r="N1255" i="7"/>
  <c r="N1263" i="7"/>
  <c r="N1603" i="7"/>
  <c r="N1607" i="7"/>
  <c r="I919" i="7"/>
  <c r="I1030" i="7"/>
  <c r="I1120" i="7"/>
  <c r="I1173" i="7"/>
  <c r="I1249" i="7"/>
  <c r="I1596" i="7"/>
  <c r="N695" i="7"/>
  <c r="N810" i="7"/>
  <c r="N1094" i="7"/>
  <c r="N1099" i="7"/>
  <c r="N1103" i="7"/>
  <c r="N1268" i="7"/>
  <c r="N1272" i="7"/>
  <c r="N1276" i="7"/>
  <c r="N1598" i="7"/>
  <c r="N1606" i="7"/>
  <c r="I255" i="7"/>
  <c r="I965" i="7"/>
  <c r="I1257" i="7"/>
  <c r="I1261" i="7"/>
  <c r="I1605" i="7"/>
  <c r="N1256" i="7"/>
  <c r="N1604" i="7"/>
  <c r="N1030" i="7"/>
  <c r="N1096" i="7"/>
  <c r="N1120" i="7"/>
  <c r="N1266" i="7"/>
  <c r="N1270" i="7"/>
  <c r="N1274" i="7"/>
  <c r="N1278" i="7"/>
  <c r="A48" i="6"/>
  <c r="A49" i="6"/>
  <c r="A20" i="6"/>
  <c r="B48" i="6"/>
  <c r="B49" i="6" s="1"/>
  <c r="AT179" i="4"/>
  <c r="AV179" i="4" s="1"/>
  <c r="AW179" i="4" s="1"/>
  <c r="AT181" i="4"/>
  <c r="Q84" i="4"/>
  <c r="Q47" i="4"/>
  <c r="Q63" i="4"/>
  <c r="S191" i="4"/>
  <c r="Q87" i="4"/>
  <c r="Q153" i="4"/>
  <c r="S196" i="4"/>
  <c r="B154" i="14"/>
  <c r="B193" i="14" s="1"/>
  <c r="B232" i="14" s="1"/>
  <c r="B271" i="14" s="1"/>
  <c r="J70" i="5"/>
  <c r="S41" i="5"/>
  <c r="L38" i="5"/>
  <c r="I20" i="5"/>
  <c r="I16" i="5"/>
  <c r="Q6" i="5"/>
  <c r="N41" i="5"/>
  <c r="J71" i="5"/>
  <c r="J49" i="5"/>
  <c r="K10" i="5"/>
  <c r="I22" i="5"/>
  <c r="O43" i="5"/>
  <c r="B93" i="14"/>
  <c r="P75" i="32"/>
  <c r="B205" i="12"/>
  <c r="C205" i="12" s="1"/>
  <c r="A83" i="14"/>
  <c r="A122" i="14" s="1"/>
  <c r="G64" i="14"/>
  <c r="H64" i="14"/>
  <c r="N37" i="5"/>
  <c r="K30" i="5"/>
  <c r="C289" i="12"/>
  <c r="H56" i="14"/>
  <c r="AB54" i="32"/>
  <c r="AB35" i="32"/>
  <c r="AB21" i="32"/>
  <c r="AB44" i="32"/>
  <c r="AB97" i="32"/>
  <c r="AB65" i="32"/>
  <c r="A3208" i="12"/>
  <c r="A3343" i="12"/>
  <c r="A3478" i="12" s="1"/>
  <c r="A3613" i="12"/>
  <c r="A3748" i="12" s="1"/>
  <c r="A3883" i="12" s="1"/>
  <c r="A4018" i="12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435" i="12"/>
  <c r="A570" i="12"/>
  <c r="A705" i="12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J15" i="5"/>
  <c r="S3" i="5"/>
  <c r="L37" i="5"/>
  <c r="I21" i="5"/>
  <c r="I15" i="5"/>
  <c r="K5" i="5"/>
  <c r="J16" i="5"/>
  <c r="M25" i="5"/>
  <c r="T113" i="5"/>
  <c r="P7" i="5"/>
  <c r="L44" i="5"/>
  <c r="P44" i="5"/>
  <c r="B131" i="14"/>
  <c r="B170" i="14" s="1"/>
  <c r="B209" i="14"/>
  <c r="B248" i="14" s="1"/>
  <c r="B99" i="14"/>
  <c r="H99" i="14" s="1"/>
  <c r="G60" i="14"/>
  <c r="A94" i="14"/>
  <c r="I55" i="14"/>
  <c r="X36" i="33"/>
  <c r="W26" i="33"/>
  <c r="A1298" i="12"/>
  <c r="K77" i="5"/>
  <c r="K71" i="5"/>
  <c r="J6" i="5"/>
  <c r="K15" i="5"/>
  <c r="B142" i="14"/>
  <c r="B181" i="14" s="1"/>
  <c r="B220" i="14" s="1"/>
  <c r="AK97" i="32"/>
  <c r="AK65" i="32"/>
  <c r="AK30" i="32"/>
  <c r="AK85" i="32"/>
  <c r="AK54" i="32"/>
  <c r="AK75" i="32"/>
  <c r="AK21" i="32"/>
  <c r="AK44" i="32"/>
  <c r="AK35" i="32"/>
  <c r="M75" i="32"/>
  <c r="B97" i="32"/>
  <c r="Y147" i="28"/>
  <c r="B148" i="14"/>
  <c r="B187" i="14" s="1"/>
  <c r="B226" i="14" s="1"/>
  <c r="B265" i="14" s="1"/>
  <c r="J75" i="5"/>
  <c r="K9" i="5"/>
  <c r="K75" i="5"/>
  <c r="R42" i="5"/>
  <c r="R40" i="5"/>
  <c r="I18" i="5"/>
  <c r="Q5" i="5"/>
  <c r="P39" i="5"/>
  <c r="K40" i="5"/>
  <c r="U114" i="5"/>
  <c r="K22" i="5"/>
  <c r="H69" i="14"/>
  <c r="G69" i="14"/>
  <c r="C69" i="14"/>
  <c r="AB85" i="32"/>
  <c r="AF44" i="32"/>
  <c r="AF65" i="32"/>
  <c r="AF85" i="32"/>
  <c r="AF30" i="32"/>
  <c r="AF75" i="32"/>
  <c r="AF35" i="32"/>
  <c r="T35" i="32"/>
  <c r="T65" i="32"/>
  <c r="T30" i="32"/>
  <c r="W19" i="33"/>
  <c r="G51" i="14"/>
  <c r="B80" i="14"/>
  <c r="B119" i="14"/>
  <c r="B158" i="14"/>
  <c r="B197" i="14" s="1"/>
  <c r="B236" i="14" s="1"/>
  <c r="A101" i="14"/>
  <c r="Y376" i="28"/>
  <c r="B524" i="12"/>
  <c r="B106" i="14"/>
  <c r="G45" i="14"/>
  <c r="Y97" i="32"/>
  <c r="Y30" i="32"/>
  <c r="S97" i="32"/>
  <c r="S35" i="32"/>
  <c r="F75" i="32"/>
  <c r="Z84" i="17"/>
  <c r="B1148" i="12"/>
  <c r="C220" i="12"/>
  <c r="A105" i="14"/>
  <c r="A144" i="14"/>
  <c r="A89" i="14"/>
  <c r="A128" i="14"/>
  <c r="A167" i="14" s="1"/>
  <c r="AK84" i="17"/>
  <c r="U84" i="17"/>
  <c r="M84" i="17"/>
  <c r="E84" i="17"/>
  <c r="AD54" i="32"/>
  <c r="AD30" i="32"/>
  <c r="AD35" i="32"/>
  <c r="AD21" i="32"/>
  <c r="Y181" i="28"/>
  <c r="Y14" i="28"/>
  <c r="T14" i="28"/>
  <c r="V14" i="28" s="1"/>
  <c r="W14" i="28" s="1"/>
  <c r="B1161" i="12"/>
  <c r="H68" i="14"/>
  <c r="E75" i="32"/>
  <c r="V44" i="32"/>
  <c r="AL75" i="32"/>
  <c r="AL30" i="32"/>
  <c r="W22" i="33"/>
  <c r="Y356" i="28"/>
  <c r="H74" i="14"/>
  <c r="A107" i="14"/>
  <c r="A100" i="14"/>
  <c r="A139" i="14"/>
  <c r="H61" i="14"/>
  <c r="A93" i="14"/>
  <c r="H93" i="14" s="1"/>
  <c r="Z44" i="32"/>
  <c r="AJ75" i="32"/>
  <c r="J97" i="32"/>
  <c r="J35" i="32"/>
  <c r="J85" i="32"/>
  <c r="I52" i="14"/>
  <c r="A138" i="14"/>
  <c r="A177" i="14" s="1"/>
  <c r="A216" i="14"/>
  <c r="A255" i="14" s="1"/>
  <c r="Z35" i="32"/>
  <c r="I54" i="32"/>
  <c r="E85" i="32"/>
  <c r="Y10" i="28"/>
  <c r="I41" i="14"/>
  <c r="I44" i="32"/>
  <c r="I75" i="32"/>
  <c r="Y174" i="28"/>
  <c r="Y154" i="28"/>
  <c r="T154" i="28"/>
  <c r="V154" i="28" s="1"/>
  <c r="W154" i="28" s="1"/>
  <c r="T375" i="28"/>
  <c r="V375" i="28" s="1"/>
  <c r="X375" i="28" s="1"/>
  <c r="Y375" i="28"/>
  <c r="Y17" i="33"/>
  <c r="P46" i="40"/>
  <c r="W27" i="33"/>
  <c r="Z191" i="4"/>
  <c r="Q182" i="4"/>
  <c r="S46" i="4"/>
  <c r="Y320" i="28"/>
  <c r="T318" i="28"/>
  <c r="V318" i="28" s="1"/>
  <c r="W318" i="28" s="1"/>
  <c r="AS36" i="4"/>
  <c r="AS61" i="4"/>
  <c r="AS85" i="4"/>
  <c r="AS185" i="4"/>
  <c r="AS28" i="4"/>
  <c r="AS88" i="4"/>
  <c r="AS122" i="4"/>
  <c r="AS141" i="4"/>
  <c r="AS7" i="4"/>
  <c r="Q125" i="4"/>
  <c r="S125" i="4"/>
  <c r="Q77" i="4"/>
  <c r="T227" i="28"/>
  <c r="V227" i="28" s="1"/>
  <c r="T287" i="28"/>
  <c r="V287" i="28" s="1"/>
  <c r="T272" i="28"/>
  <c r="V272" i="28" s="1"/>
  <c r="T335" i="28"/>
  <c r="V335" i="28" s="1"/>
  <c r="W335" i="28" s="1"/>
  <c r="T282" i="28"/>
  <c r="V282" i="28" s="1"/>
  <c r="T192" i="28"/>
  <c r="V192" i="28" s="1"/>
  <c r="T297" i="28"/>
  <c r="V297" i="28" s="1"/>
  <c r="X297" i="28" s="1"/>
  <c r="T304" i="28"/>
  <c r="V304" i="28" s="1"/>
  <c r="T195" i="28"/>
  <c r="V195" i="28" s="1"/>
  <c r="X195" i="28" s="1"/>
  <c r="T309" i="28"/>
  <c r="V309" i="28" s="1"/>
  <c r="T131" i="28"/>
  <c r="V131" i="28" s="1"/>
  <c r="X131" i="28" s="1"/>
  <c r="T123" i="28"/>
  <c r="V123" i="28" s="1"/>
  <c r="X123" i="28" s="1"/>
  <c r="AS19" i="4"/>
  <c r="AS176" i="4"/>
  <c r="AS76" i="4"/>
  <c r="AS18" i="4"/>
  <c r="N1028" i="7"/>
  <c r="I1593" i="7"/>
  <c r="I1597" i="7"/>
  <c r="N256" i="7"/>
  <c r="N460" i="7"/>
  <c r="N918" i="7"/>
  <c r="N1100" i="7"/>
  <c r="N1172" i="7"/>
  <c r="U49" i="16"/>
  <c r="AG49" i="16"/>
  <c r="S199" i="4"/>
  <c r="S193" i="4"/>
  <c r="S116" i="4"/>
  <c r="X22" i="4"/>
  <c r="Q86" i="4"/>
  <c r="S86" i="4"/>
  <c r="S128" i="4"/>
  <c r="Q128" i="4"/>
  <c r="Q176" i="4"/>
  <c r="AR169" i="4"/>
  <c r="AR35" i="4"/>
  <c r="AT35" i="4"/>
  <c r="X97" i="4"/>
  <c r="AT58" i="4"/>
  <c r="Q69" i="4"/>
  <c r="Q170" i="4"/>
  <c r="Q5" i="4"/>
  <c r="X11" i="4"/>
  <c r="X28" i="4"/>
  <c r="X207" i="4"/>
  <c r="AT77" i="4"/>
  <c r="AV77" i="4" s="1"/>
  <c r="AW77" i="4" s="1"/>
  <c r="AR77" i="4"/>
  <c r="AR166" i="4"/>
  <c r="S198" i="4"/>
  <c r="Q53" i="4"/>
  <c r="Q117" i="4"/>
  <c r="Q197" i="4"/>
  <c r="S197" i="4"/>
  <c r="S104" i="4"/>
  <c r="Q104" i="4"/>
  <c r="S134" i="4"/>
  <c r="Q46" i="4"/>
  <c r="X34" i="4"/>
  <c r="AR162" i="4"/>
  <c r="AR172" i="4"/>
  <c r="B925" i="12"/>
  <c r="I18" i="31"/>
  <c r="I43" i="31"/>
  <c r="I19" i="31"/>
  <c r="C361" i="12"/>
  <c r="A1681" i="12"/>
  <c r="A1816" i="12" s="1"/>
  <c r="A1951" i="12" s="1"/>
  <c r="A1252" i="12"/>
  <c r="A1387" i="12" s="1"/>
  <c r="A1522" i="12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2690" i="12"/>
  <c r="A2825" i="12" s="1"/>
  <c r="A2960" i="12"/>
  <c r="A3095" i="12" s="1"/>
  <c r="A3230" i="12" s="1"/>
  <c r="A3365" i="12" s="1"/>
  <c r="F3" i="14"/>
  <c r="B1060" i="12"/>
  <c r="B1195" i="12" s="1"/>
  <c r="B1330" i="12" s="1"/>
  <c r="B1465" i="12" s="1"/>
  <c r="B1600" i="12" s="1"/>
  <c r="B1735" i="12" s="1"/>
  <c r="B1870" i="12" s="1"/>
  <c r="B2005" i="12" s="1"/>
  <c r="B2140" i="12" s="1"/>
  <c r="B2275" i="12" s="1"/>
  <c r="B2410" i="12" s="1"/>
  <c r="B2545" i="12" s="1"/>
  <c r="A146" i="14"/>
  <c r="A133" i="14"/>
  <c r="B632" i="12"/>
  <c r="C632" i="12" s="1"/>
  <c r="B767" i="12"/>
  <c r="A1433" i="12"/>
  <c r="A1568" i="12" s="1"/>
  <c r="A1703" i="12" s="1"/>
  <c r="A1838" i="12" s="1"/>
  <c r="A1973" i="12" s="1"/>
  <c r="A132" i="14"/>
  <c r="G93" i="14"/>
  <c r="C93" i="14"/>
  <c r="A2984" i="12"/>
  <c r="A3119" i="12"/>
  <c r="A3254" i="12" s="1"/>
  <c r="A3389" i="12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B738" i="12"/>
  <c r="B873" i="12" s="1"/>
  <c r="A3277" i="12"/>
  <c r="A3412" i="12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E2" i="14"/>
  <c r="T173" i="28"/>
  <c r="V173" i="28" s="1"/>
  <c r="X173" i="28" s="1"/>
  <c r="Y173" i="28"/>
  <c r="U85" i="32"/>
  <c r="U35" i="32"/>
  <c r="U30" i="32"/>
  <c r="U21" i="32"/>
  <c r="U44" i="32"/>
  <c r="U97" i="32"/>
  <c r="U54" i="32"/>
  <c r="U65" i="32"/>
  <c r="AM49" i="16"/>
  <c r="C18" i="12"/>
  <c r="B153" i="12"/>
  <c r="B139" i="12"/>
  <c r="C4" i="12"/>
  <c r="B249" i="12"/>
  <c r="C114" i="12"/>
  <c r="B371" i="12"/>
  <c r="B506" i="12" s="1"/>
  <c r="B641" i="12" s="1"/>
  <c r="B776" i="12" s="1"/>
  <c r="C236" i="12"/>
  <c r="AR175" i="4"/>
  <c r="AR167" i="4"/>
  <c r="Q35" i="4"/>
  <c r="S35" i="4"/>
  <c r="Z176" i="4"/>
  <c r="Q180" i="4"/>
  <c r="S180" i="4"/>
  <c r="B340" i="12"/>
  <c r="A462" i="12"/>
  <c r="A597" i="12"/>
  <c r="A732" i="12" s="1"/>
  <c r="A867" i="12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I66" i="14"/>
  <c r="H66" i="14"/>
  <c r="B105" i="14"/>
  <c r="G66" i="14"/>
  <c r="C67" i="14"/>
  <c r="A90" i="14"/>
  <c r="H51" i="14"/>
  <c r="M35" i="32"/>
  <c r="M44" i="32"/>
  <c r="M85" i="32"/>
  <c r="M54" i="32"/>
  <c r="M65" i="32"/>
  <c r="M97" i="32"/>
  <c r="M30" i="32"/>
  <c r="M21" i="32"/>
  <c r="E35" i="32"/>
  <c r="E54" i="32"/>
  <c r="E44" i="32"/>
  <c r="E21" i="32"/>
  <c r="E30" i="32"/>
  <c r="E65" i="32"/>
  <c r="B267" i="12"/>
  <c r="C132" i="12"/>
  <c r="T166" i="28"/>
  <c r="V166" i="28" s="1"/>
  <c r="C105" i="12"/>
  <c r="C29" i="12"/>
  <c r="C6" i="12"/>
  <c r="C68" i="12"/>
  <c r="C96" i="12"/>
  <c r="C90" i="12"/>
  <c r="C63" i="12"/>
  <c r="C78" i="12"/>
  <c r="C141" i="12"/>
  <c r="C103" i="12"/>
  <c r="C115" i="12"/>
  <c r="C31" i="12"/>
  <c r="C69" i="12"/>
  <c r="C154" i="12"/>
  <c r="C260" i="12"/>
  <c r="C81" i="12"/>
  <c r="C116" i="12"/>
  <c r="C120" i="12"/>
  <c r="C559" i="12"/>
  <c r="C140" i="12"/>
  <c r="C94" i="12"/>
  <c r="C227" i="12"/>
  <c r="C14" i="12"/>
  <c r="C36" i="12"/>
  <c r="C20" i="12"/>
  <c r="C91" i="12"/>
  <c r="C299" i="12"/>
  <c r="C208" i="12"/>
  <c r="C425" i="12"/>
  <c r="C369" i="12"/>
  <c r="C254" i="12"/>
  <c r="C191" i="12"/>
  <c r="C83" i="12"/>
  <c r="C242" i="12"/>
  <c r="C203" i="12"/>
  <c r="C130" i="12"/>
  <c r="C92" i="12"/>
  <c r="C73" i="12"/>
  <c r="C106" i="12"/>
  <c r="C134" i="12"/>
  <c r="C358" i="12"/>
  <c r="C46" i="12"/>
  <c r="C101" i="12"/>
  <c r="C176" i="12"/>
  <c r="C473" i="12"/>
  <c r="C389" i="12"/>
  <c r="C311" i="12"/>
  <c r="C136" i="12"/>
  <c r="C253" i="12"/>
  <c r="C223" i="12"/>
  <c r="C250" i="12"/>
  <c r="C265" i="12"/>
  <c r="C338" i="12"/>
  <c r="C360" i="12"/>
  <c r="C99" i="12"/>
  <c r="C133" i="12"/>
  <c r="C225" i="12"/>
  <c r="C497" i="12"/>
  <c r="C396" i="12"/>
  <c r="C145" i="12"/>
  <c r="C424" i="12"/>
  <c r="C241" i="12"/>
  <c r="C388" i="12"/>
  <c r="C126" i="12"/>
  <c r="C290" i="12"/>
  <c r="C255" i="12"/>
  <c r="C56" i="12"/>
  <c r="C258" i="12"/>
  <c r="C204" i="12"/>
  <c r="C123" i="12"/>
  <c r="C362" i="12"/>
  <c r="C226" i="12"/>
  <c r="C47" i="12"/>
  <c r="C40" i="12"/>
  <c r="C125" i="12"/>
  <c r="C98" i="12"/>
  <c r="C5" i="12"/>
  <c r="C135" i="12"/>
  <c r="C238" i="12"/>
  <c r="C212" i="12"/>
  <c r="D68" i="14"/>
  <c r="D46" i="14"/>
  <c r="D61" i="14"/>
  <c r="B367" i="12"/>
  <c r="C232" i="12"/>
  <c r="AT65" i="4"/>
  <c r="AV65" i="4" s="1"/>
  <c r="AX65" i="4" s="1"/>
  <c r="AR65" i="4"/>
  <c r="Z102" i="4"/>
  <c r="Q135" i="4"/>
  <c r="S167" i="4"/>
  <c r="Q167" i="4"/>
  <c r="S179" i="4"/>
  <c r="Q179" i="4"/>
  <c r="Q187" i="4"/>
  <c r="AB84" i="17"/>
  <c r="J84" i="17"/>
  <c r="B173" i="12"/>
  <c r="C38" i="12"/>
  <c r="B228" i="12"/>
  <c r="C93" i="12"/>
  <c r="B222" i="12"/>
  <c r="C87" i="12"/>
  <c r="B158" i="12"/>
  <c r="C23" i="12"/>
  <c r="Z4" i="16"/>
  <c r="X39" i="33"/>
  <c r="Y171" i="28"/>
  <c r="Y164" i="28"/>
  <c r="B298" i="12"/>
  <c r="B433" i="12"/>
  <c r="B568" i="12"/>
  <c r="B703" i="12" s="1"/>
  <c r="B838" i="12"/>
  <c r="B973" i="12"/>
  <c r="B1108" i="12" s="1"/>
  <c r="B1243" i="12" s="1"/>
  <c r="C163" i="12"/>
  <c r="AF4" i="8"/>
  <c r="AD4" i="8" s="1"/>
  <c r="AJ4" i="8" s="1"/>
  <c r="AR4" i="8"/>
  <c r="AQ4" i="8" s="1"/>
  <c r="A178" i="14"/>
  <c r="N65" i="32"/>
  <c r="N44" i="32"/>
  <c r="N75" i="32"/>
  <c r="N85" i="32"/>
  <c r="N35" i="32"/>
  <c r="N54" i="32"/>
  <c r="AS156" i="4"/>
  <c r="AS150" i="4"/>
  <c r="AS163" i="4"/>
  <c r="AS168" i="4"/>
  <c r="AS62" i="4"/>
  <c r="AS47" i="4"/>
  <c r="AS165" i="4"/>
  <c r="AS108" i="4"/>
  <c r="AS94" i="4"/>
  <c r="V49" i="16"/>
  <c r="F53" i="14"/>
  <c r="F24" i="14"/>
  <c r="U75" i="32"/>
  <c r="C166" i="12"/>
  <c r="C535" i="12"/>
  <c r="D67" i="14"/>
  <c r="C97" i="12"/>
  <c r="C77" i="12"/>
  <c r="C28" i="12"/>
  <c r="M55" i="5"/>
  <c r="M51" i="5"/>
  <c r="M48" i="5"/>
  <c r="I73" i="14"/>
  <c r="A112" i="14"/>
  <c r="A151" i="14"/>
  <c r="A190" i="14"/>
  <c r="A229" i="14" s="1"/>
  <c r="A88" i="14"/>
  <c r="I49" i="14"/>
  <c r="G49" i="14"/>
  <c r="B372" i="12"/>
  <c r="C237" i="12"/>
  <c r="AT156" i="4"/>
  <c r="J95" i="5"/>
  <c r="J55" i="5"/>
  <c r="J54" i="5"/>
  <c r="J48" i="5"/>
  <c r="C174" i="12"/>
  <c r="B368" i="12"/>
  <c r="C233" i="12"/>
  <c r="S74" i="4"/>
  <c r="Q74" i="4"/>
  <c r="Y307" i="28"/>
  <c r="Y224" i="28"/>
  <c r="AF24" i="15"/>
  <c r="Z24" i="15"/>
  <c r="V24" i="15"/>
  <c r="AM24" i="15"/>
  <c r="I24" i="15"/>
  <c r="AK24" i="15"/>
  <c r="K24" i="15"/>
  <c r="Y24" i="15"/>
  <c r="AD24" i="15"/>
  <c r="X24" i="15"/>
  <c r="AI21" i="32"/>
  <c r="J53" i="5"/>
  <c r="A118" i="14"/>
  <c r="A157" i="14"/>
  <c r="A196" i="14" s="1"/>
  <c r="G79" i="14"/>
  <c r="AA75" i="32"/>
  <c r="AH44" i="32"/>
  <c r="AH21" i="32"/>
  <c r="AH35" i="32"/>
  <c r="Z21" i="32"/>
  <c r="Z65" i="32"/>
  <c r="Z85" i="32"/>
  <c r="Z97" i="32"/>
  <c r="S21" i="32"/>
  <c r="S85" i="32"/>
  <c r="S30" i="32"/>
  <c r="S54" i="32"/>
  <c r="C35" i="32"/>
  <c r="C97" i="32"/>
  <c r="C30" i="32"/>
  <c r="Y344" i="28"/>
  <c r="T153" i="28"/>
  <c r="V153" i="28" s="1"/>
  <c r="Y153" i="28"/>
  <c r="Y144" i="28"/>
  <c r="Y355" i="28"/>
  <c r="B209" i="12"/>
  <c r="C74" i="12"/>
  <c r="C67" i="12"/>
  <c r="B183" i="12"/>
  <c r="C42" i="12"/>
  <c r="B144" i="12"/>
  <c r="C9" i="12"/>
  <c r="A516" i="12"/>
  <c r="A651" i="12" s="1"/>
  <c r="A786" i="12"/>
  <c r="A921" i="12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C381" i="12"/>
  <c r="A350" i="12"/>
  <c r="A461" i="12"/>
  <c r="A596" i="12"/>
  <c r="A731" i="12"/>
  <c r="A866" i="12" s="1"/>
  <c r="A1001" i="12"/>
  <c r="A1136" i="12" s="1"/>
  <c r="A1271" i="12" s="1"/>
  <c r="A1406" i="12" s="1"/>
  <c r="A1541" i="12" s="1"/>
  <c r="A1676" i="12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C326" i="12"/>
  <c r="A321" i="12"/>
  <c r="C186" i="12"/>
  <c r="A696" i="12"/>
  <c r="A333" i="12"/>
  <c r="C198" i="12"/>
  <c r="C1013" i="12"/>
  <c r="A102" i="14"/>
  <c r="A141" i="14" s="1"/>
  <c r="A180" i="14" s="1"/>
  <c r="A219" i="14" s="1"/>
  <c r="D85" i="32"/>
  <c r="L42" i="5"/>
  <c r="L41" i="5"/>
  <c r="L39" i="5"/>
  <c r="R37" i="5"/>
  <c r="R44" i="5"/>
  <c r="R39" i="5"/>
  <c r="J73" i="5"/>
  <c r="L69" i="5"/>
  <c r="I54" i="14"/>
  <c r="G54" i="14"/>
  <c r="AA54" i="32"/>
  <c r="Y21" i="32"/>
  <c r="Y35" i="32"/>
  <c r="Y54" i="32"/>
  <c r="Y44" i="32"/>
  <c r="B646" i="12"/>
  <c r="C246" i="12"/>
  <c r="B13" i="18"/>
  <c r="AF13" i="18"/>
  <c r="I63" i="5"/>
  <c r="I62" i="5"/>
  <c r="L35" i="32"/>
  <c r="L85" i="32"/>
  <c r="L75" i="32"/>
  <c r="L65" i="32"/>
  <c r="B297" i="12"/>
  <c r="C162" i="12"/>
  <c r="B902" i="12"/>
  <c r="C202" i="12"/>
  <c r="S44" i="32"/>
  <c r="F54" i="14"/>
  <c r="AR30" i="4"/>
  <c r="Y85" i="32"/>
  <c r="J72" i="5"/>
  <c r="H24" i="15"/>
  <c r="R24" i="15"/>
  <c r="Q24" i="15"/>
  <c r="C85" i="32"/>
  <c r="L54" i="32"/>
  <c r="C39" i="12"/>
  <c r="K33" i="5"/>
  <c r="K28" i="5"/>
  <c r="K26" i="5"/>
  <c r="K29" i="5"/>
  <c r="B386" i="12"/>
  <c r="C251" i="12"/>
  <c r="B259" i="12"/>
  <c r="C259" i="12"/>
  <c r="C124" i="12"/>
  <c r="B403" i="12"/>
  <c r="C268" i="12"/>
  <c r="C986" i="12"/>
  <c r="AM85" i="32"/>
  <c r="AM30" i="32"/>
  <c r="AM21" i="32"/>
  <c r="B207" i="12"/>
  <c r="C207" i="12" s="1"/>
  <c r="C72" i="12"/>
  <c r="B200" i="12"/>
  <c r="C65" i="12"/>
  <c r="C32" i="12"/>
  <c r="B167" i="12"/>
  <c r="B252" i="12"/>
  <c r="C117" i="12"/>
  <c r="Z143" i="4"/>
  <c r="B263" i="12"/>
  <c r="C128" i="12"/>
  <c r="B392" i="12"/>
  <c r="C257" i="12"/>
  <c r="AS184" i="4"/>
  <c r="AS79" i="4"/>
  <c r="B406" i="12"/>
  <c r="C271" i="12"/>
  <c r="A501" i="12"/>
  <c r="C366" i="12"/>
  <c r="J160" i="3"/>
  <c r="D13" i="18"/>
  <c r="C13" i="18"/>
  <c r="Y89" i="28"/>
  <c r="A365" i="12"/>
  <c r="C230" i="12"/>
  <c r="Z46" i="16"/>
  <c r="Z49" i="16" s="1"/>
  <c r="Z100" i="18"/>
  <c r="AH3" i="16"/>
  <c r="F73" i="14" s="1"/>
  <c r="AH49" i="16"/>
  <c r="AS37" i="4"/>
  <c r="N40" i="5"/>
  <c r="N39" i="5"/>
  <c r="B100" i="14"/>
  <c r="I61" i="14"/>
  <c r="B85" i="14"/>
  <c r="H46" i="14"/>
  <c r="G46" i="14"/>
  <c r="X97" i="32"/>
  <c r="X65" i="32"/>
  <c r="X35" i="32"/>
  <c r="X30" i="32"/>
  <c r="B195" i="12"/>
  <c r="C60" i="12"/>
  <c r="C149" i="12"/>
  <c r="C3" i="12"/>
  <c r="H55" i="14"/>
  <c r="AB30" i="32"/>
  <c r="C56" i="14"/>
  <c r="C66" i="14"/>
  <c r="B206" i="12"/>
  <c r="C71" i="12"/>
  <c r="B334" i="12"/>
  <c r="C199" i="12"/>
  <c r="B169" i="12"/>
  <c r="C34" i="12"/>
  <c r="B157" i="12"/>
  <c r="C157" i="12" s="1"/>
  <c r="C22" i="12"/>
  <c r="B152" i="12"/>
  <c r="C17" i="12"/>
  <c r="C113" i="12"/>
  <c r="B262" i="12"/>
  <c r="C127" i="12"/>
  <c r="A482" i="12"/>
  <c r="C347" i="12"/>
  <c r="B84" i="17"/>
  <c r="AL84" i="17"/>
  <c r="N84" i="17"/>
  <c r="B168" i="12"/>
  <c r="C33" i="12"/>
  <c r="B151" i="12"/>
  <c r="C16" i="12"/>
  <c r="B247" i="12"/>
  <c r="C112" i="12"/>
  <c r="Y301" i="28"/>
  <c r="Y336" i="28"/>
  <c r="B404" i="12"/>
  <c r="C269" i="12"/>
  <c r="T7" i="5"/>
  <c r="C72" i="14"/>
  <c r="AJ97" i="32"/>
  <c r="AJ30" i="32"/>
  <c r="AJ44" i="32"/>
  <c r="AJ65" i="32"/>
  <c r="AJ21" i="32"/>
  <c r="Y364" i="28"/>
  <c r="C62" i="12"/>
  <c r="B185" i="12"/>
  <c r="C50" i="12"/>
  <c r="B179" i="12"/>
  <c r="C44" i="12"/>
  <c r="T4" i="28"/>
  <c r="V4" i="28" s="1"/>
  <c r="X4" i="28" s="1"/>
  <c r="T115" i="28"/>
  <c r="V115" i="28" s="1"/>
  <c r="O42" i="5"/>
  <c r="K55" i="5"/>
  <c r="I51" i="14"/>
  <c r="T321" i="28"/>
  <c r="V321" i="28" s="1"/>
  <c r="X321" i="28" s="1"/>
  <c r="T159" i="28"/>
  <c r="V159" i="28" s="1"/>
  <c r="T81" i="28"/>
  <c r="V81" i="28" s="1"/>
  <c r="AT165" i="4"/>
  <c r="AT141" i="4"/>
  <c r="AV141" i="4" s="1"/>
  <c r="T259" i="28"/>
  <c r="V259" i="28" s="1"/>
  <c r="T325" i="28"/>
  <c r="V325" i="28" s="1"/>
  <c r="AM100" i="18"/>
  <c r="AT211" i="4"/>
  <c r="AV211" i="4" s="1"/>
  <c r="AX211" i="4" s="1"/>
  <c r="T152" i="28"/>
  <c r="V152" i="28" s="1"/>
  <c r="W152" i="28" s="1"/>
  <c r="T372" i="28"/>
  <c r="V372" i="28" s="1"/>
  <c r="X372" i="28" s="1"/>
  <c r="AF100" i="18"/>
  <c r="K52" i="5"/>
  <c r="N46" i="40"/>
  <c r="P47" i="40"/>
  <c r="AT163" i="4"/>
  <c r="AV163" i="4" s="1"/>
  <c r="AX163" i="4" s="1"/>
  <c r="T320" i="28"/>
  <c r="V320" i="28" s="1"/>
  <c r="Y367" i="28"/>
  <c r="T216" i="28"/>
  <c r="V216" i="28" s="1"/>
  <c r="W216" i="28" s="1"/>
  <c r="T257" i="28"/>
  <c r="V257" i="28" s="1"/>
  <c r="T83" i="28"/>
  <c r="V83" i="28" s="1"/>
  <c r="X83" i="28" s="1"/>
  <c r="Y245" i="28"/>
  <c r="Y117" i="28"/>
  <c r="T269" i="28"/>
  <c r="V269" i="28" s="1"/>
  <c r="X269" i="28" s="1"/>
  <c r="Y374" i="28"/>
  <c r="Y97" i="28"/>
  <c r="Y85" i="28"/>
  <c r="Y159" i="28"/>
  <c r="Y100" i="28"/>
  <c r="T313" i="28"/>
  <c r="V313" i="28" s="1"/>
  <c r="W313" i="28" s="1"/>
  <c r="T347" i="28"/>
  <c r="V347" i="28" s="1"/>
  <c r="X347" i="28" s="1"/>
  <c r="Y163" i="28"/>
  <c r="Y184" i="28"/>
  <c r="T215" i="28"/>
  <c r="V215" i="28" s="1"/>
  <c r="X215" i="28" s="1"/>
  <c r="T249" i="28"/>
  <c r="V249" i="28" s="1"/>
  <c r="W249" i="28" s="1"/>
  <c r="T289" i="28"/>
  <c r="V289" i="28" s="1"/>
  <c r="T127" i="28"/>
  <c r="V127" i="28" s="1"/>
  <c r="X127" i="28" s="1"/>
  <c r="T254" i="28"/>
  <c r="V254" i="28" s="1"/>
  <c r="T248" i="28"/>
  <c r="T5" i="28"/>
  <c r="V5" i="28" s="1"/>
  <c r="T98" i="28"/>
  <c r="V98" i="28" s="1"/>
  <c r="B1296" i="12"/>
  <c r="B120" i="14"/>
  <c r="B159" i="14"/>
  <c r="B198" i="14" s="1"/>
  <c r="B237" i="14" s="1"/>
  <c r="Y96" i="28"/>
  <c r="W18" i="33"/>
  <c r="R82" i="32"/>
  <c r="D3" i="16"/>
  <c r="D49" i="16"/>
  <c r="AN3" i="16"/>
  <c r="J2" i="16"/>
  <c r="J49" i="16"/>
  <c r="A185" i="14"/>
  <c r="B49" i="16"/>
  <c r="G101" i="14"/>
  <c r="A140" i="14"/>
  <c r="I101" i="14"/>
  <c r="AA46" i="16"/>
  <c r="AA100" i="18"/>
  <c r="S100" i="18"/>
  <c r="S46" i="16"/>
  <c r="S49" i="16"/>
  <c r="C3" i="16"/>
  <c r="F42" i="14" s="1"/>
  <c r="C49" i="16"/>
  <c r="AH13" i="18"/>
  <c r="Z13" i="18"/>
  <c r="R13" i="18"/>
  <c r="J13" i="18"/>
  <c r="I99" i="14"/>
  <c r="C99" i="14"/>
  <c r="D99" i="14"/>
  <c r="D35" i="32"/>
  <c r="J63" i="5"/>
  <c r="J61" i="5"/>
  <c r="J64" i="5"/>
  <c r="J62" i="5"/>
  <c r="J65" i="5"/>
  <c r="J60" i="5"/>
  <c r="J66" i="5"/>
  <c r="J59" i="5"/>
  <c r="K58" i="5"/>
  <c r="B436" i="12"/>
  <c r="C301" i="12"/>
  <c r="B651" i="12"/>
  <c r="A433" i="12"/>
  <c r="C298" i="12"/>
  <c r="A294" i="12"/>
  <c r="A422" i="12"/>
  <c r="A161" i="14"/>
  <c r="B1121" i="12"/>
  <c r="A415" i="12"/>
  <c r="C280" i="12"/>
  <c r="U118" i="5"/>
  <c r="R118" i="5"/>
  <c r="U9" i="5"/>
  <c r="U4" i="5"/>
  <c r="T118" i="5"/>
  <c r="U7" i="5"/>
  <c r="S39" i="5"/>
  <c r="S40" i="5"/>
  <c r="S37" i="5"/>
  <c r="S38" i="5"/>
  <c r="S44" i="5"/>
  <c r="S42" i="5"/>
  <c r="S43" i="5"/>
  <c r="G65" i="14"/>
  <c r="I42" i="14"/>
  <c r="G42" i="14"/>
  <c r="H42" i="14"/>
  <c r="A81" i="14"/>
  <c r="E81" i="14"/>
  <c r="D42" i="14"/>
  <c r="A206" i="14"/>
  <c r="A171" i="14"/>
  <c r="B132" i="14"/>
  <c r="I93" i="14"/>
  <c r="T141" i="28"/>
  <c r="V141" i="28" s="1"/>
  <c r="Y141" i="28"/>
  <c r="Y13" i="28"/>
  <c r="T359" i="28"/>
  <c r="V359" i="28" s="1"/>
  <c r="P5" i="16"/>
  <c r="P49" i="16"/>
  <c r="AF3" i="16"/>
  <c r="F71" i="14"/>
  <c r="AF49" i="16"/>
  <c r="A183" i="14"/>
  <c r="Y160" i="28"/>
  <c r="D30" i="32"/>
  <c r="D97" i="32"/>
  <c r="D21" i="32"/>
  <c r="D75" i="32"/>
  <c r="D44" i="32"/>
  <c r="D65" i="32"/>
  <c r="D93" i="14"/>
  <c r="H49" i="16"/>
  <c r="AR214" i="4"/>
  <c r="AT214" i="4"/>
  <c r="AV214" i="4" s="1"/>
  <c r="AW214" i="4" s="1"/>
  <c r="A441" i="12"/>
  <c r="A87" i="14"/>
  <c r="C48" i="14"/>
  <c r="H48" i="14"/>
  <c r="A351" i="12"/>
  <c r="C216" i="12"/>
  <c r="A428" i="12"/>
  <c r="AF59" i="8"/>
  <c r="AD59" i="8" s="1"/>
  <c r="AJ59" i="8" s="1"/>
  <c r="AL59" i="8" s="1"/>
  <c r="AK59" i="8"/>
  <c r="AR59" i="8"/>
  <c r="AQ59" i="8"/>
  <c r="C77" i="14"/>
  <c r="B116" i="14"/>
  <c r="D116" i="14"/>
  <c r="R75" i="32"/>
  <c r="R44" i="32"/>
  <c r="R65" i="32"/>
  <c r="K97" i="32"/>
  <c r="K44" i="32"/>
  <c r="K54" i="32"/>
  <c r="K35" i="32"/>
  <c r="K85" i="32"/>
  <c r="B658" i="12"/>
  <c r="B793" i="12" s="1"/>
  <c r="C523" i="12"/>
  <c r="AT119" i="4"/>
  <c r="F48" i="14"/>
  <c r="C245" i="12"/>
  <c r="I56" i="14"/>
  <c r="I60" i="5"/>
  <c r="A95" i="14"/>
  <c r="Q188" i="4"/>
  <c r="R35" i="32"/>
  <c r="C110" i="12"/>
  <c r="K82" i="5"/>
  <c r="K81" i="5"/>
  <c r="K84" i="5"/>
  <c r="K85" i="5"/>
  <c r="D6" i="14"/>
  <c r="D2" i="14"/>
  <c r="D38" i="14"/>
  <c r="D75" i="14"/>
  <c r="B102" i="14"/>
  <c r="I63" i="14"/>
  <c r="G63" i="14"/>
  <c r="C62" i="14"/>
  <c r="H62" i="14"/>
  <c r="I62" i="14"/>
  <c r="G47" i="14"/>
  <c r="C47" i="14"/>
  <c r="C26" i="12"/>
  <c r="B545" i="12"/>
  <c r="B266" i="12"/>
  <c r="C131" i="12"/>
  <c r="C385" i="12"/>
  <c r="A520" i="12"/>
  <c r="A514" i="12"/>
  <c r="A356" i="12"/>
  <c r="C221" i="12"/>
  <c r="G48" i="14"/>
  <c r="I66" i="5"/>
  <c r="AR143" i="4"/>
  <c r="R30" i="32"/>
  <c r="I65" i="5"/>
  <c r="R10" i="5"/>
  <c r="R8" i="5"/>
  <c r="U115" i="5"/>
  <c r="R115" i="5"/>
  <c r="M16" i="5"/>
  <c r="M21" i="5"/>
  <c r="M19" i="5"/>
  <c r="M15" i="5"/>
  <c r="M18" i="5"/>
  <c r="M20" i="5"/>
  <c r="M22" i="5"/>
  <c r="M54" i="5"/>
  <c r="M52" i="5"/>
  <c r="M50" i="5"/>
  <c r="M49" i="5"/>
  <c r="M53" i="5"/>
  <c r="I97" i="5"/>
  <c r="I99" i="5"/>
  <c r="I95" i="5"/>
  <c r="I96" i="5"/>
  <c r="B148" i="12"/>
  <c r="C13" i="12"/>
  <c r="A506" i="12"/>
  <c r="C371" i="12"/>
  <c r="R97" i="32"/>
  <c r="B394" i="12"/>
  <c r="I64" i="5"/>
  <c r="I59" i="5"/>
  <c r="B322" i="12"/>
  <c r="C322" i="12" s="1"/>
  <c r="C187" i="12"/>
  <c r="C84" i="12"/>
  <c r="B219" i="12"/>
  <c r="C219" i="12" s="1"/>
  <c r="B515" i="12"/>
  <c r="C104" i="12"/>
  <c r="B239" i="12"/>
  <c r="I48" i="14"/>
  <c r="I93" i="5"/>
  <c r="I61" i="5"/>
  <c r="C88" i="12"/>
  <c r="S117" i="5"/>
  <c r="R41" i="5"/>
  <c r="R38" i="5"/>
  <c r="R43" i="5"/>
  <c r="Y135" i="28"/>
  <c r="L84" i="17"/>
  <c r="D84" i="17"/>
  <c r="AH84" i="17"/>
  <c r="X84" i="17"/>
  <c r="L55" i="5"/>
  <c r="L52" i="5"/>
  <c r="L80" i="5"/>
  <c r="J88" i="5"/>
  <c r="I45" i="14"/>
  <c r="H45" i="14"/>
  <c r="A82" i="14"/>
  <c r="D43" i="14"/>
  <c r="AI85" i="32"/>
  <c r="AI30" i="32"/>
  <c r="AI97" i="32"/>
  <c r="AI65" i="32"/>
  <c r="Y167" i="28"/>
  <c r="T167" i="28"/>
  <c r="V167" i="28" s="1"/>
  <c r="X167" i="28" s="1"/>
  <c r="AA85" i="32"/>
  <c r="AA65" i="32"/>
  <c r="D51" i="14"/>
  <c r="I35" i="32"/>
  <c r="I21" i="32"/>
  <c r="B353" i="12"/>
  <c r="C218" i="12"/>
  <c r="AA30" i="32"/>
  <c r="AA21" i="32"/>
  <c r="K3" i="5"/>
  <c r="J22" i="5"/>
  <c r="J20" i="5"/>
  <c r="H60" i="14"/>
  <c r="I60" i="14"/>
  <c r="O97" i="32"/>
  <c r="Y186" i="28"/>
  <c r="T186" i="28"/>
  <c r="V186" i="28" s="1"/>
  <c r="X186" i="28" s="1"/>
  <c r="Y2" i="28"/>
  <c r="B478" i="12"/>
  <c r="C343" i="12"/>
  <c r="L2" i="5"/>
  <c r="I71" i="14"/>
  <c r="I30" i="32"/>
  <c r="J17" i="5"/>
  <c r="K7" i="5"/>
  <c r="Y84" i="28"/>
  <c r="J19" i="5"/>
  <c r="AA97" i="32"/>
  <c r="P8" i="5"/>
  <c r="P5" i="5"/>
  <c r="R113" i="5"/>
  <c r="V2" i="5"/>
  <c r="J81" i="5"/>
  <c r="C446" i="12"/>
  <c r="C411" i="12"/>
  <c r="Y165" i="28"/>
  <c r="Y145" i="28"/>
  <c r="T145" i="28"/>
  <c r="V145" i="28" s="1"/>
  <c r="W145" i="28" s="1"/>
  <c r="T190" i="28"/>
  <c r="V190" i="28" s="1"/>
  <c r="B530" i="12"/>
  <c r="C395" i="12"/>
  <c r="C213" i="12"/>
  <c r="J77" i="5"/>
  <c r="J74" i="5"/>
  <c r="J76" i="5"/>
  <c r="J107" i="5"/>
  <c r="J106" i="5"/>
  <c r="C107" i="12"/>
  <c r="C51" i="12"/>
  <c r="C57" i="12"/>
  <c r="C119" i="12"/>
  <c r="C80" i="12"/>
  <c r="C12" i="12"/>
  <c r="C85" i="12"/>
  <c r="C75" i="12"/>
  <c r="C118" i="12"/>
  <c r="C64" i="12"/>
  <c r="C95" i="12"/>
  <c r="C41" i="12"/>
  <c r="C52" i="12"/>
  <c r="C15" i="12"/>
  <c r="C42" i="14"/>
  <c r="C61" i="14"/>
  <c r="V35" i="32"/>
  <c r="V97" i="32"/>
  <c r="B502" i="12"/>
  <c r="B637" i="12" s="1"/>
  <c r="C367" i="12"/>
  <c r="B264" i="12"/>
  <c r="C264" i="12" s="1"/>
  <c r="C129" i="12"/>
  <c r="C155" i="12"/>
  <c r="C59" i="12"/>
  <c r="C102" i="12"/>
  <c r="J54" i="32"/>
  <c r="T11" i="28"/>
  <c r="V11" i="28" s="1"/>
  <c r="W11" i="28" s="1"/>
  <c r="Y11" i="28"/>
  <c r="Y370" i="28"/>
  <c r="C234" i="12"/>
  <c r="C45" i="14"/>
  <c r="C44" i="32"/>
  <c r="C21" i="32"/>
  <c r="C27" i="12"/>
  <c r="B224" i="12"/>
  <c r="C89" i="12"/>
  <c r="T46" i="16"/>
  <c r="T49" i="16"/>
  <c r="T100" i="18"/>
  <c r="C55" i="14"/>
  <c r="C71" i="14"/>
  <c r="T40" i="28"/>
  <c r="V40" i="28" s="1"/>
  <c r="X40" i="28" s="1"/>
  <c r="T21" i="28"/>
  <c r="V21" i="28" s="1"/>
  <c r="T67" i="28"/>
  <c r="V67" i="28" s="1"/>
  <c r="W67" i="28" s="1"/>
  <c r="T34" i="28"/>
  <c r="V34" i="28" s="1"/>
  <c r="T57" i="28"/>
  <c r="V57" i="28" s="1"/>
  <c r="W57" i="28" s="1"/>
  <c r="T53" i="28"/>
  <c r="V53" i="28" s="1"/>
  <c r="T51" i="28"/>
  <c r="T49" i="28"/>
  <c r="V49" i="28" s="1"/>
  <c r="X49" i="28" s="1"/>
  <c r="T76" i="28"/>
  <c r="V76" i="28" s="1"/>
  <c r="X76" i="28" s="1"/>
  <c r="T71" i="28"/>
  <c r="V71" i="28" s="1"/>
  <c r="W71" i="28" s="1"/>
  <c r="T56" i="28"/>
  <c r="V56" i="28" s="1"/>
  <c r="X56" i="28" s="1"/>
  <c r="T22" i="28"/>
  <c r="V22" i="28" s="1"/>
  <c r="T68" i="28"/>
  <c r="V68" i="28" s="1"/>
  <c r="W68" i="28" s="1"/>
  <c r="T45" i="28"/>
  <c r="V45" i="28" s="1"/>
  <c r="W45" i="28" s="1"/>
  <c r="T30" i="28"/>
  <c r="V30" i="28" s="1"/>
  <c r="W30" i="28" s="1"/>
  <c r="T78" i="28"/>
  <c r="V78" i="28" s="1"/>
  <c r="W78" i="28" s="1"/>
  <c r="T26" i="28"/>
  <c r="V26" i="28" s="1"/>
  <c r="W26" i="28" s="1"/>
  <c r="T29" i="28"/>
  <c r="V29" i="28" s="1"/>
  <c r="W29" i="28" s="1"/>
  <c r="AL46" i="16"/>
  <c r="AL49" i="16" s="1"/>
  <c r="AL100" i="18"/>
  <c r="N46" i="16"/>
  <c r="N49" i="16"/>
  <c r="N100" i="18"/>
  <c r="C63" i="14"/>
  <c r="U100" i="18"/>
  <c r="AS220" i="4"/>
  <c r="AS228" i="4"/>
  <c r="AS236" i="4"/>
  <c r="AS229" i="4"/>
  <c r="AS237" i="4"/>
  <c r="AS222" i="4"/>
  <c r="AS233" i="4"/>
  <c r="AS234" i="4"/>
  <c r="AS221" i="4"/>
  <c r="AS230" i="4"/>
  <c r="AS218" i="4"/>
  <c r="AS223" i="4"/>
  <c r="AS231" i="4"/>
  <c r="AS224" i="4"/>
  <c r="AS232" i="4"/>
  <c r="AS225" i="4"/>
  <c r="AS226" i="4"/>
  <c r="AS219" i="4"/>
  <c r="AS227" i="4"/>
  <c r="AS235" i="4"/>
  <c r="AS217" i="4"/>
  <c r="AT227" i="4"/>
  <c r="AT237" i="4"/>
  <c r="AT223" i="4"/>
  <c r="AT218" i="4"/>
  <c r="AV218" i="4" s="1"/>
  <c r="AT235" i="4"/>
  <c r="AV235" i="4" s="1"/>
  <c r="AX235" i="4" s="1"/>
  <c r="AT226" i="4"/>
  <c r="AT229" i="4"/>
  <c r="AT225" i="4"/>
  <c r="AT219" i="4"/>
  <c r="AV219" i="4" s="1"/>
  <c r="AX219" i="4" s="1"/>
  <c r="AT224" i="4"/>
  <c r="AV224" i="4" s="1"/>
  <c r="AX224" i="4" s="1"/>
  <c r="T274" i="28"/>
  <c r="V274" i="28" s="1"/>
  <c r="X274" i="28" s="1"/>
  <c r="N1095" i="7"/>
  <c r="I1262" i="7"/>
  <c r="N1257" i="7"/>
  <c r="I1094" i="7"/>
  <c r="I1153" i="7"/>
  <c r="I1276" i="7"/>
  <c r="N808" i="7"/>
  <c r="AG100" i="18"/>
  <c r="H100" i="18"/>
  <c r="Y341" i="28"/>
  <c r="T105" i="28"/>
  <c r="V105" i="28" s="1"/>
  <c r="W105" i="28" s="1"/>
  <c r="T328" i="28"/>
  <c r="V328" i="28" s="1"/>
  <c r="T238" i="28"/>
  <c r="V238" i="28" s="1"/>
  <c r="W238" i="28" s="1"/>
  <c r="Y261" i="28"/>
  <c r="Y331" i="28"/>
  <c r="Y337" i="28"/>
  <c r="Y203" i="28"/>
  <c r="T283" i="28"/>
  <c r="V283" i="28" s="1"/>
  <c r="W283" i="28" s="1"/>
  <c r="Y349" i="28"/>
  <c r="Y343" i="28"/>
  <c r="Y366" i="28"/>
  <c r="Y121" i="28"/>
  <c r="T362" i="28"/>
  <c r="V362" i="28" s="1"/>
  <c r="Y175" i="28"/>
  <c r="Y217" i="28"/>
  <c r="Y81" i="28"/>
  <c r="Y351" i="28"/>
  <c r="Y178" i="28"/>
  <c r="T381" i="28"/>
  <c r="V381" i="28" s="1"/>
  <c r="W381" i="28" s="1"/>
  <c r="T214" i="28"/>
  <c r="V214" i="28" s="1"/>
  <c r="W214" i="28" s="1"/>
  <c r="T15" i="28"/>
  <c r="V15" i="28" s="1"/>
  <c r="T103" i="28"/>
  <c r="V103" i="28" s="1"/>
  <c r="W103" i="28" s="1"/>
  <c r="Y162" i="28"/>
  <c r="Y239" i="28"/>
  <c r="Y188" i="28"/>
  <c r="Y352" i="28"/>
  <c r="Y179" i="28"/>
  <c r="Y321" i="28"/>
  <c r="Y379" i="28"/>
  <c r="Y226" i="28"/>
  <c r="Y250" i="28"/>
  <c r="Y274" i="28"/>
  <c r="Y280" i="28"/>
  <c r="Y229" i="28"/>
  <c r="Y152" i="28"/>
  <c r="Y350" i="28"/>
  <c r="T378" i="28"/>
  <c r="V378" i="28" s="1"/>
  <c r="T253" i="28"/>
  <c r="V253" i="28" s="1"/>
  <c r="Y151" i="28"/>
  <c r="Y354" i="28"/>
  <c r="Y235" i="28"/>
  <c r="T380" i="28"/>
  <c r="V380" i="28" s="1"/>
  <c r="X380" i="28" s="1"/>
  <c r="Y7" i="28"/>
  <c r="T329" i="28"/>
  <c r="V329" i="28" s="1"/>
  <c r="T247" i="28"/>
  <c r="V247" i="28" s="1"/>
  <c r="W247" i="28" s="1"/>
  <c r="Z198" i="4"/>
  <c r="Q95" i="4"/>
  <c r="Q83" i="4"/>
  <c r="Z84" i="4"/>
  <c r="Z28" i="4"/>
  <c r="Z43" i="4"/>
  <c r="AR154" i="4"/>
  <c r="Z83" i="4"/>
  <c r="S98" i="4"/>
  <c r="AT148" i="4"/>
  <c r="AV148" i="4" s="1"/>
  <c r="AW148" i="4" s="1"/>
  <c r="Z183" i="4"/>
  <c r="AT116" i="4"/>
  <c r="AV116" i="4" s="1"/>
  <c r="AW116" i="4" s="1"/>
  <c r="S195" i="4"/>
  <c r="AT32" i="4"/>
  <c r="AV32" i="4" s="1"/>
  <c r="AW32" i="4" s="1"/>
  <c r="AR129" i="4"/>
  <c r="AR68" i="4"/>
  <c r="AT27" i="4"/>
  <c r="AV27" i="4" s="1"/>
  <c r="AW27" i="4" s="1"/>
  <c r="AR141" i="4"/>
  <c r="AT56" i="4"/>
  <c r="AV56" i="4" s="1"/>
  <c r="S172" i="4"/>
  <c r="AR21" i="4"/>
  <c r="AT80" i="4"/>
  <c r="AT140" i="4"/>
  <c r="S82" i="4"/>
  <c r="Q91" i="4"/>
  <c r="S100" i="4"/>
  <c r="AR159" i="4"/>
  <c r="Q210" i="4"/>
  <c r="AR189" i="4"/>
  <c r="Q31" i="4"/>
  <c r="Z160" i="4"/>
  <c r="Q160" i="4"/>
  <c r="Q169" i="4"/>
  <c r="AR216" i="4"/>
  <c r="Q205" i="4"/>
  <c r="S132" i="4"/>
  <c r="AR73" i="4"/>
  <c r="Q36" i="4"/>
  <c r="AR165" i="4"/>
  <c r="Z70" i="4"/>
  <c r="Z76" i="4"/>
  <c r="AR151" i="4"/>
  <c r="S133" i="4"/>
  <c r="Z179" i="4"/>
  <c r="Q39" i="4"/>
  <c r="AR182" i="4"/>
  <c r="AT31" i="4"/>
  <c r="AV31" i="4" s="1"/>
  <c r="AW31" i="4" s="1"/>
  <c r="AR42" i="4"/>
  <c r="AT60" i="4"/>
  <c r="Z68" i="4"/>
  <c r="AR24" i="4"/>
  <c r="S26" i="4"/>
  <c r="Z47" i="4"/>
  <c r="Z36" i="4"/>
  <c r="S29" i="4"/>
  <c r="S88" i="4"/>
  <c r="X36" i="4"/>
  <c r="AR156" i="4"/>
  <c r="S214" i="4"/>
  <c r="Q114" i="4"/>
  <c r="AR163" i="4"/>
  <c r="Z189" i="4"/>
  <c r="AT84" i="4"/>
  <c r="AV84" i="4" s="1"/>
  <c r="AX84" i="4" s="1"/>
  <c r="X192" i="4"/>
  <c r="S55" i="4"/>
  <c r="Q73" i="4"/>
  <c r="S61" i="4"/>
  <c r="S206" i="4"/>
  <c r="AR144" i="4"/>
  <c r="AR4" i="4"/>
  <c r="Q13" i="4"/>
  <c r="AR59" i="4"/>
  <c r="S25" i="4"/>
  <c r="Z188" i="4"/>
  <c r="B259" i="14"/>
  <c r="A2031" i="12"/>
  <c r="A269" i="14"/>
  <c r="A268" i="14"/>
  <c r="A264" i="14"/>
  <c r="Y86" i="28"/>
  <c r="A121" i="14"/>
  <c r="G82" i="14"/>
  <c r="D82" i="14"/>
  <c r="H82" i="14"/>
  <c r="AN65" i="32"/>
  <c r="AN30" i="32"/>
  <c r="AN75" i="32"/>
  <c r="AN44" i="32"/>
  <c r="AN21" i="32"/>
  <c r="AN54" i="32"/>
  <c r="AC75" i="32"/>
  <c r="AC54" i="32"/>
  <c r="AC30" i="32"/>
  <c r="AC44" i="32"/>
  <c r="AC65" i="32"/>
  <c r="AB36" i="33"/>
  <c r="AJ82" i="32"/>
  <c r="Y323" i="28"/>
  <c r="T323" i="28"/>
  <c r="V323" i="28" s="1"/>
  <c r="Y234" i="28"/>
  <c r="Y183" i="28"/>
  <c r="Y102" i="28"/>
  <c r="T161" i="28"/>
  <c r="V161" i="28" s="1"/>
  <c r="X161" i="28" s="1"/>
  <c r="Y161" i="28"/>
  <c r="Y369" i="28"/>
  <c r="X17" i="33"/>
  <c r="Q82" i="32"/>
  <c r="X19" i="33"/>
  <c r="S82" i="32"/>
  <c r="B596" i="12"/>
  <c r="C461" i="12"/>
  <c r="T44" i="32"/>
  <c r="T75" i="32"/>
  <c r="T54" i="32"/>
  <c r="T97" i="32"/>
  <c r="T85" i="32"/>
  <c r="T21" i="32"/>
  <c r="P85" i="32"/>
  <c r="P21" i="32"/>
  <c r="P44" i="32"/>
  <c r="P30" i="32"/>
  <c r="P35" i="32"/>
  <c r="P65" i="32"/>
  <c r="P97" i="32"/>
  <c r="D58" i="14"/>
  <c r="Z33" i="33"/>
  <c r="M42" i="5"/>
  <c r="M38" i="5"/>
  <c r="M37" i="5"/>
  <c r="M44" i="5"/>
  <c r="M40" i="5"/>
  <c r="M43" i="5"/>
  <c r="M39" i="5"/>
  <c r="M41" i="5"/>
  <c r="F64" i="14"/>
  <c r="F75" i="14"/>
  <c r="F74" i="14"/>
  <c r="F34" i="14"/>
  <c r="F31" i="14"/>
  <c r="D36" i="14"/>
  <c r="D48" i="14"/>
  <c r="D56" i="14"/>
  <c r="D62" i="14"/>
  <c r="D25" i="14"/>
  <c r="D21" i="14"/>
  <c r="D30" i="14"/>
  <c r="D71" i="14"/>
  <c r="D78" i="14"/>
  <c r="D18" i="14"/>
  <c r="D7" i="14"/>
  <c r="D55" i="14"/>
  <c r="D33" i="14"/>
  <c r="D69" i="14"/>
  <c r="D73" i="14"/>
  <c r="C73" i="14"/>
  <c r="H73" i="14"/>
  <c r="B112" i="14"/>
  <c r="E112" i="14"/>
  <c r="G73" i="14"/>
  <c r="H72" i="14"/>
  <c r="I72" i="14"/>
  <c r="D72" i="14"/>
  <c r="A111" i="14"/>
  <c r="H67" i="14"/>
  <c r="A106" i="14"/>
  <c r="I67" i="14"/>
  <c r="G67" i="14"/>
  <c r="I57" i="14"/>
  <c r="H57" i="14"/>
  <c r="D57" i="14"/>
  <c r="A96" i="14"/>
  <c r="C57" i="14"/>
  <c r="G57" i="14"/>
  <c r="AG21" i="32"/>
  <c r="AG85" i="32"/>
  <c r="AG35" i="32"/>
  <c r="AG54" i="32"/>
  <c r="AG44" i="32"/>
  <c r="AE82" i="32"/>
  <c r="AA31" i="33"/>
  <c r="W40" i="33"/>
  <c r="AN82" i="32"/>
  <c r="U82" i="32"/>
  <c r="W21" i="33"/>
  <c r="S56" i="4"/>
  <c r="AA82" i="32"/>
  <c r="B211" i="12"/>
  <c r="C76" i="12"/>
  <c r="J43" i="5"/>
  <c r="J40" i="5"/>
  <c r="J41" i="5"/>
  <c r="J38" i="5"/>
  <c r="J44" i="5"/>
  <c r="J110" i="5"/>
  <c r="J105" i="5"/>
  <c r="K102" i="5"/>
  <c r="J104" i="5"/>
  <c r="J109" i="5"/>
  <c r="J103" i="5"/>
  <c r="J108" i="5"/>
  <c r="C716" i="12"/>
  <c r="C581" i="12"/>
  <c r="C878" i="12"/>
  <c r="C608" i="12"/>
  <c r="C851" i="12"/>
  <c r="C743" i="12"/>
  <c r="C560" i="12"/>
  <c r="A153" i="14"/>
  <c r="G85" i="32"/>
  <c r="G97" i="32"/>
  <c r="G54" i="32"/>
  <c r="G75" i="32"/>
  <c r="G35" i="32"/>
  <c r="U6" i="5"/>
  <c r="U3" i="5"/>
  <c r="S118" i="5"/>
  <c r="U8" i="5"/>
  <c r="F26" i="14"/>
  <c r="F70" i="14"/>
  <c r="F32" i="14"/>
  <c r="F60" i="14"/>
  <c r="F37" i="14"/>
  <c r="F33" i="14"/>
  <c r="D54" i="14"/>
  <c r="D35" i="14"/>
  <c r="D32" i="14"/>
  <c r="D5" i="14"/>
  <c r="D22" i="14"/>
  <c r="D24" i="14"/>
  <c r="D27" i="14"/>
  <c r="D40" i="14"/>
  <c r="D16" i="14"/>
  <c r="D29" i="14"/>
  <c r="D31" i="14"/>
  <c r="D17" i="14"/>
  <c r="D70" i="14"/>
  <c r="D11" i="14"/>
  <c r="D15" i="14"/>
  <c r="D23" i="14"/>
  <c r="D26" i="14"/>
  <c r="D34" i="14"/>
  <c r="H75" i="14"/>
  <c r="I75" i="14"/>
  <c r="B114" i="14"/>
  <c r="E114" i="14" s="1"/>
  <c r="G75" i="14"/>
  <c r="F58" i="14"/>
  <c r="G53" i="14"/>
  <c r="Q21" i="32"/>
  <c r="Q75" i="32"/>
  <c r="Q44" i="32"/>
  <c r="Q54" i="32"/>
  <c r="Q65" i="32"/>
  <c r="Q35" i="32"/>
  <c r="B75" i="32"/>
  <c r="B35" i="32"/>
  <c r="AA35" i="33"/>
  <c r="AI82" i="32"/>
  <c r="Z37" i="33"/>
  <c r="B217" i="12"/>
  <c r="C82" i="12"/>
  <c r="J3" i="5"/>
  <c r="J5" i="5"/>
  <c r="J7" i="5"/>
  <c r="J4" i="5"/>
  <c r="R7" i="5"/>
  <c r="R4" i="5"/>
  <c r="R9" i="5"/>
  <c r="R6" i="5"/>
  <c r="S115" i="5"/>
  <c r="Q39" i="5"/>
  <c r="Q37" i="5"/>
  <c r="Q38" i="5"/>
  <c r="Q44" i="5"/>
  <c r="Q42" i="5"/>
  <c r="B118" i="14"/>
  <c r="E118" i="14"/>
  <c r="I79" i="14"/>
  <c r="D79" i="14"/>
  <c r="C74" i="14"/>
  <c r="I74" i="14"/>
  <c r="G74" i="14"/>
  <c r="B113" i="14"/>
  <c r="G52" i="14"/>
  <c r="D52" i="14"/>
  <c r="B91" i="14"/>
  <c r="I76" i="14"/>
  <c r="A115" i="14"/>
  <c r="D66" i="14"/>
  <c r="W97" i="32"/>
  <c r="W85" i="32"/>
  <c r="W65" i="32"/>
  <c r="W54" i="32"/>
  <c r="W35" i="32"/>
  <c r="J44" i="32"/>
  <c r="J65" i="32"/>
  <c r="J30" i="32"/>
  <c r="Y170" i="28"/>
  <c r="T170" i="28"/>
  <c r="V170" i="28" s="1"/>
  <c r="X170" i="28" s="1"/>
  <c r="Y107" i="28"/>
  <c r="T148" i="28"/>
  <c r="V148" i="28" s="1"/>
  <c r="W148" i="28" s="1"/>
  <c r="Y3" i="28"/>
  <c r="Y360" i="28"/>
  <c r="Y237" i="28"/>
  <c r="B165" i="12"/>
  <c r="C30" i="12"/>
  <c r="B1986" i="12"/>
  <c r="A1059" i="12"/>
  <c r="C52" i="14"/>
  <c r="L16" i="5"/>
  <c r="K73" i="5"/>
  <c r="K70" i="5"/>
  <c r="K76" i="5"/>
  <c r="A117" i="14"/>
  <c r="D49" i="14"/>
  <c r="C49" i="14"/>
  <c r="X29" i="33"/>
  <c r="AC82" i="32"/>
  <c r="H79" i="14"/>
  <c r="W75" i="32"/>
  <c r="U10" i="5"/>
  <c r="L49" i="5"/>
  <c r="L51" i="5"/>
  <c r="L54" i="5"/>
  <c r="D50" i="14"/>
  <c r="I68" i="14"/>
  <c r="F68" i="14"/>
  <c r="A80" i="14"/>
  <c r="C41" i="14"/>
  <c r="G41" i="14"/>
  <c r="D41" i="14"/>
  <c r="Y65" i="32"/>
  <c r="K32" i="5"/>
  <c r="I19" i="5"/>
  <c r="AA35" i="32"/>
  <c r="K31" i="5"/>
  <c r="C54" i="32"/>
  <c r="H97" i="32"/>
  <c r="Z30" i="32"/>
  <c r="N21" i="32"/>
  <c r="C37" i="12"/>
  <c r="C122" i="12"/>
  <c r="H21" i="32"/>
  <c r="N30" i="32"/>
  <c r="AT106" i="4"/>
  <c r="Z209" i="4"/>
  <c r="Q102" i="4"/>
  <c r="Z107" i="4"/>
  <c r="Z149" i="4"/>
  <c r="Z172" i="4"/>
  <c r="Z180" i="4"/>
  <c r="AT36" i="4"/>
  <c r="AT37" i="4"/>
  <c r="Z150" i="4"/>
  <c r="AI100" i="18"/>
  <c r="AI46" i="16"/>
  <c r="AI49" i="16" s="1"/>
  <c r="AC100" i="18"/>
  <c r="AC46" i="16"/>
  <c r="AC49" i="16"/>
  <c r="W100" i="18"/>
  <c r="W46" i="16"/>
  <c r="W49" i="16" s="1"/>
  <c r="Q100" i="18"/>
  <c r="Q46" i="16"/>
  <c r="Q49" i="16"/>
  <c r="K100" i="18"/>
  <c r="K46" i="16"/>
  <c r="K49" i="16"/>
  <c r="G46" i="16"/>
  <c r="G100" i="18"/>
  <c r="I46" i="16"/>
  <c r="I49" i="16"/>
  <c r="I100" i="18"/>
  <c r="AJ46" i="16"/>
  <c r="AJ49" i="16" s="1"/>
  <c r="AJ100" i="18"/>
  <c r="AD46" i="16"/>
  <c r="AD49" i="16" s="1"/>
  <c r="AD100" i="18"/>
  <c r="X46" i="16"/>
  <c r="X49" i="16"/>
  <c r="X100" i="18"/>
  <c r="R46" i="16"/>
  <c r="R49" i="16" s="1"/>
  <c r="R100" i="18"/>
  <c r="L46" i="16"/>
  <c r="L49" i="16" s="1"/>
  <c r="L100" i="18"/>
  <c r="F46" i="16"/>
  <c r="F49" i="16" s="1"/>
  <c r="F100" i="18"/>
  <c r="AE46" i="16"/>
  <c r="AE49" i="16"/>
  <c r="AE100" i="18"/>
  <c r="Y46" i="16"/>
  <c r="Y49" i="16"/>
  <c r="Y100" i="18"/>
  <c r="M46" i="16"/>
  <c r="M49" i="16" s="1"/>
  <c r="M100" i="18"/>
  <c r="AT199" i="4"/>
  <c r="AV199" i="4" s="1"/>
  <c r="AN100" i="18"/>
  <c r="AH100" i="18"/>
  <c r="AB100" i="18"/>
  <c r="V100" i="18"/>
  <c r="P100" i="18"/>
  <c r="J100" i="18"/>
  <c r="AR161" i="4"/>
  <c r="AT204" i="4"/>
  <c r="AV204" i="4" s="1"/>
  <c r="AW204" i="4" s="1"/>
  <c r="S70" i="4"/>
  <c r="X180" i="4"/>
  <c r="Z206" i="4"/>
  <c r="AR44" i="4"/>
  <c r="Q142" i="4"/>
  <c r="Z67" i="4"/>
  <c r="AT170" i="4"/>
  <c r="S189" i="4"/>
  <c r="S67" i="4"/>
  <c r="Z69" i="4"/>
  <c r="Z72" i="4"/>
  <c r="S81" i="4"/>
  <c r="S4" i="4"/>
  <c r="Z136" i="4"/>
  <c r="Z146" i="4"/>
  <c r="AT178" i="4"/>
  <c r="AT122" i="4"/>
  <c r="AV122" i="4" s="1"/>
  <c r="Z182" i="4"/>
  <c r="S19" i="4"/>
  <c r="Q70" i="4"/>
  <c r="Q120" i="4"/>
  <c r="S136" i="4"/>
  <c r="S161" i="4"/>
  <c r="Z59" i="4"/>
  <c r="Z31" i="4"/>
  <c r="Z19" i="4"/>
  <c r="AR63" i="4"/>
  <c r="AT109" i="4"/>
  <c r="AV109" i="4" s="1"/>
  <c r="AT209" i="4"/>
  <c r="AV209" i="4" s="1"/>
  <c r="Z9" i="4"/>
  <c r="Z117" i="4"/>
  <c r="Z120" i="4"/>
  <c r="Z147" i="4"/>
  <c r="Z165" i="4"/>
  <c r="Z200" i="4"/>
  <c r="Q156" i="4"/>
  <c r="AR173" i="4"/>
  <c r="X83" i="4"/>
  <c r="Q150" i="4"/>
  <c r="S119" i="4"/>
  <c r="Z169" i="4"/>
  <c r="Z104" i="4"/>
  <c r="Z98" i="4"/>
  <c r="Q122" i="4"/>
  <c r="Z103" i="4"/>
  <c r="Z190" i="4"/>
  <c r="AT71" i="4"/>
  <c r="AV71" i="4" s="1"/>
  <c r="Z25" i="4"/>
  <c r="Q97" i="4"/>
  <c r="AT150" i="4"/>
  <c r="AV150" i="4" s="1"/>
  <c r="S18" i="4"/>
  <c r="Z157" i="4"/>
  <c r="AR36" i="4"/>
  <c r="AR132" i="4"/>
  <c r="AR117" i="4"/>
  <c r="Z114" i="4"/>
  <c r="AT210" i="4"/>
  <c r="AR210" i="4"/>
  <c r="Z124" i="4"/>
  <c r="S124" i="4"/>
  <c r="Q138" i="4"/>
  <c r="Z138" i="4"/>
  <c r="Q162" i="4"/>
  <c r="S162" i="4"/>
  <c r="S149" i="4"/>
  <c r="S45" i="4"/>
  <c r="Z15" i="4"/>
  <c r="AT115" i="4"/>
  <c r="AV115" i="4" s="1"/>
  <c r="AW115" i="4" s="1"/>
  <c r="AT107" i="4"/>
  <c r="AV107" i="4" s="1"/>
  <c r="AW107" i="4" s="1"/>
  <c r="AR107" i="4"/>
  <c r="AR96" i="4"/>
  <c r="AT96" i="4"/>
  <c r="AV96" i="4" s="1"/>
  <c r="AW96" i="4" s="1"/>
  <c r="AR38" i="4"/>
  <c r="AT38" i="4"/>
  <c r="AT12" i="4"/>
  <c r="AV12" i="4" s="1"/>
  <c r="AR12" i="4"/>
  <c r="X50" i="4"/>
  <c r="Z50" i="4"/>
  <c r="S57" i="4"/>
  <c r="Z57" i="4"/>
  <c r="Z75" i="4"/>
  <c r="S75" i="4"/>
  <c r="Q99" i="4"/>
  <c r="S99" i="4"/>
  <c r="Q127" i="4"/>
  <c r="S127" i="4"/>
  <c r="Q131" i="4"/>
  <c r="S131" i="4"/>
  <c r="S185" i="4"/>
  <c r="Q185" i="4"/>
  <c r="Z185" i="4"/>
  <c r="Z197" i="4"/>
  <c r="AR158" i="4"/>
  <c r="Q200" i="4"/>
  <c r="S139" i="4"/>
  <c r="Z71" i="4"/>
  <c r="Q151" i="4"/>
  <c r="Z108" i="4"/>
  <c r="S138" i="4"/>
  <c r="AR86" i="4"/>
  <c r="AT126" i="4"/>
  <c r="AV126" i="4" s="1"/>
  <c r="AW126" i="4" s="1"/>
  <c r="AR126" i="4"/>
  <c r="AT118" i="4"/>
  <c r="AR118" i="4"/>
  <c r="AR110" i="4"/>
  <c r="AT110" i="4"/>
  <c r="AV110" i="4" s="1"/>
  <c r="AW110" i="4" s="1"/>
  <c r="AT5" i="4"/>
  <c r="AR5" i="4"/>
  <c r="Q15" i="4"/>
  <c r="S15" i="4"/>
  <c r="X44" i="4"/>
  <c r="S72" i="4"/>
  <c r="Q72" i="4"/>
  <c r="Q207" i="4"/>
  <c r="S207" i="4"/>
  <c r="Q209" i="4"/>
  <c r="S209" i="4"/>
  <c r="Q213" i="4"/>
  <c r="X131" i="4"/>
  <c r="X134" i="4"/>
  <c r="Z134" i="4"/>
  <c r="X161" i="4"/>
  <c r="Z161" i="4"/>
  <c r="Z178" i="4"/>
  <c r="Q178" i="4"/>
  <c r="Z12" i="4"/>
  <c r="X12" i="4"/>
  <c r="Q94" i="4"/>
  <c r="S94" i="4"/>
  <c r="Z213" i="4"/>
  <c r="Z145" i="4"/>
  <c r="X145" i="4"/>
  <c r="S166" i="4"/>
  <c r="Q166" i="4"/>
  <c r="Q42" i="4"/>
  <c r="S42" i="4"/>
  <c r="Q107" i="4"/>
  <c r="S107" i="4"/>
  <c r="Q201" i="4"/>
  <c r="S201" i="4"/>
  <c r="Z201" i="4"/>
  <c r="S146" i="4"/>
  <c r="Q146" i="4"/>
  <c r="Z66" i="4"/>
  <c r="X142" i="4"/>
  <c r="Z45" i="4"/>
  <c r="AR149" i="4"/>
  <c r="Z22" i="4"/>
  <c r="AR138" i="4"/>
  <c r="S121" i="4"/>
  <c r="Z181" i="4"/>
  <c r="AT18" i="4"/>
  <c r="AV18" i="4" s="1"/>
  <c r="Q159" i="4"/>
  <c r="AT153" i="4"/>
  <c r="AT114" i="4"/>
  <c r="AR114" i="4"/>
  <c r="AT87" i="4"/>
  <c r="AV87" i="4" s="1"/>
  <c r="S7" i="4"/>
  <c r="Z7" i="4"/>
  <c r="Q28" i="4"/>
  <c r="S28" i="4"/>
  <c r="Z38" i="4"/>
  <c r="S115" i="4"/>
  <c r="X118" i="4"/>
  <c r="Z118" i="4"/>
  <c r="Q143" i="4"/>
  <c r="S143" i="4"/>
  <c r="X216" i="4"/>
  <c r="AR83" i="4"/>
  <c r="AT83" i="4"/>
  <c r="AR23" i="4"/>
  <c r="AT23" i="4"/>
  <c r="AV23" i="4" s="1"/>
  <c r="AX23" i="4" s="1"/>
  <c r="Z195" i="4"/>
  <c r="Q76" i="4"/>
  <c r="S66" i="4"/>
  <c r="Q16" i="4"/>
  <c r="Z156" i="4"/>
  <c r="Q118" i="4"/>
  <c r="S22" i="4"/>
  <c r="Z81" i="4"/>
  <c r="X213" i="4"/>
  <c r="AT66" i="4"/>
  <c r="Z94" i="4"/>
  <c r="Z110" i="4"/>
  <c r="Q40" i="4"/>
  <c r="AR98" i="4"/>
  <c r="AR40" i="4"/>
  <c r="AT40" i="4"/>
  <c r="X49" i="4"/>
  <c r="S60" i="4"/>
  <c r="Q60" i="4"/>
  <c r="S30" i="4"/>
  <c r="Q12" i="4"/>
  <c r="AR121" i="4"/>
  <c r="AR199" i="4"/>
  <c r="AT207" i="4"/>
  <c r="AR207" i="4"/>
  <c r="AT89" i="4"/>
  <c r="AR89" i="4"/>
  <c r="Q33" i="4"/>
  <c r="Z23" i="4"/>
  <c r="AT53" i="4"/>
  <c r="AV53" i="4" s="1"/>
  <c r="AR53" i="4"/>
  <c r="S76" i="4"/>
  <c r="X114" i="4"/>
  <c r="X6" i="4"/>
  <c r="X147" i="4"/>
  <c r="AR50" i="4"/>
  <c r="Z18" i="4"/>
  <c r="X209" i="4"/>
  <c r="Z210" i="4"/>
  <c r="Z204" i="4"/>
  <c r="AT15" i="4"/>
  <c r="AV15" i="4" s="1"/>
  <c r="AX15" i="4" s="1"/>
  <c r="AT192" i="4"/>
  <c r="AR192" i="4"/>
  <c r="AR184" i="4"/>
  <c r="AT184" i="4"/>
  <c r="AV184" i="4" s="1"/>
  <c r="AW184" i="4" s="1"/>
  <c r="AT120" i="4"/>
  <c r="AR120" i="4"/>
  <c r="AT112" i="4"/>
  <c r="AR112" i="4"/>
  <c r="AT43" i="4"/>
  <c r="AV43" i="4" s="1"/>
  <c r="AW43" i="4" s="1"/>
  <c r="AR43" i="4"/>
  <c r="AR14" i="4"/>
  <c r="AT14" i="4"/>
  <c r="AV14" i="4" s="1"/>
  <c r="AX14" i="4" s="1"/>
  <c r="Z53" i="4"/>
  <c r="Q57" i="4"/>
  <c r="X101" i="4"/>
  <c r="Z101" i="4"/>
  <c r="Q137" i="4"/>
  <c r="S168" i="4"/>
  <c r="Z168" i="4"/>
  <c r="S181" i="4"/>
  <c r="Z54" i="4"/>
  <c r="Z159" i="4"/>
  <c r="X144" i="4"/>
  <c r="S147" i="4"/>
  <c r="AT196" i="4"/>
  <c r="AV196" i="4" s="1"/>
  <c r="AX196" i="4" s="1"/>
  <c r="Z115" i="4"/>
  <c r="S24" i="4"/>
  <c r="AR67" i="4"/>
  <c r="S150" i="4"/>
  <c r="X38" i="4"/>
  <c r="AR194" i="4"/>
  <c r="AT93" i="4"/>
  <c r="AT8" i="4"/>
  <c r="AV8" i="4" s="1"/>
  <c r="AX8" i="4" s="1"/>
  <c r="Z63" i="4"/>
  <c r="AR134" i="4"/>
  <c r="Z162" i="4"/>
  <c r="AT168" i="4"/>
  <c r="AV168" i="4" s="1"/>
  <c r="AT104" i="4"/>
  <c r="Z121" i="4"/>
  <c r="Z42" i="4"/>
  <c r="Q165" i="4"/>
  <c r="Z141" i="4"/>
  <c r="Z77" i="4"/>
  <c r="AR155" i="4"/>
  <c r="AT90" i="4"/>
  <c r="AV90" i="4" s="1"/>
  <c r="AR49" i="4"/>
  <c r="AT46" i="4"/>
  <c r="AR2" i="4"/>
  <c r="X29" i="4"/>
  <c r="Q75" i="4"/>
  <c r="X117" i="4"/>
  <c r="X135" i="4"/>
  <c r="X165" i="4"/>
  <c r="S51" i="4"/>
  <c r="AT198" i="4"/>
  <c r="AV198" i="4" s="1"/>
  <c r="AW198" i="4" s="1"/>
  <c r="Z51" i="4"/>
  <c r="X159" i="4"/>
  <c r="AR215" i="4"/>
  <c r="AT193" i="4"/>
  <c r="AV193" i="4" s="1"/>
  <c r="AW193" i="4" s="1"/>
  <c r="AT190" i="4"/>
  <c r="Q216" i="4"/>
  <c r="Q54" i="4"/>
  <c r="AT197" i="4"/>
  <c r="AT19" i="4"/>
  <c r="AV19" i="4" s="1"/>
  <c r="AW19" i="4" s="1"/>
  <c r="Z106" i="4"/>
  <c r="X85" i="4"/>
  <c r="Z133" i="4"/>
  <c r="Z32" i="4"/>
  <c r="AT146" i="4"/>
  <c r="AV146" i="4" s="1"/>
  <c r="AX146" i="4" s="1"/>
  <c r="AT29" i="4"/>
  <c r="AV29" i="4" s="1"/>
  <c r="AX29" i="4" s="1"/>
  <c r="S123" i="4"/>
  <c r="S108" i="4"/>
  <c r="AT139" i="4"/>
  <c r="Q27" i="4"/>
  <c r="AR135" i="4"/>
  <c r="AT135" i="4"/>
  <c r="Q110" i="4"/>
  <c r="AR13" i="4"/>
  <c r="AT13" i="4"/>
  <c r="AV13" i="4" s="1"/>
  <c r="AX13" i="4" s="1"/>
  <c r="X17" i="4"/>
  <c r="Q112" i="4"/>
  <c r="S112" i="4"/>
  <c r="Z39" i="4"/>
  <c r="AR211" i="4"/>
  <c r="Q103" i="4"/>
  <c r="Z184" i="4"/>
  <c r="Z21" i="4"/>
  <c r="AT171" i="4"/>
  <c r="AR152" i="4"/>
  <c r="S183" i="4"/>
  <c r="S126" i="4"/>
  <c r="Z90" i="4"/>
  <c r="AR52" i="4"/>
  <c r="Z111" i="4"/>
  <c r="Q154" i="4"/>
  <c r="S80" i="4"/>
  <c r="Z35" i="4"/>
  <c r="Q34" i="4"/>
  <c r="AT142" i="4"/>
  <c r="AV142" i="4" s="1"/>
  <c r="AR20" i="4"/>
  <c r="Q32" i="4"/>
  <c r="AT25" i="4"/>
  <c r="AV25" i="4" s="1"/>
  <c r="S90" i="4"/>
  <c r="Z60" i="4"/>
  <c r="Q184" i="4"/>
  <c r="Q105" i="4"/>
  <c r="AR157" i="4"/>
  <c r="AT157" i="4"/>
  <c r="AV157" i="4" s="1"/>
  <c r="X164" i="4"/>
  <c r="E37" i="14"/>
  <c r="E3" i="14"/>
  <c r="E41" i="14"/>
  <c r="E42" i="14"/>
  <c r="E4" i="14"/>
  <c r="E24" i="14"/>
  <c r="E85" i="14"/>
  <c r="E17" i="14"/>
  <c r="E18" i="14"/>
  <c r="AO92" i="32"/>
  <c r="E54" i="14"/>
  <c r="E113" i="14"/>
  <c r="E63" i="14"/>
  <c r="E25" i="14"/>
  <c r="E46" i="14"/>
  <c r="E22" i="14"/>
  <c r="E16" i="14"/>
  <c r="AI20" i="33"/>
  <c r="E60" i="14"/>
  <c r="E79" i="14"/>
  <c r="E77" i="14"/>
  <c r="E19" i="14"/>
  <c r="E40" i="14"/>
  <c r="E27" i="14"/>
  <c r="E58" i="14"/>
  <c r="E99" i="14"/>
  <c r="E35" i="14"/>
  <c r="E61" i="14"/>
  <c r="E9" i="14"/>
  <c r="E53" i="14"/>
  <c r="E13" i="14"/>
  <c r="E93" i="14"/>
  <c r="E73" i="14"/>
  <c r="E100" i="14"/>
  <c r="E68" i="14"/>
  <c r="E66" i="14"/>
  <c r="E107" i="14"/>
  <c r="E10" i="14"/>
  <c r="E48" i="14"/>
  <c r="E78" i="14"/>
  <c r="E5" i="14"/>
  <c r="E101" i="14"/>
  <c r="E47" i="14"/>
  <c r="E55" i="14"/>
  <c r="E76" i="14"/>
  <c r="E57" i="14"/>
  <c r="E62" i="14"/>
  <c r="E33" i="14"/>
  <c r="E11" i="14"/>
  <c r="E21" i="14"/>
  <c r="E12" i="14"/>
  <c r="E45" i="14"/>
  <c r="E74" i="14"/>
  <c r="E102" i="14"/>
  <c r="E8" i="14"/>
  <c r="E38" i="14"/>
  <c r="E29" i="14"/>
  <c r="E28" i="14"/>
  <c r="E44" i="14"/>
  <c r="E72" i="14"/>
  <c r="E14" i="14"/>
  <c r="E56" i="14"/>
  <c r="E34" i="14"/>
  <c r="E6" i="14"/>
  <c r="E36" i="14"/>
  <c r="E20" i="14"/>
  <c r="E90" i="14"/>
  <c r="E96" i="14"/>
  <c r="E26" i="14"/>
  <c r="E69" i="14"/>
  <c r="E52" i="14"/>
  <c r="E30" i="14"/>
  <c r="E70" i="14"/>
  <c r="E32" i="14"/>
  <c r="AL28" i="8"/>
  <c r="AN28" i="8" s="1"/>
  <c r="AK28" i="8"/>
  <c r="AK12" i="8"/>
  <c r="AK9" i="8"/>
  <c r="AL32" i="8"/>
  <c r="AN32" i="8" s="1"/>
  <c r="AL10" i="8"/>
  <c r="AN10" i="8" s="1"/>
  <c r="I32" i="31" s="1"/>
  <c r="AK26" i="8"/>
  <c r="AK14" i="8"/>
  <c r="AL14" i="8"/>
  <c r="AN14" i="8" s="1"/>
  <c r="AP14" i="8" s="1"/>
  <c r="AK39" i="8"/>
  <c r="AK21" i="8"/>
  <c r="AL21" i="8"/>
  <c r="AN21" i="8" s="1"/>
  <c r="AL33" i="8"/>
  <c r="AN33" i="8" s="1"/>
  <c r="AP33" i="8" s="1"/>
  <c r="AK17" i="8"/>
  <c r="AL17" i="8"/>
  <c r="AN17" i="8" s="1"/>
  <c r="AP17" i="8" s="1"/>
  <c r="AK57" i="8"/>
  <c r="AL6" i="8"/>
  <c r="AN6" i="8" s="1"/>
  <c r="AO6" i="8" s="1"/>
  <c r="AK40" i="8"/>
  <c r="AL40" i="8"/>
  <c r="AN40" i="8" s="1"/>
  <c r="AP40" i="8" s="1"/>
  <c r="AK58" i="8"/>
  <c r="AL22" i="8"/>
  <c r="AN22" i="8" s="1"/>
  <c r="AO22" i="8" s="1"/>
  <c r="F10" i="14"/>
  <c r="B541" i="12"/>
  <c r="C541" i="12" s="1"/>
  <c r="C406" i="12"/>
  <c r="B538" i="12"/>
  <c r="C403" i="12"/>
  <c r="B342" i="12"/>
  <c r="C342" i="12"/>
  <c r="B503" i="12"/>
  <c r="C368" i="12"/>
  <c r="B357" i="12"/>
  <c r="B492" i="12" s="1"/>
  <c r="C222" i="12"/>
  <c r="B680" i="12"/>
  <c r="F81" i="14"/>
  <c r="C516" i="12"/>
  <c r="B332" i="12"/>
  <c r="C197" i="12"/>
  <c r="B286" i="12"/>
  <c r="C286" i="12" s="1"/>
  <c r="C151" i="12"/>
  <c r="B330" i="12"/>
  <c r="C195" i="12"/>
  <c r="A831" i="12"/>
  <c r="A966" i="12"/>
  <c r="A1101" i="12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/>
  <c r="A2586" i="12" s="1"/>
  <c r="A2721" i="12"/>
  <c r="A2856" i="12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/>
  <c r="A4746" i="12"/>
  <c r="A4881" i="12" s="1"/>
  <c r="A5016" i="12" s="1"/>
  <c r="A5151" i="12" s="1"/>
  <c r="B344" i="12"/>
  <c r="B479" i="12" s="1"/>
  <c r="C209" i="12"/>
  <c r="B539" i="12"/>
  <c r="C404" i="12"/>
  <c r="A617" i="12"/>
  <c r="C482" i="12"/>
  <c r="B274" i="12"/>
  <c r="C139" i="12"/>
  <c r="C169" i="12"/>
  <c r="B304" i="12"/>
  <c r="B444" i="12"/>
  <c r="C309" i="12"/>
  <c r="B507" i="12"/>
  <c r="C372" i="12"/>
  <c r="B124" i="14"/>
  <c r="B163" i="14" s="1"/>
  <c r="C85" i="14"/>
  <c r="I85" i="14"/>
  <c r="G85" i="14"/>
  <c r="D85" i="14"/>
  <c r="B363" i="12"/>
  <c r="C228" i="12"/>
  <c r="F79" i="14"/>
  <c r="B382" i="12"/>
  <c r="C247" i="12"/>
  <c r="A500" i="12"/>
  <c r="C365" i="12"/>
  <c r="B335" i="12"/>
  <c r="C200" i="12"/>
  <c r="A468" i="12"/>
  <c r="C333" i="12"/>
  <c r="A485" i="12"/>
  <c r="B308" i="12"/>
  <c r="C308" i="12" s="1"/>
  <c r="C173" i="12"/>
  <c r="B384" i="12"/>
  <c r="C249" i="12"/>
  <c r="B402" i="12"/>
  <c r="C402" i="12" s="1"/>
  <c r="C267" i="12"/>
  <c r="B475" i="12"/>
  <c r="C340" i="12"/>
  <c r="C658" i="12"/>
  <c r="B314" i="12"/>
  <c r="C179" i="12"/>
  <c r="B302" i="12"/>
  <c r="C167" i="12"/>
  <c r="B781" i="12"/>
  <c r="A129" i="14"/>
  <c r="C153" i="12"/>
  <c r="B288" i="12"/>
  <c r="B397" i="12"/>
  <c r="C262" i="12"/>
  <c r="B287" i="12"/>
  <c r="C152" i="12"/>
  <c r="B341" i="12"/>
  <c r="C206" i="12"/>
  <c r="B139" i="14"/>
  <c r="H100" i="14"/>
  <c r="B521" i="12"/>
  <c r="C386" i="12"/>
  <c r="B303" i="12"/>
  <c r="C168" i="12"/>
  <c r="C334" i="12"/>
  <c r="B469" i="12"/>
  <c r="B387" i="12"/>
  <c r="B522" i="12" s="1"/>
  <c r="C252" i="12"/>
  <c r="A456" i="12"/>
  <c r="C321" i="12"/>
  <c r="B279" i="12"/>
  <c r="C144" i="12"/>
  <c r="C158" i="12"/>
  <c r="B293" i="12"/>
  <c r="B320" i="12"/>
  <c r="C185" i="12"/>
  <c r="A636" i="12"/>
  <c r="C636" i="12" s="1"/>
  <c r="C501" i="12"/>
  <c r="B527" i="12"/>
  <c r="C392" i="12"/>
  <c r="A127" i="14"/>
  <c r="B141" i="14"/>
  <c r="D102" i="14"/>
  <c r="G102" i="14"/>
  <c r="I102" i="14"/>
  <c r="F102" i="14"/>
  <c r="B283" i="12"/>
  <c r="C148" i="12"/>
  <c r="A557" i="12"/>
  <c r="B571" i="12"/>
  <c r="C436" i="12"/>
  <c r="A550" i="12"/>
  <c r="C415" i="12"/>
  <c r="B650" i="12"/>
  <c r="B399" i="12"/>
  <c r="H102" i="14"/>
  <c r="C102" i="14"/>
  <c r="B786" i="12"/>
  <c r="B359" i="12"/>
  <c r="C359" i="12" s="1"/>
  <c r="C224" i="12"/>
  <c r="B296" i="12"/>
  <c r="C161" i="12"/>
  <c r="B928" i="12"/>
  <c r="C793" i="12"/>
  <c r="A126" i="14"/>
  <c r="E126" i="14" s="1"/>
  <c r="C87" i="14"/>
  <c r="I87" i="14"/>
  <c r="G87" i="14"/>
  <c r="H87" i="14"/>
  <c r="D87" i="14"/>
  <c r="A491" i="12"/>
  <c r="C356" i="12"/>
  <c r="G95" i="14"/>
  <c r="C95" i="14"/>
  <c r="A134" i="14"/>
  <c r="A576" i="12"/>
  <c r="A711" i="12" s="1"/>
  <c r="A846" i="12" s="1"/>
  <c r="A981" i="12" s="1"/>
  <c r="A1116" i="12" s="1"/>
  <c r="A1251" i="12" s="1"/>
  <c r="A1386" i="12" s="1"/>
  <c r="B188" i="14"/>
  <c r="B227" i="14" s="1"/>
  <c r="B266" i="14" s="1"/>
  <c r="C502" i="12"/>
  <c r="B457" i="12"/>
  <c r="B529" i="12"/>
  <c r="C529" i="12" s="1"/>
  <c r="C394" i="12"/>
  <c r="A258" i="14"/>
  <c r="A245" i="14"/>
  <c r="B1431" i="12"/>
  <c r="B354" i="12"/>
  <c r="A649" i="12"/>
  <c r="A784" i="12" s="1"/>
  <c r="A429" i="12"/>
  <c r="A179" i="14"/>
  <c r="B613" i="12"/>
  <c r="C478" i="12"/>
  <c r="A655" i="12"/>
  <c r="C520" i="12"/>
  <c r="A222" i="14"/>
  <c r="B488" i="12"/>
  <c r="C353" i="12"/>
  <c r="B374" i="12"/>
  <c r="C239" i="12"/>
  <c r="C506" i="12"/>
  <c r="A641" i="12"/>
  <c r="A776" i="12" s="1"/>
  <c r="A911" i="12" s="1"/>
  <c r="A1046" i="12" s="1"/>
  <c r="A1181" i="12" s="1"/>
  <c r="A563" i="12"/>
  <c r="A698" i="12" s="1"/>
  <c r="A833" i="12" s="1"/>
  <c r="B171" i="14"/>
  <c r="B210" i="14" s="1"/>
  <c r="B249" i="14" s="1"/>
  <c r="G81" i="14"/>
  <c r="H81" i="14"/>
  <c r="I81" i="14"/>
  <c r="A120" i="14"/>
  <c r="D81" i="14"/>
  <c r="A224" i="14"/>
  <c r="C81" i="14"/>
  <c r="B2121" i="12"/>
  <c r="B300" i="12"/>
  <c r="C165" i="12"/>
  <c r="B152" i="14"/>
  <c r="H113" i="14"/>
  <c r="D113" i="14"/>
  <c r="C113" i="14"/>
  <c r="I113" i="14"/>
  <c r="G113" i="14"/>
  <c r="H118" i="14"/>
  <c r="F118" i="14"/>
  <c r="C118" i="14"/>
  <c r="A160" i="14"/>
  <c r="A2086" i="12"/>
  <c r="G80" i="14"/>
  <c r="D80" i="14"/>
  <c r="A1194" i="12"/>
  <c r="A1329" i="12" s="1"/>
  <c r="D115" i="14"/>
  <c r="F115" i="14"/>
  <c r="H115" i="14"/>
  <c r="G115" i="14"/>
  <c r="C115" i="14"/>
  <c r="A154" i="14"/>
  <c r="I115" i="14"/>
  <c r="C114" i="14"/>
  <c r="K104" i="5"/>
  <c r="K109" i="5"/>
  <c r="K106" i="5"/>
  <c r="K110" i="5"/>
  <c r="K108" i="5"/>
  <c r="K103" i="5"/>
  <c r="K105" i="5"/>
  <c r="K107" i="5"/>
  <c r="G96" i="14"/>
  <c r="H96" i="14"/>
  <c r="A135" i="14"/>
  <c r="I96" i="14"/>
  <c r="A145" i="14"/>
  <c r="H106" i="14"/>
  <c r="I106" i="14"/>
  <c r="F106" i="14"/>
  <c r="D106" i="14"/>
  <c r="A156" i="14"/>
  <c r="B130" i="14"/>
  <c r="L102" i="5"/>
  <c r="A2429" i="12"/>
  <c r="A2564" i="12" s="1"/>
  <c r="A2699" i="12" s="1"/>
  <c r="C111" i="14"/>
  <c r="H111" i="14"/>
  <c r="G111" i="14"/>
  <c r="C112" i="14"/>
  <c r="B151" i="14"/>
  <c r="B190" i="14" s="1"/>
  <c r="E190" i="14" s="1"/>
  <c r="G112" i="14"/>
  <c r="H112" i="14"/>
  <c r="I112" i="14"/>
  <c r="D112" i="14"/>
  <c r="B731" i="12"/>
  <c r="C596" i="12"/>
  <c r="A2108" i="12"/>
  <c r="A2243" i="12" s="1"/>
  <c r="A2378" i="12" s="1"/>
  <c r="A2513" i="12" s="1"/>
  <c r="A2648" i="12" s="1"/>
  <c r="A2783" i="12" s="1"/>
  <c r="E115" i="14"/>
  <c r="E80" i="14"/>
  <c r="B352" i="12"/>
  <c r="C217" i="12"/>
  <c r="B1090" i="12"/>
  <c r="A2166" i="12"/>
  <c r="B443" i="12"/>
  <c r="B428" i="12"/>
  <c r="C293" i="12"/>
  <c r="B638" i="12"/>
  <c r="C503" i="12"/>
  <c r="B537" i="12"/>
  <c r="A771" i="12"/>
  <c r="A168" i="14"/>
  <c r="C344" i="12"/>
  <c r="B465" i="12"/>
  <c r="B600" i="12" s="1"/>
  <c r="C330" i="12"/>
  <c r="B676" i="12"/>
  <c r="B477" i="12"/>
  <c r="C477" i="12"/>
  <c r="B438" i="12"/>
  <c r="C303" i="12"/>
  <c r="G139" i="14"/>
  <c r="A603" i="12"/>
  <c r="C468" i="12"/>
  <c r="B579" i="12"/>
  <c r="C444" i="12"/>
  <c r="B409" i="12"/>
  <c r="C274" i="12"/>
  <c r="B455" i="12"/>
  <c r="C320" i="12"/>
  <c r="B421" i="12"/>
  <c r="C421" i="12" s="1"/>
  <c r="B422" i="12"/>
  <c r="C287" i="12"/>
  <c r="A752" i="12"/>
  <c r="A887" i="12" s="1"/>
  <c r="C887" i="12" s="1"/>
  <c r="C617" i="12"/>
  <c r="B916" i="12"/>
  <c r="A620" i="12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591" i="12"/>
  <c r="A726" i="12" s="1"/>
  <c r="B476" i="12"/>
  <c r="C341" i="12"/>
  <c r="B437" i="12"/>
  <c r="C437" i="12" s="1"/>
  <c r="C302" i="12"/>
  <c r="C384" i="12"/>
  <c r="B519" i="12"/>
  <c r="B654" i="12" s="1"/>
  <c r="B517" i="12"/>
  <c r="C382" i="12"/>
  <c r="C475" i="12"/>
  <c r="B610" i="12"/>
  <c r="B498" i="12"/>
  <c r="C498" i="12" s="1"/>
  <c r="C363" i="12"/>
  <c r="B604" i="12"/>
  <c r="C469" i="12"/>
  <c r="B673" i="12"/>
  <c r="C538" i="12"/>
  <c r="A635" i="12"/>
  <c r="A770" i="12" s="1"/>
  <c r="A905" i="12" s="1"/>
  <c r="B656" i="12"/>
  <c r="C521" i="12"/>
  <c r="C357" i="12"/>
  <c r="I134" i="14"/>
  <c r="A173" i="14"/>
  <c r="B494" i="12"/>
  <c r="B623" i="12"/>
  <c r="C488" i="12"/>
  <c r="B748" i="12"/>
  <c r="B883" i="12" s="1"/>
  <c r="C613" i="12"/>
  <c r="B1566" i="12"/>
  <c r="B664" i="12"/>
  <c r="B772" i="12"/>
  <c r="C637" i="12"/>
  <c r="A790" i="12"/>
  <c r="C790" i="12" s="1"/>
  <c r="C655" i="12"/>
  <c r="A692" i="12"/>
  <c r="C126" i="14"/>
  <c r="H126" i="14"/>
  <c r="D126" i="14"/>
  <c r="B509" i="12"/>
  <c r="B644" i="12" s="1"/>
  <c r="C374" i="12"/>
  <c r="A626" i="12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C491" i="12"/>
  <c r="A564" i="12"/>
  <c r="B785" i="12"/>
  <c r="B431" i="12"/>
  <c r="C296" i="12"/>
  <c r="A261" i="14"/>
  <c r="B180" i="14"/>
  <c r="C180" i="14" s="1"/>
  <c r="G141" i="14"/>
  <c r="C141" i="14"/>
  <c r="I141" i="14"/>
  <c r="H141" i="14"/>
  <c r="D141" i="14"/>
  <c r="E141" i="14"/>
  <c r="F141" i="14"/>
  <c r="A2301" i="12"/>
  <c r="B1225" i="12"/>
  <c r="B612" i="12"/>
  <c r="B2256" i="12"/>
  <c r="B191" i="14"/>
  <c r="G152" i="14"/>
  <c r="D152" i="14"/>
  <c r="I152" i="14"/>
  <c r="H152" i="14"/>
  <c r="C152" i="14"/>
  <c r="E152" i="14"/>
  <c r="F152" i="14"/>
  <c r="B169" i="14"/>
  <c r="B208" i="14" s="1"/>
  <c r="B247" i="14" s="1"/>
  <c r="D154" i="14"/>
  <c r="D151" i="14"/>
  <c r="H151" i="14"/>
  <c r="I151" i="14"/>
  <c r="F151" i="14"/>
  <c r="G151" i="14"/>
  <c r="E151" i="14"/>
  <c r="A184" i="14"/>
  <c r="A2221" i="12"/>
  <c r="B435" i="12"/>
  <c r="C300" i="12"/>
  <c r="B556" i="12"/>
  <c r="B557" i="12"/>
  <c r="C422" i="12"/>
  <c r="C604" i="12"/>
  <c r="B739" i="12"/>
  <c r="C752" i="12"/>
  <c r="B773" i="12"/>
  <c r="B908" i="12" s="1"/>
  <c r="C638" i="12"/>
  <c r="A738" i="12"/>
  <c r="C603" i="12"/>
  <c r="B202" i="14"/>
  <c r="B241" i="14" s="1"/>
  <c r="B633" i="12"/>
  <c r="B768" i="12" s="1"/>
  <c r="B614" i="12"/>
  <c r="C479" i="12"/>
  <c r="C519" i="12"/>
  <c r="F168" i="14"/>
  <c r="H168" i="14"/>
  <c r="B572" i="12"/>
  <c r="C656" i="12"/>
  <c r="B791" i="12"/>
  <c r="B611" i="12"/>
  <c r="C476" i="12"/>
  <c r="C748" i="12"/>
  <c r="B907" i="12"/>
  <c r="C772" i="12"/>
  <c r="B566" i="12"/>
  <c r="C431" i="12"/>
  <c r="A699" i="12"/>
  <c r="B799" i="12"/>
  <c r="C664" i="12"/>
  <c r="A919" i="12"/>
  <c r="A925" i="12"/>
  <c r="B1701" i="12"/>
  <c r="A827" i="12"/>
  <c r="I180" i="14"/>
  <c r="F180" i="14"/>
  <c r="H180" i="14"/>
  <c r="D180" i="14"/>
  <c r="A212" i="14"/>
  <c r="B920" i="12"/>
  <c r="C509" i="12"/>
  <c r="B629" i="12"/>
  <c r="C629" i="12" s="1"/>
  <c r="C494" i="12"/>
  <c r="B230" i="14"/>
  <c r="D191" i="14"/>
  <c r="H191" i="14"/>
  <c r="F191" i="14"/>
  <c r="C191" i="14"/>
  <c r="I191" i="14"/>
  <c r="G191" i="14"/>
  <c r="A2356" i="12"/>
  <c r="A1464" i="12"/>
  <c r="A1599" i="12" s="1"/>
  <c r="A1734" i="12" s="1"/>
  <c r="A3500" i="12"/>
  <c r="A3635" i="12" s="1"/>
  <c r="A3770" i="12" s="1"/>
  <c r="A3905" i="12" s="1"/>
  <c r="A1393" i="12"/>
  <c r="A1528" i="12" s="1"/>
  <c r="A1663" i="12" s="1"/>
  <c r="A1798" i="12" s="1"/>
  <c r="A1933" i="12" s="1"/>
  <c r="A2068" i="12" s="1"/>
  <c r="A223" i="14"/>
  <c r="B1360" i="12"/>
  <c r="B229" i="14"/>
  <c r="G229" i="14" s="1"/>
  <c r="F190" i="14"/>
  <c r="C190" i="14"/>
  <c r="I190" i="14"/>
  <c r="H190" i="14"/>
  <c r="G190" i="14"/>
  <c r="D190" i="14"/>
  <c r="A2436" i="12"/>
  <c r="B692" i="12"/>
  <c r="C557" i="12"/>
  <c r="C633" i="12"/>
  <c r="C773" i="12"/>
  <c r="B735" i="12"/>
  <c r="C600" i="12"/>
  <c r="B926" i="12"/>
  <c r="B1061" i="12" s="1"/>
  <c r="C791" i="12"/>
  <c r="B874" i="12"/>
  <c r="C739" i="12"/>
  <c r="A861" i="12"/>
  <c r="A996" i="12" s="1"/>
  <c r="B749" i="12"/>
  <c r="C749" i="12" s="1"/>
  <c r="C614" i="12"/>
  <c r="A873" i="12"/>
  <c r="A1008" i="12" s="1"/>
  <c r="A1143" i="12" s="1"/>
  <c r="C738" i="12"/>
  <c r="B691" i="12"/>
  <c r="C556" i="12"/>
  <c r="B779" i="12"/>
  <c r="C644" i="12"/>
  <c r="B1836" i="12"/>
  <c r="B934" i="12"/>
  <c r="C799" i="12"/>
  <c r="A834" i="12"/>
  <c r="A969" i="12" s="1"/>
  <c r="A1104" i="12" s="1"/>
  <c r="A1239" i="12" s="1"/>
  <c r="A968" i="12"/>
  <c r="B701" i="12"/>
  <c r="C566" i="12"/>
  <c r="A962" i="12"/>
  <c r="A1060" i="12"/>
  <c r="C925" i="12"/>
  <c r="A1054" i="12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B1018" i="12"/>
  <c r="C883" i="12"/>
  <c r="B764" i="12"/>
  <c r="A251" i="14"/>
  <c r="A2491" i="12"/>
  <c r="A2834" i="12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B269" i="14"/>
  <c r="H269" i="14" s="1"/>
  <c r="I230" i="14"/>
  <c r="E230" i="14"/>
  <c r="C230" i="14"/>
  <c r="H230" i="14"/>
  <c r="D230" i="14"/>
  <c r="G230" i="14"/>
  <c r="A2571" i="12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262" i="14"/>
  <c r="B903" i="12"/>
  <c r="C768" i="12"/>
  <c r="A1040" i="12"/>
  <c r="A1175" i="12" s="1"/>
  <c r="A1310" i="12" s="1"/>
  <c r="B884" i="12"/>
  <c r="B827" i="12"/>
  <c r="C827" i="12" s="1"/>
  <c r="C692" i="12"/>
  <c r="A1097" i="12"/>
  <c r="A1103" i="12"/>
  <c r="A1195" i="12"/>
  <c r="C1060" i="12"/>
  <c r="B1971" i="12"/>
  <c r="B899" i="12"/>
  <c r="C899" i="12" s="1"/>
  <c r="C764" i="12"/>
  <c r="C1018" i="12"/>
  <c r="B1153" i="12"/>
  <c r="A2626" i="12"/>
  <c r="E269" i="14"/>
  <c r="I269" i="14"/>
  <c r="C269" i="14"/>
  <c r="D269" i="14"/>
  <c r="G269" i="14"/>
  <c r="A1131" i="12"/>
  <c r="A1266" i="12" s="1"/>
  <c r="A1401" i="12" s="1"/>
  <c r="C1061" i="12"/>
  <c r="B1196" i="12"/>
  <c r="B1019" i="12"/>
  <c r="C884" i="12"/>
  <c r="B962" i="12"/>
  <c r="C962" i="12" s="1"/>
  <c r="A1238" i="12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1316" i="12"/>
  <c r="A1232" i="12"/>
  <c r="B1034" i="12"/>
  <c r="A1869" i="12"/>
  <c r="A2761" i="12"/>
  <c r="A2896" i="12" s="1"/>
  <c r="A1278" i="12"/>
  <c r="B1154" i="12"/>
  <c r="C1019" i="12"/>
  <c r="B1097" i="12"/>
  <c r="B1169" i="12"/>
  <c r="C1034" i="12"/>
  <c r="A1451" i="12"/>
  <c r="A1367" i="12"/>
  <c r="A2918" i="12"/>
  <c r="A3053" i="12" s="1"/>
  <c r="A3188" i="12" s="1"/>
  <c r="A2004" i="12"/>
  <c r="A2139" i="12" s="1"/>
  <c r="A2274" i="12" s="1"/>
  <c r="A4040" i="12"/>
  <c r="B2680" i="12"/>
  <c r="B2815" i="12" s="1"/>
  <c r="A1445" i="12"/>
  <c r="A1580" i="12" s="1"/>
  <c r="B1232" i="12"/>
  <c r="C1097" i="12"/>
  <c r="B1289" i="12"/>
  <c r="C1154" i="12"/>
  <c r="A1413" i="12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1502" i="12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1586" i="12"/>
  <c r="A1521" i="12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1374" i="12"/>
  <c r="A1509" i="12" s="1"/>
  <c r="A1644" i="12" s="1"/>
  <c r="A1779" i="12" s="1"/>
  <c r="A1914" i="12" s="1"/>
  <c r="A3031" i="12"/>
  <c r="A3166" i="12" s="1"/>
  <c r="A4175" i="12"/>
  <c r="A4310" i="12" s="1"/>
  <c r="A4445" i="12" s="1"/>
  <c r="A4580" i="12" s="1"/>
  <c r="A4715" i="12" s="1"/>
  <c r="A4850" i="12" s="1"/>
  <c r="A4985" i="12" s="1"/>
  <c r="A5120" i="12" s="1"/>
  <c r="A5255" i="12" s="1"/>
  <c r="B1367" i="12"/>
  <c r="C1232" i="12"/>
  <c r="A1536" i="12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1721" i="12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3206" i="12" s="1"/>
  <c r="A3341" i="12" s="1"/>
  <c r="A3476" i="12" s="1"/>
  <c r="A3611" i="12" s="1"/>
  <c r="A3746" i="12" s="1"/>
  <c r="A3881" i="12" s="1"/>
  <c r="A2203" i="12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B1502" i="12"/>
  <c r="A1715" i="12"/>
  <c r="A1850" i="12" s="1"/>
  <c r="A1985" i="12" s="1"/>
  <c r="A2409" i="12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3323" i="12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3301" i="12"/>
  <c r="A3436" i="12" s="1"/>
  <c r="A3571" i="12" s="1"/>
  <c r="A3706" i="12" s="1"/>
  <c r="A3841" i="12" s="1"/>
  <c r="B1637" i="12"/>
  <c r="C1502" i="12"/>
  <c r="A2120" i="12"/>
  <c r="A2049" i="12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2255" i="12"/>
  <c r="A2390" i="12"/>
  <c r="A3976" i="12"/>
  <c r="A4111" i="12" s="1"/>
  <c r="A4246" i="12" s="1"/>
  <c r="A4381" i="12" s="1"/>
  <c r="A4516" i="12" s="1"/>
  <c r="A4651" i="12" s="1"/>
  <c r="A4786" i="12" s="1"/>
  <c r="A4921" i="12" s="1"/>
  <c r="A2525" i="12"/>
  <c r="A2660" i="12" s="1"/>
  <c r="A2795" i="12" s="1"/>
  <c r="A2516" i="12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2930" i="12"/>
  <c r="A3065" i="12" s="1"/>
  <c r="A3200" i="12" s="1"/>
  <c r="A3335" i="12" s="1"/>
  <c r="A3470" i="12" s="1"/>
  <c r="A3605" i="12" s="1"/>
  <c r="A2915" i="12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3168" i="12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5056" i="12"/>
  <c r="A5191" i="12" s="1"/>
  <c r="A4299" i="12"/>
  <c r="A4434" i="12" s="1"/>
  <c r="A4569" i="12" s="1"/>
  <c r="A3740" i="12"/>
  <c r="A3875" i="12" s="1"/>
  <c r="A4010" i="12" s="1"/>
  <c r="A4145" i="12" s="1"/>
  <c r="A4280" i="12" s="1"/>
  <c r="A4415" i="12" s="1"/>
  <c r="A4550" i="12" s="1"/>
  <c r="A4685" i="12" s="1"/>
  <c r="A4820" i="12" s="1"/>
  <c r="A3803" i="12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4363" i="12"/>
  <c r="A4498" i="12" s="1"/>
  <c r="A4633" i="12" s="1"/>
  <c r="A4768" i="12" s="1"/>
  <c r="A4903" i="12" s="1"/>
  <c r="A5038" i="12" s="1"/>
  <c r="A4016" i="12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3932" i="12"/>
  <c r="A4067" i="12" s="1"/>
  <c r="A4202" i="12" s="1"/>
  <c r="A4337" i="12" s="1"/>
  <c r="A4472" i="12" s="1"/>
  <c r="A4607" i="12" s="1"/>
  <c r="A4742" i="12" s="1"/>
  <c r="A4877" i="12" s="1"/>
  <c r="A4704" i="12"/>
  <c r="A4839" i="12"/>
  <c r="A4974" i="12" s="1"/>
  <c r="A5109" i="12" s="1"/>
  <c r="A5244" i="12" s="1"/>
  <c r="A5173" i="12"/>
  <c r="A4641" i="12"/>
  <c r="A4776" i="12" s="1"/>
  <c r="A4911" i="12" s="1"/>
  <c r="A5046" i="12" s="1"/>
  <c r="A5181" i="12" s="1"/>
  <c r="A4955" i="12"/>
  <c r="A5090" i="12" s="1"/>
  <c r="A5225" i="12" s="1"/>
  <c r="A5012" i="12"/>
  <c r="A5147" i="12" s="1"/>
  <c r="A5216" i="12"/>
  <c r="C1367" i="12" l="1"/>
  <c r="AN59" i="8"/>
  <c r="AO59" i="8" s="1"/>
  <c r="C651" i="12"/>
  <c r="C767" i="12"/>
  <c r="D74" i="14"/>
  <c r="H63" i="14"/>
  <c r="G58" i="14"/>
  <c r="H52" i="14"/>
  <c r="I46" i="14"/>
  <c r="AF82" i="32"/>
  <c r="AB82" i="32"/>
  <c r="W82" i="32"/>
  <c r="AM82" i="32"/>
  <c r="AJ84" i="17"/>
  <c r="AI84" i="17"/>
  <c r="AA84" i="17"/>
  <c r="R84" i="17"/>
  <c r="K84" i="17"/>
  <c r="C84" i="17"/>
  <c r="AN84" i="17"/>
  <c r="AG84" i="17"/>
  <c r="Y84" i="17"/>
  <c r="Q84" i="17"/>
  <c r="I84" i="17"/>
  <c r="AM84" i="17"/>
  <c r="AE84" i="17"/>
  <c r="AC84" i="17"/>
  <c r="W84" i="17"/>
  <c r="P84" i="17"/>
  <c r="H84" i="17"/>
  <c r="G84" i="17"/>
  <c r="O47" i="40"/>
  <c r="AN12" i="8"/>
  <c r="AO12" i="8" s="1"/>
  <c r="AN3" i="8"/>
  <c r="AP3" i="8" s="1"/>
  <c r="AN2" i="8"/>
  <c r="AO2" i="8" s="1"/>
  <c r="C348" i="12"/>
  <c r="C70" i="12"/>
  <c r="C192" i="12"/>
  <c r="C48" i="12"/>
  <c r="C182" i="12"/>
  <c r="C164" i="12"/>
  <c r="C695" i="12"/>
  <c r="C964" i="12"/>
  <c r="C276" i="12"/>
  <c r="C248" i="12"/>
  <c r="AV175" i="4"/>
  <c r="AW175" i="4" s="1"/>
  <c r="AV173" i="4"/>
  <c r="AV172" i="4"/>
  <c r="AV158" i="4"/>
  <c r="AV155" i="4"/>
  <c r="AV152" i="4"/>
  <c r="AX152" i="4" s="1"/>
  <c r="AV91" i="4"/>
  <c r="AV88" i="4"/>
  <c r="AW88" i="4" s="1"/>
  <c r="AV85" i="4"/>
  <c r="AW85" i="4" s="1"/>
  <c r="AV82" i="4"/>
  <c r="AW82" i="4" s="1"/>
  <c r="AV69" i="4"/>
  <c r="AX69" i="4" s="1"/>
  <c r="AV24" i="4"/>
  <c r="AV21" i="4"/>
  <c r="AX21" i="4" s="1"/>
  <c r="AV16" i="4"/>
  <c r="AX16" i="4" s="1"/>
  <c r="Z26" i="4"/>
  <c r="Z29" i="4"/>
  <c r="Z34" i="4"/>
  <c r="Z61" i="4"/>
  <c r="Z85" i="4"/>
  <c r="Z119" i="4"/>
  <c r="Z207" i="4"/>
  <c r="Z216" i="4"/>
  <c r="Z131" i="4"/>
  <c r="Z135" i="4"/>
  <c r="Z154" i="4"/>
  <c r="Z192" i="4"/>
  <c r="C400" i="12"/>
  <c r="C261" i="12"/>
  <c r="AL47" i="8"/>
  <c r="AN47" i="8" s="1"/>
  <c r="AL45" i="8"/>
  <c r="AN45" i="8" s="1"/>
  <c r="AL52" i="8"/>
  <c r="AN52" i="8" s="1"/>
  <c r="AL50" i="8"/>
  <c r="AN50" i="8" s="1"/>
  <c r="AL48" i="8"/>
  <c r="AN48" i="8" s="1"/>
  <c r="AL46" i="8"/>
  <c r="AN46" i="8" s="1"/>
  <c r="AL44" i="8"/>
  <c r="AN44" i="8" s="1"/>
  <c r="AL42" i="8"/>
  <c r="AN42" i="8" s="1"/>
  <c r="AL51" i="8"/>
  <c r="AN51" i="8" s="1"/>
  <c r="AL49" i="8"/>
  <c r="AN49" i="8" s="1"/>
  <c r="AL43" i="8"/>
  <c r="AN43" i="8" s="1"/>
  <c r="AL41" i="8"/>
  <c r="AN41" i="8" s="1"/>
  <c r="T231" i="28"/>
  <c r="V231" i="28" s="1"/>
  <c r="N1258" i="7"/>
  <c r="N1261" i="7"/>
  <c r="N1601" i="7"/>
  <c r="I612" i="7"/>
  <c r="I1253" i="7"/>
  <c r="I1266" i="7"/>
  <c r="I1274" i="7"/>
  <c r="I1590" i="7"/>
  <c r="I1594" i="7"/>
  <c r="N1248" i="7"/>
  <c r="N1590" i="7"/>
  <c r="N1594" i="7"/>
  <c r="C405" i="12"/>
  <c r="C926" i="12"/>
  <c r="AT194" i="4"/>
  <c r="Z196" i="4"/>
  <c r="Z199" i="4"/>
  <c r="AL18" i="8"/>
  <c r="AN18" i="8" s="1"/>
  <c r="F269" i="14"/>
  <c r="F230" i="14"/>
  <c r="F100" i="14"/>
  <c r="F95" i="14"/>
  <c r="F87" i="14"/>
  <c r="F85" i="14"/>
  <c r="F78" i="14"/>
  <c r="F72" i="14"/>
  <c r="F65" i="14"/>
  <c r="F62" i="14"/>
  <c r="F57" i="14"/>
  <c r="F56" i="14"/>
  <c r="AC17" i="16"/>
  <c r="F28" i="14"/>
  <c r="F25" i="14"/>
  <c r="X17" i="16"/>
  <c r="N17" i="16"/>
  <c r="F13" i="14"/>
  <c r="F12" i="14"/>
  <c r="F17" i="16"/>
  <c r="E13" i="18"/>
  <c r="AN13" i="18"/>
  <c r="X13" i="18"/>
  <c r="P13" i="18"/>
  <c r="H13" i="18"/>
  <c r="AA13" i="18"/>
  <c r="S13" i="18"/>
  <c r="K13" i="18"/>
  <c r="AL13" i="18"/>
  <c r="AD13" i="18"/>
  <c r="V13" i="18"/>
  <c r="N13" i="18"/>
  <c r="F13" i="18"/>
  <c r="AG13" i="18"/>
  <c r="Y13" i="18"/>
  <c r="Q13" i="18"/>
  <c r="T13" i="18"/>
  <c r="AT230" i="4"/>
  <c r="AT228" i="4"/>
  <c r="AT222" i="4"/>
  <c r="AT221" i="4"/>
  <c r="AT220" i="4"/>
  <c r="AT217" i="4"/>
  <c r="AV217" i="4" s="1"/>
  <c r="AX217" i="4" s="1"/>
  <c r="AL36" i="8"/>
  <c r="AK36" i="8"/>
  <c r="AL4" i="8"/>
  <c r="AN4" i="8" s="1"/>
  <c r="AK4" i="8"/>
  <c r="AL7" i="8"/>
  <c r="AN7" i="8" s="1"/>
  <c r="AO7" i="8" s="1"/>
  <c r="AK7" i="8"/>
  <c r="AL37" i="8"/>
  <c r="AN37" i="8" s="1"/>
  <c r="AP37" i="8" s="1"/>
  <c r="AK37" i="8"/>
  <c r="AL60" i="8"/>
  <c r="AN60" i="8" s="1"/>
  <c r="AO60" i="8" s="1"/>
  <c r="AK60" i="8"/>
  <c r="AL55" i="8"/>
  <c r="AN55" i="8" s="1"/>
  <c r="AP55" i="8" s="1"/>
  <c r="AV55" i="8" s="1"/>
  <c r="AK55" i="8"/>
  <c r="AK29" i="8"/>
  <c r="AL29" i="8"/>
  <c r="AN29" i="8" s="1"/>
  <c r="AP29" i="8" s="1"/>
  <c r="AK53" i="8"/>
  <c r="AL53" i="8"/>
  <c r="AN53" i="8" s="1"/>
  <c r="AO53" i="8" s="1"/>
  <c r="AK31" i="8"/>
  <c r="AL31" i="8"/>
  <c r="AN31" i="8" s="1"/>
  <c r="AK61" i="8"/>
  <c r="AL61" i="8"/>
  <c r="AN61" i="8" s="1"/>
  <c r="AP61" i="8" s="1"/>
  <c r="AL13" i="8"/>
  <c r="AN13" i="8" s="1"/>
  <c r="AP13" i="8" s="1"/>
  <c r="AV13" i="8" s="1"/>
  <c r="AK18" i="8"/>
  <c r="AL27" i="8"/>
  <c r="AN27" i="8" s="1"/>
  <c r="AP27" i="8" s="1"/>
  <c r="AK2" i="8"/>
  <c r="AK38" i="8"/>
  <c r="AL11" i="8"/>
  <c r="AN11" i="8" s="1"/>
  <c r="AK3" i="8"/>
  <c r="AL35" i="8"/>
  <c r="AN35" i="8" s="1"/>
  <c r="AO35" i="8" s="1"/>
  <c r="X187" i="4"/>
  <c r="Z187" i="4"/>
  <c r="AR195" i="4"/>
  <c r="AT195" i="4"/>
  <c r="AV195" i="4" s="1"/>
  <c r="AW195" i="4" s="1"/>
  <c r="AV189" i="4"/>
  <c r="AX189" i="4" s="1"/>
  <c r="AR69" i="4"/>
  <c r="S44" i="4"/>
  <c r="Z44" i="4"/>
  <c r="Q64" i="4"/>
  <c r="Z64" i="4"/>
  <c r="Z105" i="4"/>
  <c r="X105" i="4"/>
  <c r="Z116" i="4"/>
  <c r="X116" i="4"/>
  <c r="X126" i="4"/>
  <c r="Z126" i="4"/>
  <c r="S202" i="4"/>
  <c r="Q202" i="4"/>
  <c r="S211" i="4"/>
  <c r="Q211" i="4"/>
  <c r="Z211" i="4"/>
  <c r="S221" i="4"/>
  <c r="Q221" i="4"/>
  <c r="Z87" i="4"/>
  <c r="X119" i="4"/>
  <c r="X40" i="4"/>
  <c r="Z40" i="4"/>
  <c r="X202" i="4"/>
  <c r="Z202" i="4"/>
  <c r="AR164" i="4"/>
  <c r="AT164" i="4"/>
  <c r="AV164" i="4" s="1"/>
  <c r="AW164" i="4" s="1"/>
  <c r="S6" i="4"/>
  <c r="Q6" i="4"/>
  <c r="Z6" i="4"/>
  <c r="S49" i="4"/>
  <c r="Z49" i="4"/>
  <c r="Q49" i="4"/>
  <c r="Q65" i="4"/>
  <c r="S65" i="4"/>
  <c r="Q78" i="4"/>
  <c r="S78" i="4"/>
  <c r="X109" i="4"/>
  <c r="Z109" i="4"/>
  <c r="Q236" i="4"/>
  <c r="S236" i="4"/>
  <c r="AR234" i="4"/>
  <c r="AT234" i="4"/>
  <c r="AV234" i="4" s="1"/>
  <c r="AX234" i="4" s="1"/>
  <c r="S229" i="4"/>
  <c r="Q229" i="4"/>
  <c r="Z229" i="4"/>
  <c r="AV220" i="4"/>
  <c r="AX220" i="4" s="1"/>
  <c r="S106" i="4"/>
  <c r="AR203" i="4"/>
  <c r="AV119" i="4"/>
  <c r="AW119" i="4" s="1"/>
  <c r="S212" i="4"/>
  <c r="AT62" i="4"/>
  <c r="AV62" i="4" s="1"/>
  <c r="AX62" i="4" s="1"/>
  <c r="AR62" i="4"/>
  <c r="AT54" i="4"/>
  <c r="AV54" i="4" s="1"/>
  <c r="AX54" i="4" s="1"/>
  <c r="AR54" i="4"/>
  <c r="AR16" i="4"/>
  <c r="AT6" i="4"/>
  <c r="AV6" i="4" s="1"/>
  <c r="AW6" i="4" s="1"/>
  <c r="AR6" i="4"/>
  <c r="Q10" i="4"/>
  <c r="S10" i="4"/>
  <c r="Z17" i="4"/>
  <c r="S17" i="4"/>
  <c r="Q17" i="4"/>
  <c r="X20" i="4"/>
  <c r="Z20" i="4"/>
  <c r="S38" i="4"/>
  <c r="AR217" i="4"/>
  <c r="AT183" i="4"/>
  <c r="AV183" i="4" s="1"/>
  <c r="AX183" i="4" s="1"/>
  <c r="AR183" i="4"/>
  <c r="S140" i="4"/>
  <c r="Q140" i="4"/>
  <c r="S163" i="4"/>
  <c r="Z163" i="4"/>
  <c r="Z177" i="4"/>
  <c r="AR99" i="4"/>
  <c r="AT99" i="4"/>
  <c r="AV99" i="4" s="1"/>
  <c r="AW99" i="4" s="1"/>
  <c r="AV73" i="4"/>
  <c r="AW73" i="4" s="1"/>
  <c r="X205" i="4"/>
  <c r="Z205" i="4"/>
  <c r="AR205" i="4"/>
  <c r="AR94" i="4"/>
  <c r="AT94" i="4"/>
  <c r="AV94" i="4" s="1"/>
  <c r="AW94" i="4" s="1"/>
  <c r="Q58" i="4"/>
  <c r="S58" i="4"/>
  <c r="Z58" i="4"/>
  <c r="Z122" i="4"/>
  <c r="X122" i="4"/>
  <c r="AT105" i="4"/>
  <c r="AV105" i="4" s="1"/>
  <c r="AX105" i="4" s="1"/>
  <c r="AR105" i="4"/>
  <c r="X99" i="4"/>
  <c r="Z99" i="4"/>
  <c r="S113" i="4"/>
  <c r="Q113" i="4"/>
  <c r="Z140" i="4"/>
  <c r="Q152" i="4"/>
  <c r="AT3" i="4"/>
  <c r="AV3" i="4" s="1"/>
  <c r="AW3" i="4" s="1"/>
  <c r="AR3" i="4"/>
  <c r="Q20" i="4"/>
  <c r="S20" i="4"/>
  <c r="S41" i="4"/>
  <c r="Q41" i="4"/>
  <c r="X74" i="4"/>
  <c r="Z74" i="4"/>
  <c r="X96" i="4"/>
  <c r="Z96" i="4"/>
  <c r="AR136" i="4"/>
  <c r="Z41" i="4"/>
  <c r="Z80" i="4"/>
  <c r="S68" i="4"/>
  <c r="AT145" i="4"/>
  <c r="AV145" i="4" s="1"/>
  <c r="AX145" i="4" s="1"/>
  <c r="AV162" i="4"/>
  <c r="AW162" i="4" s="1"/>
  <c r="AT48" i="4"/>
  <c r="AV48" i="4" s="1"/>
  <c r="AW48" i="4" s="1"/>
  <c r="AR48" i="4"/>
  <c r="AT39" i="4"/>
  <c r="AV39" i="4" s="1"/>
  <c r="AW39" i="4" s="1"/>
  <c r="AR39" i="4"/>
  <c r="AT33" i="4"/>
  <c r="AV33" i="4" s="1"/>
  <c r="AX33" i="4" s="1"/>
  <c r="AR33" i="4"/>
  <c r="AV30" i="4"/>
  <c r="AW30" i="4" s="1"/>
  <c r="AT9" i="4"/>
  <c r="AV9" i="4" s="1"/>
  <c r="AW9" i="4" s="1"/>
  <c r="AR9" i="4"/>
  <c r="Q3" i="4"/>
  <c r="S3" i="4"/>
  <c r="X13" i="4"/>
  <c r="Z13" i="4"/>
  <c r="Q21" i="4"/>
  <c r="S21" i="4"/>
  <c r="S27" i="4"/>
  <c r="Z27" i="4"/>
  <c r="X30" i="4"/>
  <c r="Z30" i="4"/>
  <c r="X132" i="4"/>
  <c r="Z132" i="4"/>
  <c r="S158" i="4"/>
  <c r="Q158" i="4"/>
  <c r="S173" i="4"/>
  <c r="Q173" i="4"/>
  <c r="X186" i="4"/>
  <c r="Z186" i="4"/>
  <c r="Z194" i="4"/>
  <c r="S194" i="4"/>
  <c r="AR180" i="4"/>
  <c r="AT180" i="4"/>
  <c r="AV180" i="4" s="1"/>
  <c r="AW180" i="4" s="1"/>
  <c r="AT78" i="4"/>
  <c r="AV78" i="4" s="1"/>
  <c r="AX78" i="4" s="1"/>
  <c r="AR78" i="4"/>
  <c r="Q144" i="4"/>
  <c r="S144" i="4"/>
  <c r="Q155" i="4"/>
  <c r="S155" i="4"/>
  <c r="Q174" i="4"/>
  <c r="S174" i="4"/>
  <c r="Z155" i="4"/>
  <c r="AV186" i="4"/>
  <c r="AX186" i="4" s="1"/>
  <c r="X212" i="4"/>
  <c r="Z212" i="4"/>
  <c r="X221" i="4"/>
  <c r="Z221" i="4"/>
  <c r="Q163" i="4"/>
  <c r="AR147" i="4"/>
  <c r="AT147" i="4"/>
  <c r="AV147" i="4" s="1"/>
  <c r="AX147" i="4" s="1"/>
  <c r="AR102" i="4"/>
  <c r="AT102" i="4"/>
  <c r="AV102" i="4" s="1"/>
  <c r="AX102" i="4" s="1"/>
  <c r="AR76" i="4"/>
  <c r="AT76" i="4"/>
  <c r="AV76" i="4" s="1"/>
  <c r="AX76" i="4" s="1"/>
  <c r="Q48" i="4"/>
  <c r="S48" i="4"/>
  <c r="Z48" i="4"/>
  <c r="X91" i="4"/>
  <c r="Z91" i="4"/>
  <c r="X112" i="4"/>
  <c r="Z112" i="4"/>
  <c r="X215" i="4"/>
  <c r="Z215" i="4"/>
  <c r="AR186" i="4"/>
  <c r="AR91" i="4"/>
  <c r="AV136" i="4"/>
  <c r="AW136" i="4" s="1"/>
  <c r="AR113" i="4"/>
  <c r="AT113" i="4"/>
  <c r="AV113" i="4" s="1"/>
  <c r="AX113" i="4" s="1"/>
  <c r="AR97" i="4"/>
  <c r="AT97" i="4"/>
  <c r="AV97" i="4" s="1"/>
  <c r="AW97" i="4" s="1"/>
  <c r="AV79" i="4"/>
  <c r="AX79" i="4" s="1"/>
  <c r="S96" i="4"/>
  <c r="Q96" i="4"/>
  <c r="Z208" i="4"/>
  <c r="Q208" i="4"/>
  <c r="X236" i="4"/>
  <c r="Z236" i="4"/>
  <c r="AR232" i="4"/>
  <c r="AT232" i="4"/>
  <c r="AV232" i="4" s="1"/>
  <c r="AX232" i="4" s="1"/>
  <c r="Q44" i="4"/>
  <c r="AT100" i="4"/>
  <c r="AV100" i="4" s="1"/>
  <c r="AX100" i="4" s="1"/>
  <c r="AR100" i="4"/>
  <c r="S2" i="4"/>
  <c r="Q2" i="4"/>
  <c r="Z2" i="4"/>
  <c r="X37" i="4"/>
  <c r="Z37" i="4"/>
  <c r="S52" i="4"/>
  <c r="Q52" i="4"/>
  <c r="Q71" i="4"/>
  <c r="S71" i="4"/>
  <c r="X88" i="4"/>
  <c r="Z88" i="4"/>
  <c r="X113" i="4"/>
  <c r="Z113" i="4"/>
  <c r="AV139" i="4"/>
  <c r="AX139" i="4" s="1"/>
  <c r="Z65" i="4"/>
  <c r="AT213" i="4"/>
  <c r="AV213" i="4" s="1"/>
  <c r="AX213" i="4" s="1"/>
  <c r="AT41" i="4"/>
  <c r="AV41" i="4" s="1"/>
  <c r="AW41" i="4" s="1"/>
  <c r="Z16" i="4"/>
  <c r="AV36" i="4"/>
  <c r="AW36" i="4" s="1"/>
  <c r="S64" i="4"/>
  <c r="Z73" i="4"/>
  <c r="AR108" i="4"/>
  <c r="AT233" i="4"/>
  <c r="AV233" i="4" s="1"/>
  <c r="AW233" i="4" s="1"/>
  <c r="AT208" i="4"/>
  <c r="AV208" i="4" s="1"/>
  <c r="AX208" i="4" s="1"/>
  <c r="AR208" i="4"/>
  <c r="AR188" i="4"/>
  <c r="AT188" i="4"/>
  <c r="AV188" i="4" s="1"/>
  <c r="AX188" i="4" s="1"/>
  <c r="AR177" i="4"/>
  <c r="AR174" i="4"/>
  <c r="AT174" i="4"/>
  <c r="AR75" i="4"/>
  <c r="AT75" i="4"/>
  <c r="AV75" i="4" s="1"/>
  <c r="AX75" i="4" s="1"/>
  <c r="AT72" i="4"/>
  <c r="AV72" i="4" s="1"/>
  <c r="AX72" i="4" s="1"/>
  <c r="AV45" i="4"/>
  <c r="AX45" i="4" s="1"/>
  <c r="Z24" i="4"/>
  <c r="S129" i="4"/>
  <c r="Q129" i="4"/>
  <c r="Z129" i="4"/>
  <c r="X151" i="4"/>
  <c r="Z151" i="4"/>
  <c r="X158" i="4"/>
  <c r="Z158" i="4"/>
  <c r="X166" i="4"/>
  <c r="Z166" i="4"/>
  <c r="X173" i="4"/>
  <c r="Z173" i="4"/>
  <c r="AV192" i="4"/>
  <c r="AW192" i="4" s="1"/>
  <c r="S85" i="4"/>
  <c r="Q85" i="4"/>
  <c r="Z144" i="4"/>
  <c r="AV106" i="4"/>
  <c r="AW106" i="4" s="1"/>
  <c r="AV34" i="4"/>
  <c r="AX34" i="4" s="1"/>
  <c r="Z214" i="4"/>
  <c r="X214" i="4"/>
  <c r="S153" i="4"/>
  <c r="Z153" i="4"/>
  <c r="Z82" i="4"/>
  <c r="Z127" i="4"/>
  <c r="Z3" i="4"/>
  <c r="AV46" i="4"/>
  <c r="AW46" i="4" s="1"/>
  <c r="AV112" i="4"/>
  <c r="AX112" i="4" s="1"/>
  <c r="AV89" i="4"/>
  <c r="AW89" i="4" s="1"/>
  <c r="AV66" i="4"/>
  <c r="AW66" i="4" s="1"/>
  <c r="S62" i="4"/>
  <c r="Q79" i="4"/>
  <c r="AV153" i="4"/>
  <c r="AW153" i="4" s="1"/>
  <c r="Z152" i="4"/>
  <c r="Z93" i="4"/>
  <c r="Z203" i="4"/>
  <c r="X196" i="4"/>
  <c r="Q56" i="4"/>
  <c r="AR64" i="4"/>
  <c r="Z62" i="4"/>
  <c r="AV80" i="4"/>
  <c r="AX80" i="4" s="1"/>
  <c r="AV227" i="4"/>
  <c r="AW227" i="4" s="1"/>
  <c r="AR137" i="4"/>
  <c r="Q89" i="4"/>
  <c r="AV216" i="4"/>
  <c r="AR187" i="4"/>
  <c r="AT187" i="4"/>
  <c r="AV187" i="4" s="1"/>
  <c r="AX187" i="4" s="1"/>
  <c r="AT101" i="4"/>
  <c r="AV101" i="4" s="1"/>
  <c r="AW101" i="4" s="1"/>
  <c r="AR101" i="4"/>
  <c r="AR10" i="4"/>
  <c r="AT10" i="4"/>
  <c r="AV10" i="4" s="1"/>
  <c r="AW10" i="4" s="1"/>
  <c r="AV2" i="4"/>
  <c r="AW2" i="4" s="1"/>
  <c r="S43" i="4"/>
  <c r="Q43" i="4"/>
  <c r="X46" i="4"/>
  <c r="Z46" i="4"/>
  <c r="S204" i="4"/>
  <c r="Q204" i="4"/>
  <c r="Z171" i="4"/>
  <c r="AV194" i="4"/>
  <c r="AW194" i="4" s="1"/>
  <c r="S226" i="4"/>
  <c r="AR236" i="4"/>
  <c r="AT236" i="4"/>
  <c r="AV236" i="4" s="1"/>
  <c r="AX236" i="4" s="1"/>
  <c r="AV230" i="4"/>
  <c r="AW230" i="4" s="1"/>
  <c r="AV225" i="4"/>
  <c r="AW225" i="4" s="1"/>
  <c r="AV42" i="4"/>
  <c r="AW42" i="4" s="1"/>
  <c r="Z10" i="4"/>
  <c r="X52" i="4"/>
  <c r="Z52" i="4"/>
  <c r="X78" i="4"/>
  <c r="Z78" i="4"/>
  <c r="Z167" i="4"/>
  <c r="AV140" i="4"/>
  <c r="AW140" i="4" s="1"/>
  <c r="AV156" i="4"/>
  <c r="AX156" i="4" s="1"/>
  <c r="AV143" i="4"/>
  <c r="AW143" i="4" s="1"/>
  <c r="AR125" i="4"/>
  <c r="AT125" i="4"/>
  <c r="AV125" i="4" s="1"/>
  <c r="AW125" i="4" s="1"/>
  <c r="AV55" i="4"/>
  <c r="AX55" i="4" s="1"/>
  <c r="AR7" i="4"/>
  <c r="AT7" i="4"/>
  <c r="AV7" i="4" s="1"/>
  <c r="AX7" i="4" s="1"/>
  <c r="Q175" i="4"/>
  <c r="S175" i="4"/>
  <c r="Z175" i="4"/>
  <c r="AR55" i="4"/>
  <c r="AT28" i="4"/>
  <c r="AV28" i="4" s="1"/>
  <c r="AX28" i="4" s="1"/>
  <c r="S93" i="4"/>
  <c r="AV5" i="4"/>
  <c r="AW5" i="4" s="1"/>
  <c r="Z55" i="4"/>
  <c r="Z89" i="4"/>
  <c r="AR176" i="4"/>
  <c r="AV169" i="4"/>
  <c r="AW169" i="4" s="1"/>
  <c r="AV149" i="4"/>
  <c r="AX149" i="4" s="1"/>
  <c r="AV50" i="4"/>
  <c r="AX50" i="4" s="1"/>
  <c r="S23" i="4"/>
  <c r="Q23" i="4"/>
  <c r="Z128" i="4"/>
  <c r="S157" i="4"/>
  <c r="Q157" i="4"/>
  <c r="S192" i="4"/>
  <c r="Q192" i="4"/>
  <c r="Z224" i="4"/>
  <c r="S224" i="4"/>
  <c r="AV197" i="4"/>
  <c r="AW197" i="4" s="1"/>
  <c r="AV4" i="4"/>
  <c r="AW4" i="4" s="1"/>
  <c r="S171" i="4"/>
  <c r="Q171" i="4"/>
  <c r="AV114" i="4"/>
  <c r="AW114" i="4" s="1"/>
  <c r="AR103" i="4"/>
  <c r="Z100" i="4"/>
  <c r="AV151" i="4"/>
  <c r="AW151" i="4" s="1"/>
  <c r="AT17" i="4"/>
  <c r="AV17" i="4" s="1"/>
  <c r="AW17" i="4" s="1"/>
  <c r="AR17" i="4"/>
  <c r="Q11" i="4"/>
  <c r="Z11" i="4"/>
  <c r="S11" i="4"/>
  <c r="X137" i="4"/>
  <c r="Z137" i="4"/>
  <c r="AV228" i="4"/>
  <c r="AX228" i="4" s="1"/>
  <c r="AV171" i="4"/>
  <c r="AX171" i="4" s="1"/>
  <c r="Q141" i="4"/>
  <c r="AV135" i="4"/>
  <c r="AX135" i="4" s="1"/>
  <c r="AV190" i="4"/>
  <c r="AX190" i="4" s="1"/>
  <c r="AV104" i="4"/>
  <c r="AX104" i="4" s="1"/>
  <c r="Z123" i="4"/>
  <c r="AV120" i="4"/>
  <c r="AW120" i="4" s="1"/>
  <c r="AV207" i="4"/>
  <c r="AX207" i="4" s="1"/>
  <c r="AV40" i="4"/>
  <c r="AW40" i="4" s="1"/>
  <c r="AV83" i="4"/>
  <c r="AX83" i="4" s="1"/>
  <c r="S79" i="4"/>
  <c r="AV210" i="4"/>
  <c r="AX210" i="4" s="1"/>
  <c r="AT22" i="4"/>
  <c r="AV22" i="4" s="1"/>
  <c r="AW22" i="4" s="1"/>
  <c r="Z4" i="4"/>
  <c r="AV37" i="4"/>
  <c r="AW37" i="4" s="1"/>
  <c r="Q203" i="4"/>
  <c r="AT111" i="4"/>
  <c r="AV111" i="4" s="1"/>
  <c r="AW111" i="4" s="1"/>
  <c r="AT185" i="4"/>
  <c r="AV185" i="4" s="1"/>
  <c r="AW185" i="4" s="1"/>
  <c r="AR185" i="4"/>
  <c r="AV176" i="4"/>
  <c r="AX176" i="4" s="1"/>
  <c r="AT26" i="4"/>
  <c r="AV26" i="4" s="1"/>
  <c r="AX26" i="4" s="1"/>
  <c r="AR26" i="4"/>
  <c r="S9" i="4"/>
  <c r="Q9" i="4"/>
  <c r="S37" i="4"/>
  <c r="Q37" i="4"/>
  <c r="S186" i="4"/>
  <c r="Q186" i="4"/>
  <c r="AT200" i="4"/>
  <c r="AV200" i="4" s="1"/>
  <c r="AX200" i="4" s="1"/>
  <c r="AR200" i="4"/>
  <c r="Z232" i="4"/>
  <c r="AR231" i="4"/>
  <c r="AT231" i="4"/>
  <c r="AV231" i="4" s="1"/>
  <c r="AW231" i="4" s="1"/>
  <c r="AV222" i="4"/>
  <c r="AX222" i="4" s="1"/>
  <c r="AV118" i="4"/>
  <c r="AX118" i="4" s="1"/>
  <c r="AV178" i="4"/>
  <c r="AX178" i="4" s="1"/>
  <c r="AV60" i="4"/>
  <c r="AX60" i="4" s="1"/>
  <c r="AV223" i="4"/>
  <c r="AX223" i="4" s="1"/>
  <c r="AV159" i="4"/>
  <c r="AW159" i="4" s="1"/>
  <c r="AV129" i="4"/>
  <c r="AW129" i="4" s="1"/>
  <c r="AV117" i="4"/>
  <c r="AX117" i="4" s="1"/>
  <c r="AV86" i="4"/>
  <c r="AW86" i="4" s="1"/>
  <c r="AV144" i="4"/>
  <c r="AW144" i="4" s="1"/>
  <c r="AV165" i="4"/>
  <c r="AW165" i="4" s="1"/>
  <c r="AV182" i="4"/>
  <c r="AW182" i="4" s="1"/>
  <c r="AV166" i="4"/>
  <c r="AW166" i="4" s="1"/>
  <c r="AV154" i="4"/>
  <c r="AX154" i="4" s="1"/>
  <c r="Z222" i="4"/>
  <c r="AL54" i="8"/>
  <c r="AN54" i="8" s="1"/>
  <c r="AO54" i="8" s="1"/>
  <c r="AK54" i="8"/>
  <c r="I17" i="16"/>
  <c r="AF17" i="16"/>
  <c r="F52" i="14"/>
  <c r="B1063" i="12"/>
  <c r="C928" i="12"/>
  <c r="B2950" i="12"/>
  <c r="B590" i="12"/>
  <c r="C455" i="12"/>
  <c r="C731" i="12"/>
  <c r="B866" i="12"/>
  <c r="AL20" i="8"/>
  <c r="AN20" i="8" s="1"/>
  <c r="AP20" i="8" s="1"/>
  <c r="AK20" i="8"/>
  <c r="B2391" i="12"/>
  <c r="A199" i="14"/>
  <c r="H135" i="14"/>
  <c r="D135" i="14"/>
  <c r="F135" i="14"/>
  <c r="E135" i="14"/>
  <c r="A174" i="14"/>
  <c r="I135" i="14"/>
  <c r="G135" i="14"/>
  <c r="C135" i="14"/>
  <c r="AK24" i="8"/>
  <c r="AL24" i="8"/>
  <c r="AN24" i="8" s="1"/>
  <c r="AP24" i="8" s="1"/>
  <c r="AK34" i="8"/>
  <c r="AL34" i="8"/>
  <c r="AN34" i="8" s="1"/>
  <c r="AP34" i="8" s="1"/>
  <c r="B350" i="12"/>
  <c r="C215" i="12"/>
  <c r="B569" i="12"/>
  <c r="C434" i="12"/>
  <c r="G2" i="16"/>
  <c r="F7" i="14" s="1"/>
  <c r="G49" i="16"/>
  <c r="AI13" i="18"/>
  <c r="E191" i="14"/>
  <c r="E87" i="14"/>
  <c r="I13" i="18"/>
  <c r="L13" i="18"/>
  <c r="E51" i="14"/>
  <c r="AE13" i="18"/>
  <c r="E31" i="14"/>
  <c r="E23" i="14"/>
  <c r="W13" i="18"/>
  <c r="O13" i="18"/>
  <c r="E15" i="14"/>
  <c r="Y59" i="28"/>
  <c r="T59" i="28"/>
  <c r="V59" i="28" s="1"/>
  <c r="W59" i="28" s="1"/>
  <c r="A218" i="14"/>
  <c r="B525" i="12"/>
  <c r="C390" i="12"/>
  <c r="AK100" i="18"/>
  <c r="AK46" i="16"/>
  <c r="AK49" i="16" s="1"/>
  <c r="E46" i="16"/>
  <c r="E49" i="16" s="1"/>
  <c r="E100" i="18"/>
  <c r="AN7" i="16"/>
  <c r="AN17" i="16" s="1"/>
  <c r="AN49" i="16"/>
  <c r="AA3" i="16"/>
  <c r="AA17" i="16" s="1"/>
  <c r="AA49" i="16"/>
  <c r="F61" i="14"/>
  <c r="V17" i="16"/>
  <c r="Z219" i="4"/>
  <c r="X219" i="4"/>
  <c r="Q218" i="4"/>
  <c r="Z218" i="4"/>
  <c r="Y75" i="28"/>
  <c r="T75" i="28"/>
  <c r="V75" i="28" s="1"/>
  <c r="X75" i="28" s="1"/>
  <c r="Y69" i="28"/>
  <c r="T69" i="28"/>
  <c r="V69" i="28" s="1"/>
  <c r="X69" i="28" s="1"/>
  <c r="Y41" i="28"/>
  <c r="T41" i="28"/>
  <c r="V41" i="28" s="1"/>
  <c r="W41" i="28" s="1"/>
  <c r="B2106" i="12"/>
  <c r="B914" i="12"/>
  <c r="C779" i="12"/>
  <c r="B1495" i="12"/>
  <c r="A210" i="14"/>
  <c r="H171" i="14"/>
  <c r="D171" i="14"/>
  <c r="C171" i="14"/>
  <c r="I171" i="14"/>
  <c r="E171" i="14"/>
  <c r="F171" i="14"/>
  <c r="G171" i="14"/>
  <c r="A123" i="14"/>
  <c r="B582" i="12"/>
  <c r="C447" i="12"/>
  <c r="C908" i="12"/>
  <c r="B1043" i="12"/>
  <c r="B745" i="12"/>
  <c r="C610" i="12"/>
  <c r="C776" i="12"/>
  <c r="B911" i="12"/>
  <c r="B1772" i="12"/>
  <c r="C1637" i="12"/>
  <c r="B1055" i="12"/>
  <c r="B642" i="12"/>
  <c r="C507" i="12"/>
  <c r="C691" i="12"/>
  <c r="B826" i="12"/>
  <c r="C150" i="12"/>
  <c r="B285" i="12"/>
  <c r="B639" i="12"/>
  <c r="C504" i="12"/>
  <c r="B1331" i="12"/>
  <c r="C1196" i="12"/>
  <c r="C907" i="12"/>
  <c r="B1042" i="12"/>
  <c r="B789" i="12"/>
  <c r="C654" i="12"/>
  <c r="C438" i="12"/>
  <c r="B573" i="12"/>
  <c r="C771" i="12"/>
  <c r="A906" i="12"/>
  <c r="A195" i="14"/>
  <c r="Y25" i="33"/>
  <c r="Y82" i="32"/>
  <c r="X33" i="33"/>
  <c r="AG82" i="32"/>
  <c r="AL15" i="8"/>
  <c r="AN15" i="8" s="1"/>
  <c r="AP15" i="8" s="1"/>
  <c r="AK15" i="8"/>
  <c r="Z226" i="4"/>
  <c r="X226" i="4"/>
  <c r="Y60" i="28"/>
  <c r="T60" i="28"/>
  <c r="V60" i="28" s="1"/>
  <c r="W60" i="28" s="1"/>
  <c r="Y43" i="28"/>
  <c r="T43" i="28"/>
  <c r="V43" i="28" s="1"/>
  <c r="X43" i="28" s="1"/>
  <c r="Y32" i="28"/>
  <c r="T32" i="28"/>
  <c r="V32" i="28" s="1"/>
  <c r="W32" i="28" s="1"/>
  <c r="B544" i="12"/>
  <c r="C409" i="12"/>
  <c r="B672" i="12"/>
  <c r="C537" i="12"/>
  <c r="E75" i="14"/>
  <c r="AJ13" i="18"/>
  <c r="E67" i="14"/>
  <c r="AB13" i="18"/>
  <c r="AM13" i="18"/>
  <c r="E39" i="14"/>
  <c r="G13" i="18"/>
  <c r="E7" i="14"/>
  <c r="I229" i="14"/>
  <c r="C229" i="14"/>
  <c r="E229" i="14"/>
  <c r="H229" i="14"/>
  <c r="B268" i="14"/>
  <c r="F229" i="14"/>
  <c r="D229" i="14"/>
  <c r="B1288" i="12"/>
  <c r="C1153" i="12"/>
  <c r="B1038" i="12"/>
  <c r="C903" i="12"/>
  <c r="A1022" i="12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B578" i="12"/>
  <c r="C443" i="12"/>
  <c r="B706" i="12"/>
  <c r="C571" i="12"/>
  <c r="B401" i="12"/>
  <c r="C266" i="12"/>
  <c r="B1234" i="12"/>
  <c r="C1099" i="12"/>
  <c r="B746" i="12"/>
  <c r="C611" i="12"/>
  <c r="B747" i="12"/>
  <c r="C612" i="12"/>
  <c r="B487" i="12"/>
  <c r="C352" i="12"/>
  <c r="C288" i="12"/>
  <c r="B423" i="12"/>
  <c r="I116" i="14"/>
  <c r="B155" i="14"/>
  <c r="B194" i="14" s="1"/>
  <c r="B233" i="14" s="1"/>
  <c r="B272" i="14" s="1"/>
  <c r="A486" i="12"/>
  <c r="C351" i="12"/>
  <c r="Y20" i="33"/>
  <c r="T82" i="32"/>
  <c r="AK5" i="8"/>
  <c r="AL5" i="8"/>
  <c r="AN5" i="8" s="1"/>
  <c r="AO5" i="8" s="1"/>
  <c r="B214" i="12"/>
  <c r="C79" i="12"/>
  <c r="B591" i="12"/>
  <c r="C456" i="12"/>
  <c r="A522" i="12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C387" i="12"/>
  <c r="C874" i="12"/>
  <c r="B1009" i="12"/>
  <c r="B870" i="12"/>
  <c r="C735" i="12"/>
  <c r="C435" i="12"/>
  <c r="B570" i="12"/>
  <c r="B178" i="14"/>
  <c r="H139" i="14"/>
  <c r="C139" i="14"/>
  <c r="E139" i="14"/>
  <c r="B674" i="12"/>
  <c r="C539" i="12"/>
  <c r="AV221" i="4"/>
  <c r="AX221" i="4" s="1"/>
  <c r="AV229" i="4"/>
  <c r="AX229" i="4" s="1"/>
  <c r="B1378" i="12"/>
  <c r="B207" i="14"/>
  <c r="B246" i="14" s="1"/>
  <c r="I168" i="14"/>
  <c r="G168" i="14"/>
  <c r="C168" i="14"/>
  <c r="AL23" i="8"/>
  <c r="AN23" i="8" s="1"/>
  <c r="AO23" i="8" s="1"/>
  <c r="AK23" i="8"/>
  <c r="AT160" i="4"/>
  <c r="AV160" i="4" s="1"/>
  <c r="AW160" i="4" s="1"/>
  <c r="AR160" i="4"/>
  <c r="AT133" i="4"/>
  <c r="AV133" i="4" s="1"/>
  <c r="AX133" i="4" s="1"/>
  <c r="AR133" i="4"/>
  <c r="AT130" i="4"/>
  <c r="AV130" i="4" s="1"/>
  <c r="AW130" i="4" s="1"/>
  <c r="AR130" i="4"/>
  <c r="AR81" i="4"/>
  <c r="AT81" i="4"/>
  <c r="AV81" i="4" s="1"/>
  <c r="AW81" i="4" s="1"/>
  <c r="AR61" i="4"/>
  <c r="AT61" i="4"/>
  <c r="AV61" i="4" s="1"/>
  <c r="AX61" i="4" s="1"/>
  <c r="S92" i="4"/>
  <c r="Q92" i="4"/>
  <c r="B1424" i="12"/>
  <c r="C1289" i="12"/>
  <c r="B758" i="12"/>
  <c r="C623" i="12"/>
  <c r="B652" i="12"/>
  <c r="C517" i="12"/>
  <c r="C354" i="12"/>
  <c r="B489" i="12"/>
  <c r="AV226" i="4"/>
  <c r="AW226" i="4" s="1"/>
  <c r="AV237" i="4"/>
  <c r="AW237" i="4" s="1"/>
  <c r="B665" i="12"/>
  <c r="C530" i="12"/>
  <c r="X24" i="33"/>
  <c r="X82" i="32"/>
  <c r="Y95" i="28"/>
  <c r="T95" i="28"/>
  <c r="V95" i="28" s="1"/>
  <c r="X95" i="28" s="1"/>
  <c r="AT191" i="4"/>
  <c r="AV191" i="4" s="1"/>
  <c r="AW191" i="4" s="1"/>
  <c r="AR191" i="4"/>
  <c r="B1304" i="12"/>
  <c r="C1169" i="12"/>
  <c r="B563" i="12"/>
  <c r="C428" i="12"/>
  <c r="A685" i="12"/>
  <c r="C550" i="12"/>
  <c r="C527" i="12"/>
  <c r="B662" i="12"/>
  <c r="B414" i="12"/>
  <c r="C279" i="12"/>
  <c r="B173" i="14"/>
  <c r="F134" i="14"/>
  <c r="H134" i="14"/>
  <c r="C134" i="14"/>
  <c r="E134" i="14"/>
  <c r="D134" i="14"/>
  <c r="B761" i="12"/>
  <c r="C626" i="12"/>
  <c r="B235" i="12"/>
  <c r="C100" i="12"/>
  <c r="C465" i="12"/>
  <c r="B714" i="12"/>
  <c r="C579" i="12"/>
  <c r="I111" i="14"/>
  <c r="E111" i="14"/>
  <c r="A150" i="14"/>
  <c r="F111" i="14"/>
  <c r="D111" i="14"/>
  <c r="A235" i="14"/>
  <c r="B306" i="12"/>
  <c r="C171" i="12"/>
  <c r="B900" i="12"/>
  <c r="C240" i="12"/>
  <c r="B375" i="12"/>
  <c r="Q148" i="4"/>
  <c r="Z148" i="4"/>
  <c r="S148" i="4"/>
  <c r="Q164" i="4"/>
  <c r="S164" i="4"/>
  <c r="Z164" i="4"/>
  <c r="X170" i="4"/>
  <c r="Z170" i="4"/>
  <c r="Y231" i="28"/>
  <c r="C934" i="12"/>
  <c r="B1069" i="12"/>
  <c r="B1051" i="12"/>
  <c r="B811" i="12"/>
  <c r="C676" i="12"/>
  <c r="B534" i="12"/>
  <c r="C399" i="12"/>
  <c r="A119" i="14"/>
  <c r="I80" i="14"/>
  <c r="C80" i="14"/>
  <c r="H80" i="14"/>
  <c r="H114" i="14"/>
  <c r="I114" i="14"/>
  <c r="B153" i="14"/>
  <c r="F114" i="14"/>
  <c r="D114" i="14"/>
  <c r="G114" i="14"/>
  <c r="B1008" i="12"/>
  <c r="C873" i="12"/>
  <c r="D132" i="14"/>
  <c r="I132" i="14"/>
  <c r="G132" i="14"/>
  <c r="H132" i="14"/>
  <c r="C132" i="14"/>
  <c r="E132" i="14"/>
  <c r="AR202" i="4"/>
  <c r="B180" i="12"/>
  <c r="C45" i="12"/>
  <c r="C35" i="12"/>
  <c r="B170" i="12"/>
  <c r="B143" i="12"/>
  <c r="C8" i="12"/>
  <c r="X5" i="4"/>
  <c r="Z5" i="4"/>
  <c r="S142" i="4"/>
  <c r="S145" i="4"/>
  <c r="Y286" i="28"/>
  <c r="T286" i="28"/>
  <c r="V286" i="28" s="1"/>
  <c r="X286" i="28" s="1"/>
  <c r="Y305" i="28"/>
  <c r="T305" i="28"/>
  <c r="V305" i="28" s="1"/>
  <c r="X305" i="28" s="1"/>
  <c r="A1330" i="12"/>
  <c r="C1195" i="12"/>
  <c r="B707" i="12"/>
  <c r="C572" i="12"/>
  <c r="B808" i="12"/>
  <c r="C673" i="12"/>
  <c r="A193" i="14"/>
  <c r="H154" i="14"/>
  <c r="E154" i="14"/>
  <c r="I154" i="14"/>
  <c r="G154" i="14"/>
  <c r="C154" i="14"/>
  <c r="A159" i="14"/>
  <c r="D120" i="14"/>
  <c r="H120" i="14"/>
  <c r="C120" i="14"/>
  <c r="G120" i="14"/>
  <c r="I120" i="14"/>
  <c r="E120" i="14"/>
  <c r="B592" i="12"/>
  <c r="C457" i="12"/>
  <c r="B921" i="12"/>
  <c r="C786" i="12"/>
  <c r="B815" i="12"/>
  <c r="B432" i="12"/>
  <c r="C297" i="12"/>
  <c r="C641" i="12"/>
  <c r="B146" i="14"/>
  <c r="D146" i="14" s="1"/>
  <c r="H107" i="14"/>
  <c r="G107" i="14"/>
  <c r="C107" i="14"/>
  <c r="F107" i="14"/>
  <c r="D129" i="14"/>
  <c r="G129" i="14"/>
  <c r="H129" i="14"/>
  <c r="F129" i="14"/>
  <c r="E129" i="14"/>
  <c r="C129" i="14"/>
  <c r="B1292" i="12"/>
  <c r="AT47" i="4"/>
  <c r="AV47" i="4" s="1"/>
  <c r="AW47" i="4" s="1"/>
  <c r="AR47" i="4"/>
  <c r="S95" i="4"/>
  <c r="Z95" i="4"/>
  <c r="Q130" i="4"/>
  <c r="S130" i="4"/>
  <c r="B805" i="12"/>
  <c r="C670" i="12"/>
  <c r="Y284" i="28"/>
  <c r="T284" i="28"/>
  <c r="V284" i="28" s="1"/>
  <c r="W284" i="28" s="1"/>
  <c r="A528" i="12"/>
  <c r="C393" i="12"/>
  <c r="B836" i="12"/>
  <c r="C701" i="12"/>
  <c r="B532" i="12"/>
  <c r="C397" i="12"/>
  <c r="L4" i="5"/>
  <c r="L9" i="5"/>
  <c r="L7" i="5"/>
  <c r="L10" i="5"/>
  <c r="L3" i="5"/>
  <c r="L8" i="5"/>
  <c r="L5" i="5"/>
  <c r="M2" i="5"/>
  <c r="L6" i="5"/>
  <c r="C100" i="14"/>
  <c r="D100" i="14"/>
  <c r="G100" i="14"/>
  <c r="I100" i="14"/>
  <c r="I105" i="14"/>
  <c r="D105" i="14"/>
  <c r="E105" i="14"/>
  <c r="B144" i="14"/>
  <c r="C105" i="14"/>
  <c r="G105" i="14"/>
  <c r="F105" i="14"/>
  <c r="H105" i="14"/>
  <c r="C90" i="14"/>
  <c r="H90" i="14"/>
  <c r="I90" i="14"/>
  <c r="G90" i="14"/>
  <c r="D90" i="14"/>
  <c r="AH82" i="32"/>
  <c r="W34" i="33"/>
  <c r="Y338" i="28"/>
  <c r="T338" i="28"/>
  <c r="V338" i="28" s="1"/>
  <c r="X338" i="28" s="1"/>
  <c r="Y101" i="28"/>
  <c r="T101" i="28"/>
  <c r="V101" i="28" s="1"/>
  <c r="X101" i="28" s="1"/>
  <c r="Y140" i="28"/>
  <c r="T140" i="28"/>
  <c r="V140" i="28" s="1"/>
  <c r="X140" i="28" s="1"/>
  <c r="T168" i="28"/>
  <c r="V168" i="28" s="1"/>
  <c r="W168" i="28" s="1"/>
  <c r="Y168" i="28"/>
  <c r="AL16" i="8"/>
  <c r="AN16" i="8" s="1"/>
  <c r="AP16" i="8" s="1"/>
  <c r="AK16" i="8"/>
  <c r="B190" i="12"/>
  <c r="C55" i="12"/>
  <c r="C493" i="12"/>
  <c r="B628" i="12"/>
  <c r="AR51" i="4"/>
  <c r="AT51" i="4"/>
  <c r="AV51" i="4" s="1"/>
  <c r="AX51" i="4" s="1"/>
  <c r="S111" i="4"/>
  <c r="Q111" i="4"/>
  <c r="Z130" i="4"/>
  <c r="Z139" i="4"/>
  <c r="X139" i="4"/>
  <c r="B1068" i="12"/>
  <c r="C304" i="12"/>
  <c r="B439" i="12"/>
  <c r="C492" i="12"/>
  <c r="B627" i="12"/>
  <c r="A568" i="12"/>
  <c r="C433" i="12"/>
  <c r="L21" i="5"/>
  <c r="L19" i="5"/>
  <c r="L18" i="5"/>
  <c r="L20" i="5"/>
  <c r="L15" i="5"/>
  <c r="L17" i="5"/>
  <c r="L22" i="5"/>
  <c r="N14" i="5"/>
  <c r="K37" i="5"/>
  <c r="K42" i="5"/>
  <c r="K41" i="5"/>
  <c r="K38" i="5"/>
  <c r="K39" i="5"/>
  <c r="K43" i="5"/>
  <c r="K44" i="5"/>
  <c r="G44" i="14"/>
  <c r="D44" i="14"/>
  <c r="C44" i="14"/>
  <c r="F44" i="14"/>
  <c r="B83" i="14"/>
  <c r="I44" i="14"/>
  <c r="H44" i="14"/>
  <c r="D59" i="14"/>
  <c r="G59" i="14"/>
  <c r="C59" i="14"/>
  <c r="H59" i="14"/>
  <c r="A98" i="14"/>
  <c r="F59" i="14"/>
  <c r="I59" i="14"/>
  <c r="E59" i="14"/>
  <c r="I53" i="14"/>
  <c r="H53" i="14"/>
  <c r="C53" i="14"/>
  <c r="D53" i="14"/>
  <c r="A92" i="14"/>
  <c r="X32" i="33"/>
  <c r="Y108" i="28"/>
  <c r="T108" i="28"/>
  <c r="V108" i="28" s="1"/>
  <c r="W108" i="28" s="1"/>
  <c r="B201" i="12"/>
  <c r="C66" i="12"/>
  <c r="C54" i="12"/>
  <c r="B189" i="12"/>
  <c r="C7" i="12"/>
  <c r="B142" i="12"/>
  <c r="B540" i="12"/>
  <c r="C275" i="12"/>
  <c r="A410" i="12"/>
  <c r="A630" i="12"/>
  <c r="C495" i="12"/>
  <c r="G134" i="14"/>
  <c r="B657" i="12"/>
  <c r="I129" i="14"/>
  <c r="B470" i="12"/>
  <c r="C335" i="12"/>
  <c r="B1256" i="12"/>
  <c r="C1121" i="12"/>
  <c r="V248" i="28"/>
  <c r="X248" i="28" s="1"/>
  <c r="C902" i="12"/>
  <c r="B1037" i="12"/>
  <c r="A217" i="14"/>
  <c r="I178" i="14"/>
  <c r="H178" i="14"/>
  <c r="G178" i="14"/>
  <c r="D139" i="14"/>
  <c r="F139" i="14"/>
  <c r="I139" i="14"/>
  <c r="B1283" i="12"/>
  <c r="C1148" i="12"/>
  <c r="B145" i="14"/>
  <c r="C106" i="14"/>
  <c r="E106" i="14"/>
  <c r="G106" i="14"/>
  <c r="I4" i="5"/>
  <c r="I3" i="5"/>
  <c r="I9" i="5"/>
  <c r="I5" i="5"/>
  <c r="I7" i="5"/>
  <c r="I6" i="5"/>
  <c r="I8" i="5"/>
  <c r="I10" i="5"/>
  <c r="T9" i="5"/>
  <c r="U117" i="5"/>
  <c r="T117" i="5"/>
  <c r="R117" i="5"/>
  <c r="T6" i="5"/>
  <c r="T4" i="5"/>
  <c r="T3" i="5"/>
  <c r="T5" i="5"/>
  <c r="T10" i="5"/>
  <c r="T8" i="5"/>
  <c r="D95" i="14"/>
  <c r="I95" i="14"/>
  <c r="H95" i="14"/>
  <c r="G50" i="14"/>
  <c r="H50" i="14"/>
  <c r="B89" i="14"/>
  <c r="F89" i="14" s="1"/>
  <c r="F50" i="14"/>
  <c r="I50" i="14"/>
  <c r="C50" i="14"/>
  <c r="E50" i="14"/>
  <c r="B121" i="14"/>
  <c r="I82" i="14"/>
  <c r="F82" i="14"/>
  <c r="C82" i="14"/>
  <c r="E82" i="14"/>
  <c r="N22" i="31"/>
  <c r="H22" i="31"/>
  <c r="D22" i="31"/>
  <c r="C22" i="31"/>
  <c r="F22" i="31"/>
  <c r="I22" i="31"/>
  <c r="G22" i="31"/>
  <c r="E22" i="31"/>
  <c r="C116" i="14"/>
  <c r="H116" i="14"/>
  <c r="G116" i="14"/>
  <c r="A155" i="14"/>
  <c r="E116" i="14"/>
  <c r="H71" i="14"/>
  <c r="E71" i="14"/>
  <c r="A110" i="14"/>
  <c r="G71" i="14"/>
  <c r="A104" i="14"/>
  <c r="I65" i="14"/>
  <c r="C65" i="14"/>
  <c r="E65" i="14"/>
  <c r="H65" i="14"/>
  <c r="D65" i="14"/>
  <c r="AL82" i="32"/>
  <c r="Y233" i="28"/>
  <c r="T233" i="28"/>
  <c r="V233" i="28" s="1"/>
  <c r="W233" i="28" s="1"/>
  <c r="Y169" i="28"/>
  <c r="T169" i="28"/>
  <c r="V169" i="28" s="1"/>
  <c r="W169" i="28" s="1"/>
  <c r="AK8" i="8"/>
  <c r="AL8" i="8"/>
  <c r="AN8" i="8" s="1"/>
  <c r="AP8" i="8" s="1"/>
  <c r="B474" i="12"/>
  <c r="C339" i="12"/>
  <c r="B273" i="12"/>
  <c r="C138" i="12"/>
  <c r="AR92" i="4"/>
  <c r="AT92" i="4"/>
  <c r="AV92" i="4" s="1"/>
  <c r="AX92" i="4" s="1"/>
  <c r="Z33" i="4"/>
  <c r="X33" i="4"/>
  <c r="Z92" i="4"/>
  <c r="AL63" i="8"/>
  <c r="AN63" i="8" s="1"/>
  <c r="T261" i="28"/>
  <c r="V261" i="28" s="1"/>
  <c r="X261" i="28" s="1"/>
  <c r="T110" i="28"/>
  <c r="V110" i="28" s="1"/>
  <c r="X110" i="28" s="1"/>
  <c r="T137" i="28"/>
  <c r="V137" i="28" s="1"/>
  <c r="X137" i="28" s="1"/>
  <c r="T352" i="28"/>
  <c r="V352" i="28" s="1"/>
  <c r="W352" i="28" s="1"/>
  <c r="T175" i="28"/>
  <c r="V175" i="28" s="1"/>
  <c r="X175" i="28" s="1"/>
  <c r="T126" i="28"/>
  <c r="V126" i="28" s="1"/>
  <c r="X126" i="28" s="1"/>
  <c r="T337" i="28"/>
  <c r="V337" i="28" s="1"/>
  <c r="X337" i="28" s="1"/>
  <c r="T86" i="28"/>
  <c r="V86" i="28" s="1"/>
  <c r="W86" i="28" s="1"/>
  <c r="T147" i="28"/>
  <c r="V147" i="28" s="1"/>
  <c r="X147" i="28" s="1"/>
  <c r="T160" i="28"/>
  <c r="V160" i="28" s="1"/>
  <c r="W160" i="28" s="1"/>
  <c r="T143" i="28"/>
  <c r="V143" i="28" s="1"/>
  <c r="W143" i="28" s="1"/>
  <c r="T267" i="28"/>
  <c r="V267" i="28" s="1"/>
  <c r="X267" i="28" s="1"/>
  <c r="T255" i="28"/>
  <c r="V255" i="28" s="1"/>
  <c r="W255" i="28" s="1"/>
  <c r="T104" i="28"/>
  <c r="V104" i="28" s="1"/>
  <c r="W104" i="28" s="1"/>
  <c r="T91" i="28"/>
  <c r="V91" i="28" s="1"/>
  <c r="W91" i="28" s="1"/>
  <c r="T299" i="28"/>
  <c r="V299" i="28" s="1"/>
  <c r="W299" i="28" s="1"/>
  <c r="T213" i="28"/>
  <c r="V213" i="28" s="1"/>
  <c r="X213" i="28" s="1"/>
  <c r="T211" i="28"/>
  <c r="V211" i="28" s="1"/>
  <c r="X211" i="28" s="1"/>
  <c r="T270" i="28"/>
  <c r="V270" i="28" s="1"/>
  <c r="W270" i="28" s="1"/>
  <c r="T300" i="28"/>
  <c r="V300" i="28" s="1"/>
  <c r="X300" i="28" s="1"/>
  <c r="T333" i="28"/>
  <c r="V333" i="28" s="1"/>
  <c r="W333" i="28" s="1"/>
  <c r="T345" i="28"/>
  <c r="V345" i="28" s="1"/>
  <c r="X345" i="28" s="1"/>
  <c r="T84" i="28"/>
  <c r="V84" i="28" s="1"/>
  <c r="X84" i="28" s="1"/>
  <c r="T188" i="28"/>
  <c r="V188" i="28" s="1"/>
  <c r="W188" i="28" s="1"/>
  <c r="T222" i="28"/>
  <c r="V222" i="28" s="1"/>
  <c r="X222" i="28" s="1"/>
  <c r="T285" i="28"/>
  <c r="V285" i="28" s="1"/>
  <c r="X285" i="28" s="1"/>
  <c r="T279" i="28"/>
  <c r="V279" i="28" s="1"/>
  <c r="X279" i="28" s="1"/>
  <c r="T291" i="28"/>
  <c r="V291" i="28" s="1"/>
  <c r="X291" i="28" s="1"/>
  <c r="T303" i="28"/>
  <c r="V303" i="28" s="1"/>
  <c r="W303" i="28" s="1"/>
  <c r="T13" i="28"/>
  <c r="V13" i="28" s="1"/>
  <c r="W13" i="28" s="1"/>
  <c r="T370" i="28"/>
  <c r="V370" i="28" s="1"/>
  <c r="W370" i="28" s="1"/>
  <c r="T80" i="28"/>
  <c r="V80" i="28" s="1"/>
  <c r="W80" i="28" s="1"/>
  <c r="T44" i="28"/>
  <c r="V44" i="28" s="1"/>
  <c r="W44" i="28" s="1"/>
  <c r="T61" i="28"/>
  <c r="V61" i="28" s="1"/>
  <c r="X61" i="28" s="1"/>
  <c r="T42" i="28"/>
  <c r="V42" i="28" s="1"/>
  <c r="W42" i="28" s="1"/>
  <c r="T64" i="28"/>
  <c r="V64" i="28" s="1"/>
  <c r="X64" i="28" s="1"/>
  <c r="T48" i="28"/>
  <c r="V48" i="28" s="1"/>
  <c r="X48" i="28" s="1"/>
  <c r="T74" i="28"/>
  <c r="V74" i="28" s="1"/>
  <c r="W74" i="28" s="1"/>
  <c r="T18" i="28"/>
  <c r="V18" i="28" s="1"/>
  <c r="W18" i="28" s="1"/>
  <c r="T280" i="28"/>
  <c r="V280" i="28" s="1"/>
  <c r="X280" i="28" s="1"/>
  <c r="T203" i="28"/>
  <c r="V203" i="28" s="1"/>
  <c r="W203" i="28" s="1"/>
  <c r="T230" i="28"/>
  <c r="V230" i="28" s="1"/>
  <c r="X230" i="28" s="1"/>
  <c r="T221" i="28"/>
  <c r="V221" i="28" s="1"/>
  <c r="X221" i="28" s="1"/>
  <c r="T273" i="28"/>
  <c r="V273" i="28" s="1"/>
  <c r="X273" i="28" s="1"/>
  <c r="T16" i="28"/>
  <c r="V16" i="28" s="1"/>
  <c r="X16" i="28" s="1"/>
  <c r="T133" i="28"/>
  <c r="V133" i="28" s="1"/>
  <c r="X133" i="28" s="1"/>
  <c r="T234" i="28"/>
  <c r="V234" i="28" s="1"/>
  <c r="W234" i="28" s="1"/>
  <c r="T107" i="28"/>
  <c r="V107" i="28" s="1"/>
  <c r="W107" i="28" s="1"/>
  <c r="T237" i="28"/>
  <c r="V237" i="28" s="1"/>
  <c r="W237" i="28" s="1"/>
  <c r="T88" i="28"/>
  <c r="V88" i="28" s="1"/>
  <c r="X88" i="28" s="1"/>
  <c r="T334" i="28"/>
  <c r="V334" i="28" s="1"/>
  <c r="W334" i="28" s="1"/>
  <c r="T207" i="28"/>
  <c r="V207" i="28" s="1"/>
  <c r="X207" i="28" s="1"/>
  <c r="T251" i="28"/>
  <c r="V251" i="28" s="1"/>
  <c r="W251" i="28" s="1"/>
  <c r="T355" i="28"/>
  <c r="V355" i="28" s="1"/>
  <c r="W355" i="28" s="1"/>
  <c r="T89" i="28"/>
  <c r="V89" i="28" s="1"/>
  <c r="W89" i="28" s="1"/>
  <c r="T336" i="28"/>
  <c r="V336" i="28" s="1"/>
  <c r="W336" i="28" s="1"/>
  <c r="T158" i="28"/>
  <c r="V158" i="28" s="1"/>
  <c r="X158" i="28" s="1"/>
  <c r="T245" i="28"/>
  <c r="V245" i="28" s="1"/>
  <c r="X245" i="28" s="1"/>
  <c r="T350" i="28"/>
  <c r="V350" i="28" s="1"/>
  <c r="W350" i="28" s="1"/>
  <c r="T130" i="28"/>
  <c r="V130" i="28" s="1"/>
  <c r="W130" i="28" s="1"/>
  <c r="T312" i="28"/>
  <c r="V312" i="28" s="1"/>
  <c r="W312" i="28" s="1"/>
  <c r="T281" i="28"/>
  <c r="V281" i="28" s="1"/>
  <c r="X281" i="28" s="1"/>
  <c r="T200" i="28"/>
  <c r="V200" i="28" s="1"/>
  <c r="X200" i="28" s="1"/>
  <c r="T294" i="28"/>
  <c r="V294" i="28" s="1"/>
  <c r="W294" i="28" s="1"/>
  <c r="T193" i="28"/>
  <c r="V193" i="28" s="1"/>
  <c r="W193" i="28" s="1"/>
  <c r="T73" i="28"/>
  <c r="V73" i="28" s="1"/>
  <c r="X73" i="28" s="1"/>
  <c r="T39" i="28"/>
  <c r="V39" i="28" s="1"/>
  <c r="W39" i="28" s="1"/>
  <c r="T35" i="28"/>
  <c r="V35" i="28" s="1"/>
  <c r="X35" i="28" s="1"/>
  <c r="T62" i="28"/>
  <c r="V62" i="28" s="1"/>
  <c r="W62" i="28" s="1"/>
  <c r="T229" i="28"/>
  <c r="V229" i="28" s="1"/>
  <c r="W229" i="28" s="1"/>
  <c r="T196" i="28"/>
  <c r="V196" i="28" s="1"/>
  <c r="W196" i="28" s="1"/>
  <c r="T268" i="28"/>
  <c r="V268" i="28" s="1"/>
  <c r="W268" i="28" s="1"/>
  <c r="T205" i="28"/>
  <c r="V205" i="28" s="1"/>
  <c r="X205" i="28" s="1"/>
  <c r="T302" i="28"/>
  <c r="V302" i="28" s="1"/>
  <c r="X302" i="28" s="1"/>
  <c r="T262" i="28"/>
  <c r="V262" i="28" s="1"/>
  <c r="X262" i="28" s="1"/>
  <c r="T109" i="28"/>
  <c r="V109" i="28" s="1"/>
  <c r="W109" i="28" s="1"/>
  <c r="T149" i="28"/>
  <c r="V149" i="28" s="1"/>
  <c r="X149" i="28" s="1"/>
  <c r="T351" i="28"/>
  <c r="V351" i="28" s="1"/>
  <c r="X351" i="28" s="1"/>
  <c r="T225" i="28"/>
  <c r="V225" i="28" s="1"/>
  <c r="X225" i="28" s="1"/>
  <c r="T174" i="28"/>
  <c r="V174" i="28" s="1"/>
  <c r="X174" i="28" s="1"/>
  <c r="T314" i="28"/>
  <c r="V314" i="28" s="1"/>
  <c r="W314" i="28" s="1"/>
  <c r="T308" i="28"/>
  <c r="V308" i="28" s="1"/>
  <c r="X308" i="28" s="1"/>
  <c r="T208" i="28"/>
  <c r="V208" i="28" s="1"/>
  <c r="W208" i="28" s="1"/>
  <c r="T232" i="28"/>
  <c r="V232" i="28" s="1"/>
  <c r="X232" i="28" s="1"/>
  <c r="T124" i="28"/>
  <c r="V124" i="28" s="1"/>
  <c r="X124" i="28" s="1"/>
  <c r="T171" i="28"/>
  <c r="V171" i="28" s="1"/>
  <c r="X171" i="28" s="1"/>
  <c r="T224" i="28"/>
  <c r="V224" i="28" s="1"/>
  <c r="W224" i="28" s="1"/>
  <c r="T346" i="28"/>
  <c r="V346" i="28" s="1"/>
  <c r="W346" i="28" s="1"/>
  <c r="T194" i="28"/>
  <c r="V194" i="28" s="1"/>
  <c r="W194" i="28" s="1"/>
  <c r="T277" i="28"/>
  <c r="V277" i="28" s="1"/>
  <c r="X277" i="28" s="1"/>
  <c r="T292" i="28"/>
  <c r="V292" i="28" s="1"/>
  <c r="W292" i="28" s="1"/>
  <c r="T275" i="28"/>
  <c r="V275" i="28" s="1"/>
  <c r="X275" i="28" s="1"/>
  <c r="T116" i="28"/>
  <c r="V116" i="28" s="1"/>
  <c r="W116" i="28" s="1"/>
  <c r="T132" i="28"/>
  <c r="V132" i="28" s="1"/>
  <c r="X132" i="28" s="1"/>
  <c r="T164" i="28"/>
  <c r="V164" i="28" s="1"/>
  <c r="W164" i="28" s="1"/>
  <c r="T344" i="28"/>
  <c r="V344" i="28" s="1"/>
  <c r="W344" i="28" s="1"/>
  <c r="T146" i="28"/>
  <c r="V146" i="28" s="1"/>
  <c r="X146" i="28" s="1"/>
  <c r="T184" i="28"/>
  <c r="V184" i="28" s="1"/>
  <c r="X184" i="28" s="1"/>
  <c r="T264" i="28"/>
  <c r="V264" i="28" s="1"/>
  <c r="X264" i="28" s="1"/>
  <c r="T178" i="28"/>
  <c r="V178" i="28" s="1"/>
  <c r="X178" i="28" s="1"/>
  <c r="T366" i="28"/>
  <c r="V366" i="28" s="1"/>
  <c r="X366" i="28" s="1"/>
  <c r="T367" i="28"/>
  <c r="V367" i="28" s="1"/>
  <c r="W367" i="28" s="1"/>
  <c r="T122" i="28"/>
  <c r="V122" i="28" s="1"/>
  <c r="W122" i="28" s="1"/>
  <c r="T306" i="28"/>
  <c r="V306" i="28" s="1"/>
  <c r="X306" i="28" s="1"/>
  <c r="T96" i="28"/>
  <c r="V96" i="28" s="1"/>
  <c r="X96" i="28" s="1"/>
  <c r="T33" i="28"/>
  <c r="V33" i="28" s="1"/>
  <c r="W33" i="28" s="1"/>
  <c r="T19" i="28"/>
  <c r="V19" i="28" s="1"/>
  <c r="W19" i="28" s="1"/>
  <c r="T55" i="28"/>
  <c r="V55" i="28" s="1"/>
  <c r="X55" i="28" s="1"/>
  <c r="T20" i="28"/>
  <c r="V20" i="28" s="1"/>
  <c r="W20" i="28" s="1"/>
  <c r="T58" i="28"/>
  <c r="V58" i="28" s="1"/>
  <c r="W58" i="28" s="1"/>
  <c r="T28" i="28"/>
  <c r="V28" i="28" s="1"/>
  <c r="W28" i="28" s="1"/>
  <c r="T23" i="28"/>
  <c r="V23" i="28" s="1"/>
  <c r="X23" i="28" s="1"/>
  <c r="T31" i="28"/>
  <c r="V31" i="28" s="1"/>
  <c r="W31" i="28" s="1"/>
  <c r="T121" i="28"/>
  <c r="V121" i="28" s="1"/>
  <c r="W121" i="28" s="1"/>
  <c r="T139" i="28"/>
  <c r="V139" i="28" s="1"/>
  <c r="W139" i="28" s="1"/>
  <c r="T246" i="28"/>
  <c r="V246" i="28" s="1"/>
  <c r="X246" i="28" s="1"/>
  <c r="T340" i="28"/>
  <c r="V340" i="28" s="1"/>
  <c r="W340" i="28" s="1"/>
  <c r="T198" i="28"/>
  <c r="V198" i="28" s="1"/>
  <c r="W198" i="28" s="1"/>
  <c r="T311" i="28"/>
  <c r="V311" i="28" s="1"/>
  <c r="X311" i="28" s="1"/>
  <c r="T361" i="28"/>
  <c r="V361" i="28" s="1"/>
  <c r="W361" i="28" s="1"/>
  <c r="T332" i="28"/>
  <c r="V332" i="28" s="1"/>
  <c r="W332" i="28" s="1"/>
  <c r="T157" i="28"/>
  <c r="V157" i="28" s="1"/>
  <c r="W157" i="28" s="1"/>
  <c r="T183" i="28"/>
  <c r="V183" i="28" s="1"/>
  <c r="W183" i="28" s="1"/>
  <c r="T369" i="28"/>
  <c r="V369" i="28" s="1"/>
  <c r="X369" i="28" s="1"/>
  <c r="T327" i="28"/>
  <c r="V327" i="28" s="1"/>
  <c r="W327" i="28" s="1"/>
  <c r="T10" i="28"/>
  <c r="V10" i="28" s="1"/>
  <c r="X10" i="28" s="1"/>
  <c r="T119" i="28"/>
  <c r="V119" i="28" s="1"/>
  <c r="X119" i="28" s="1"/>
  <c r="T293" i="28"/>
  <c r="V293" i="28" s="1"/>
  <c r="X293" i="28" s="1"/>
  <c r="T87" i="28"/>
  <c r="V87" i="28" s="1"/>
  <c r="X87" i="28" s="1"/>
  <c r="T144" i="28"/>
  <c r="V144" i="28" s="1"/>
  <c r="X144" i="28" s="1"/>
  <c r="T295" i="28"/>
  <c r="V295" i="28" s="1"/>
  <c r="X295" i="28" s="1"/>
  <c r="T379" i="28"/>
  <c r="V379" i="28" s="1"/>
  <c r="W379" i="28" s="1"/>
  <c r="T330" i="28"/>
  <c r="V330" i="28" s="1"/>
  <c r="X330" i="28" s="1"/>
  <c r="T296" i="28"/>
  <c r="V296" i="28" s="1"/>
  <c r="W296" i="28" s="1"/>
  <c r="T316" i="28"/>
  <c r="V316" i="28" s="1"/>
  <c r="X316" i="28" s="1"/>
  <c r="T353" i="28"/>
  <c r="V353" i="28" s="1"/>
  <c r="W353" i="28" s="1"/>
  <c r="T135" i="28"/>
  <c r="V135" i="28" s="1"/>
  <c r="W135" i="28" s="1"/>
  <c r="T77" i="28"/>
  <c r="V77" i="28" s="1"/>
  <c r="W77" i="28" s="1"/>
  <c r="T47" i="28"/>
  <c r="V47" i="28" s="1"/>
  <c r="X47" i="28" s="1"/>
  <c r="T54" i="28"/>
  <c r="V54" i="28" s="1"/>
  <c r="W54" i="28" s="1"/>
  <c r="T17" i="28"/>
  <c r="V17" i="28" s="1"/>
  <c r="W17" i="28" s="1"/>
  <c r="T24" i="28"/>
  <c r="V24" i="28" s="1"/>
  <c r="X24" i="28" s="1"/>
  <c r="T155" i="28"/>
  <c r="V155" i="28" s="1"/>
  <c r="X155" i="28" s="1"/>
  <c r="T258" i="28"/>
  <c r="V258" i="28" s="1"/>
  <c r="W258" i="28" s="1"/>
  <c r="T94" i="28"/>
  <c r="V94" i="28" s="1"/>
  <c r="W94" i="28" s="1"/>
  <c r="T82" i="28"/>
  <c r="V82" i="28" s="1"/>
  <c r="X82" i="28" s="1"/>
  <c r="T92" i="28"/>
  <c r="V92" i="28" s="1"/>
  <c r="X92" i="28" s="1"/>
  <c r="T326" i="28"/>
  <c r="V326" i="28" s="1"/>
  <c r="X326" i="28" s="1"/>
  <c r="T6" i="28"/>
  <c r="V6" i="28" s="1"/>
  <c r="W6" i="28" s="1"/>
  <c r="T3" i="28"/>
  <c r="V3" i="28" s="1"/>
  <c r="W3" i="28" s="1"/>
  <c r="AL9" i="8"/>
  <c r="AN9" i="8" s="1"/>
  <c r="AO9" i="8" s="1"/>
  <c r="AL26" i="8"/>
  <c r="AN26" i="8" s="1"/>
  <c r="AO26" i="8" s="1"/>
  <c r="AL19" i="8"/>
  <c r="AN19" i="8" s="1"/>
  <c r="AP19" i="8" s="1"/>
  <c r="T111" i="28"/>
  <c r="V111" i="28" s="1"/>
  <c r="W111" i="28" s="1"/>
  <c r="T310" i="28"/>
  <c r="V310" i="28" s="1"/>
  <c r="X310" i="28" s="1"/>
  <c r="T244" i="28"/>
  <c r="V244" i="28" s="1"/>
  <c r="X244" i="28" s="1"/>
  <c r="T202" i="28"/>
  <c r="V202" i="28" s="1"/>
  <c r="X202" i="28" s="1"/>
  <c r="T220" i="28"/>
  <c r="V220" i="28" s="1"/>
  <c r="X220" i="28" s="1"/>
  <c r="T223" i="28"/>
  <c r="V223" i="28" s="1"/>
  <c r="W223" i="28" s="1"/>
  <c r="T301" i="28"/>
  <c r="V301" i="28" s="1"/>
  <c r="X301" i="28" s="1"/>
  <c r="T219" i="28"/>
  <c r="V219" i="28" s="1"/>
  <c r="W219" i="28" s="1"/>
  <c r="T176" i="28"/>
  <c r="V176" i="28" s="1"/>
  <c r="X176" i="28" s="1"/>
  <c r="T358" i="28"/>
  <c r="V358" i="28" s="1"/>
  <c r="X358" i="28" s="1"/>
  <c r="T134" i="28"/>
  <c r="V134" i="28" s="1"/>
  <c r="X134" i="28" s="1"/>
  <c r="T368" i="28"/>
  <c r="V368" i="28" s="1"/>
  <c r="W368" i="28" s="1"/>
  <c r="T2" i="28"/>
  <c r="V2" i="28" s="1"/>
  <c r="X2" i="28" s="1"/>
  <c r="T70" i="28"/>
  <c r="V70" i="28" s="1"/>
  <c r="W70" i="28" s="1"/>
  <c r="T37" i="28"/>
  <c r="V37" i="28" s="1"/>
  <c r="W37" i="28" s="1"/>
  <c r="T52" i="28"/>
  <c r="V52" i="28" s="1"/>
  <c r="W52" i="28" s="1"/>
  <c r="T72" i="28"/>
  <c r="V72" i="28" s="1"/>
  <c r="W72" i="28" s="1"/>
  <c r="T226" i="28"/>
  <c r="V226" i="28" s="1"/>
  <c r="W226" i="28" s="1"/>
  <c r="T217" i="28"/>
  <c r="V217" i="28" s="1"/>
  <c r="W217" i="28" s="1"/>
  <c r="T90" i="28"/>
  <c r="V90" i="28" s="1"/>
  <c r="X90" i="28" s="1"/>
  <c r="T324" i="28"/>
  <c r="V324" i="28" s="1"/>
  <c r="X324" i="28" s="1"/>
  <c r="T348" i="28"/>
  <c r="V348" i="28" s="1"/>
  <c r="X348" i="28" s="1"/>
  <c r="T317" i="28"/>
  <c r="V317" i="28" s="1"/>
  <c r="X317" i="28" s="1"/>
  <c r="T377" i="28"/>
  <c r="V377" i="28" s="1"/>
  <c r="X377" i="28" s="1"/>
  <c r="T113" i="28"/>
  <c r="V113" i="28" s="1"/>
  <c r="W113" i="28" s="1"/>
  <c r="T360" i="28"/>
  <c r="V360" i="28" s="1"/>
  <c r="W360" i="28" s="1"/>
  <c r="AL56" i="8"/>
  <c r="AN56" i="8" s="1"/>
  <c r="AP56" i="8" s="1"/>
  <c r="AL57" i="8"/>
  <c r="AN57" i="8" s="1"/>
  <c r="AO57" i="8" s="1"/>
  <c r="T117" i="28"/>
  <c r="V117" i="28" s="1"/>
  <c r="W117" i="28" s="1"/>
  <c r="T85" i="28"/>
  <c r="V85" i="28" s="1"/>
  <c r="X85" i="28" s="1"/>
  <c r="T236" i="28"/>
  <c r="V236" i="28" s="1"/>
  <c r="W236" i="28" s="1"/>
  <c r="T276" i="28"/>
  <c r="V276" i="28" s="1"/>
  <c r="X276" i="28" s="1"/>
  <c r="T288" i="28"/>
  <c r="V288" i="28" s="1"/>
  <c r="W288" i="28" s="1"/>
  <c r="T210" i="28"/>
  <c r="V210" i="28" s="1"/>
  <c r="X210" i="28" s="1"/>
  <c r="T93" i="28"/>
  <c r="V93" i="28" s="1"/>
  <c r="X93" i="28" s="1"/>
  <c r="T201" i="28"/>
  <c r="V201" i="28" s="1"/>
  <c r="W201" i="28" s="1"/>
  <c r="T242" i="28"/>
  <c r="V242" i="28" s="1"/>
  <c r="W242" i="28" s="1"/>
  <c r="T125" i="28"/>
  <c r="V125" i="28" s="1"/>
  <c r="W125" i="28" s="1"/>
  <c r="T12" i="28"/>
  <c r="V12" i="28" s="1"/>
  <c r="W12" i="28" s="1"/>
  <c r="T342" i="28"/>
  <c r="V342" i="28" s="1"/>
  <c r="X342" i="28" s="1"/>
  <c r="T165" i="28"/>
  <c r="V165" i="28" s="1"/>
  <c r="W165" i="28" s="1"/>
  <c r="T38" i="28"/>
  <c r="V38" i="28" s="1"/>
  <c r="W38" i="28" s="1"/>
  <c r="T65" i="28"/>
  <c r="V65" i="28" s="1"/>
  <c r="W65" i="28" s="1"/>
  <c r="T79" i="28"/>
  <c r="V79" i="28" s="1"/>
  <c r="W79" i="28" s="1"/>
  <c r="T50" i="28"/>
  <c r="V50" i="28" s="1"/>
  <c r="X50" i="28" s="1"/>
  <c r="T25" i="28"/>
  <c r="V25" i="28" s="1"/>
  <c r="W25" i="28" s="1"/>
  <c r="T228" i="28"/>
  <c r="V228" i="28" s="1"/>
  <c r="W228" i="28" s="1"/>
  <c r="T212" i="28"/>
  <c r="V212" i="28" s="1"/>
  <c r="X212" i="28" s="1"/>
  <c r="T172" i="28"/>
  <c r="V172" i="28" s="1"/>
  <c r="X172" i="28" s="1"/>
  <c r="T128" i="28"/>
  <c r="V128" i="28" s="1"/>
  <c r="W128" i="28" s="1"/>
  <c r="T209" i="28"/>
  <c r="V209" i="28" s="1"/>
  <c r="W209" i="28" s="1"/>
  <c r="AL25" i="8"/>
  <c r="AN25" i="8" s="1"/>
  <c r="AP25" i="8" s="1"/>
  <c r="AL58" i="8"/>
  <c r="AN58" i="8" s="1"/>
  <c r="AP58" i="8" s="1"/>
  <c r="T356" i="28"/>
  <c r="V356" i="28" s="1"/>
  <c r="W356" i="28" s="1"/>
  <c r="T206" i="28"/>
  <c r="V206" i="28" s="1"/>
  <c r="X206" i="28" s="1"/>
  <c r="T265" i="28"/>
  <c r="V265" i="28" s="1"/>
  <c r="X265" i="28" s="1"/>
  <c r="T271" i="28"/>
  <c r="V271" i="28" s="1"/>
  <c r="W271" i="28" s="1"/>
  <c r="T278" i="28"/>
  <c r="V278" i="28" s="1"/>
  <c r="W278" i="28" s="1"/>
  <c r="T97" i="28"/>
  <c r="V97" i="28" s="1"/>
  <c r="X97" i="28" s="1"/>
  <c r="T354" i="28"/>
  <c r="V354" i="28" s="1"/>
  <c r="W354" i="28" s="1"/>
  <c r="T298" i="28"/>
  <c r="V298" i="28" s="1"/>
  <c r="W298" i="28" s="1"/>
  <c r="T191" i="28"/>
  <c r="V191" i="28" s="1"/>
  <c r="W191" i="28" s="1"/>
  <c r="T290" i="28"/>
  <c r="V290" i="28" s="1"/>
  <c r="W290" i="28" s="1"/>
  <c r="T319" i="28"/>
  <c r="V319" i="28" s="1"/>
  <c r="X319" i="28" s="1"/>
  <c r="T27" i="28"/>
  <c r="V27" i="28" s="1"/>
  <c r="X27" i="28" s="1"/>
  <c r="T63" i="28"/>
  <c r="V63" i="28" s="1"/>
  <c r="X63" i="28" s="1"/>
  <c r="T46" i="28"/>
  <c r="V46" i="28" s="1"/>
  <c r="X46" i="28" s="1"/>
  <c r="T36" i="28"/>
  <c r="V36" i="28" s="1"/>
  <c r="X36" i="28" s="1"/>
  <c r="T66" i="28"/>
  <c r="V66" i="28" s="1"/>
  <c r="X66" i="28" s="1"/>
  <c r="T331" i="28"/>
  <c r="V331" i="28" s="1"/>
  <c r="W331" i="28" s="1"/>
  <c r="T114" i="28"/>
  <c r="V114" i="28" s="1"/>
  <c r="X114" i="28" s="1"/>
  <c r="T263" i="28"/>
  <c r="V263" i="28" s="1"/>
  <c r="W263" i="28" s="1"/>
  <c r="T9" i="28"/>
  <c r="V9" i="28" s="1"/>
  <c r="W9" i="28" s="1"/>
  <c r="T339" i="28"/>
  <c r="V339" i="28" s="1"/>
  <c r="W339" i="28" s="1"/>
  <c r="T365" i="28"/>
  <c r="V365" i="28" s="1"/>
  <c r="X365" i="28" s="1"/>
  <c r="T243" i="28"/>
  <c r="V243" i="28" s="1"/>
  <c r="X243" i="28" s="1"/>
  <c r="T102" i="28"/>
  <c r="V102" i="28" s="1"/>
  <c r="X102" i="28" s="1"/>
  <c r="AL30" i="8"/>
  <c r="AN30" i="8" s="1"/>
  <c r="AO30" i="8" s="1"/>
  <c r="G180" i="14"/>
  <c r="B219" i="14"/>
  <c r="E180" i="14"/>
  <c r="D168" i="14"/>
  <c r="E168" i="14"/>
  <c r="A207" i="14"/>
  <c r="A263" i="14"/>
  <c r="A165" i="14"/>
  <c r="I126" i="14"/>
  <c r="G126" i="14"/>
  <c r="F126" i="14"/>
  <c r="B418" i="12"/>
  <c r="C283" i="12"/>
  <c r="A166" i="14"/>
  <c r="B449" i="12"/>
  <c r="C314" i="12"/>
  <c r="B467" i="12"/>
  <c r="C332" i="12"/>
  <c r="I118" i="14"/>
  <c r="G118" i="14"/>
  <c r="D118" i="14"/>
  <c r="B157" i="14"/>
  <c r="B346" i="12"/>
  <c r="C211" i="12"/>
  <c r="B318" i="12"/>
  <c r="C183" i="12"/>
  <c r="A172" i="14"/>
  <c r="B659" i="12"/>
  <c r="C524" i="12"/>
  <c r="AR206" i="4"/>
  <c r="AT206" i="4"/>
  <c r="AV206" i="4" s="1"/>
  <c r="AW206" i="4" s="1"/>
  <c r="AT201" i="4"/>
  <c r="AV201" i="4" s="1"/>
  <c r="AX201" i="4" s="1"/>
  <c r="AR201" i="4"/>
  <c r="B88" i="14"/>
  <c r="H49" i="14"/>
  <c r="E49" i="14"/>
  <c r="I43" i="14"/>
  <c r="C43" i="14"/>
  <c r="H43" i="14"/>
  <c r="G43" i="14"/>
  <c r="F43" i="14"/>
  <c r="E43" i="14"/>
  <c r="I77" i="14"/>
  <c r="G77" i="14"/>
  <c r="D77" i="14"/>
  <c r="H77" i="14"/>
  <c r="C64" i="14"/>
  <c r="D64" i="14"/>
  <c r="A103" i="14"/>
  <c r="E64" i="14"/>
  <c r="I64" i="14"/>
  <c r="B329" i="12"/>
  <c r="C194" i="12"/>
  <c r="B188" i="12"/>
  <c r="C53" i="12"/>
  <c r="B830" i="12"/>
  <c r="C11" i="12"/>
  <c r="B146" i="12"/>
  <c r="B635" i="12"/>
  <c r="C500" i="12"/>
  <c r="AR95" i="4"/>
  <c r="AT95" i="4"/>
  <c r="AV95" i="4" s="1"/>
  <c r="AW95" i="4" s="1"/>
  <c r="AR70" i="4"/>
  <c r="AT70" i="4"/>
  <c r="AV70" i="4" s="1"/>
  <c r="AW70" i="4" s="1"/>
  <c r="AT57" i="4"/>
  <c r="AV57" i="4" s="1"/>
  <c r="AW57" i="4" s="1"/>
  <c r="AR57" i="4"/>
  <c r="C153" i="14"/>
  <c r="A192" i="14"/>
  <c r="G153" i="14"/>
  <c r="D96" i="14"/>
  <c r="F96" i="14"/>
  <c r="C96" i="14"/>
  <c r="AV127" i="4"/>
  <c r="AW127" i="4" s="1"/>
  <c r="V51" i="28"/>
  <c r="X51" i="28" s="1"/>
  <c r="A200" i="14"/>
  <c r="B398" i="12"/>
  <c r="C263" i="12"/>
  <c r="B137" i="12"/>
  <c r="C2" i="12"/>
  <c r="G78" i="14"/>
  <c r="H78" i="14"/>
  <c r="B117" i="14"/>
  <c r="C78" i="14"/>
  <c r="I78" i="14"/>
  <c r="AN36" i="8"/>
  <c r="AP36" i="8" s="1"/>
  <c r="C58" i="12"/>
  <c r="B193" i="12"/>
  <c r="C172" i="12"/>
  <c r="B307" i="12"/>
  <c r="C25" i="12"/>
  <c r="B160" i="12"/>
  <c r="B681" i="12"/>
  <c r="C546" i="12"/>
  <c r="B364" i="12"/>
  <c r="C229" i="12"/>
  <c r="AR123" i="4"/>
  <c r="AT123" i="4"/>
  <c r="AV123" i="4" s="1"/>
  <c r="AX123" i="4" s="1"/>
  <c r="AV98" i="4"/>
  <c r="AX98" i="4" s="1"/>
  <c r="AT74" i="4"/>
  <c r="AV74" i="4" s="1"/>
  <c r="AX74" i="4" s="1"/>
  <c r="AR74" i="4"/>
  <c r="AV64" i="4"/>
  <c r="AW64" i="4" s="1"/>
  <c r="S8" i="4"/>
  <c r="Z8" i="4"/>
  <c r="S14" i="4"/>
  <c r="Z14" i="4"/>
  <c r="Q14" i="4"/>
  <c r="I1591" i="7"/>
  <c r="A515" i="12"/>
  <c r="C380" i="12"/>
  <c r="C151" i="14"/>
  <c r="AV108" i="4"/>
  <c r="AW108" i="4" s="1"/>
  <c r="AV167" i="4"/>
  <c r="AW167" i="4" s="1"/>
  <c r="I58" i="14"/>
  <c r="C58" i="14"/>
  <c r="H58" i="14"/>
  <c r="B97" i="14"/>
  <c r="B136" i="14" s="1"/>
  <c r="B175" i="14" s="1"/>
  <c r="B214" i="14" s="1"/>
  <c r="B253" i="14" s="1"/>
  <c r="AI44" i="32"/>
  <c r="AI75" i="32"/>
  <c r="AI54" i="32"/>
  <c r="AI35" i="32"/>
  <c r="AC97" i="32"/>
  <c r="AC21" i="32"/>
  <c r="AC35" i="32"/>
  <c r="AC85" i="32"/>
  <c r="W30" i="32"/>
  <c r="W21" i="32"/>
  <c r="W44" i="32"/>
  <c r="O44" i="32"/>
  <c r="O65" i="32"/>
  <c r="O85" i="32"/>
  <c r="O21" i="32"/>
  <c r="O54" i="32"/>
  <c r="O30" i="32"/>
  <c r="O35" i="32"/>
  <c r="O75" i="32"/>
  <c r="B54" i="32"/>
  <c r="B85" i="32"/>
  <c r="B21" i="32"/>
  <c r="B44" i="32"/>
  <c r="B65" i="32"/>
  <c r="B30" i="32"/>
  <c r="Y240" i="28"/>
  <c r="T240" i="28"/>
  <c r="V240" i="28" s="1"/>
  <c r="W240" i="28" s="1"/>
  <c r="T181" i="28"/>
  <c r="V181" i="28" s="1"/>
  <c r="X181" i="28" s="1"/>
  <c r="T180" i="28"/>
  <c r="V180" i="28" s="1"/>
  <c r="X180" i="28" s="1"/>
  <c r="T373" i="28"/>
  <c r="V373" i="28" s="1"/>
  <c r="W373" i="28" s="1"/>
  <c r="Y373" i="28"/>
  <c r="AF84" i="17"/>
  <c r="AD84" i="17"/>
  <c r="V84" i="17"/>
  <c r="F84" i="17"/>
  <c r="M47" i="40"/>
  <c r="T150" i="28"/>
  <c r="V150" i="28" s="1"/>
  <c r="W150" i="28" s="1"/>
  <c r="C49" i="12"/>
  <c r="B184" i="12"/>
  <c r="C43" i="12"/>
  <c r="B310" i="12"/>
  <c r="C175" i="12"/>
  <c r="B383" i="12"/>
  <c r="B244" i="12"/>
  <c r="C109" i="12"/>
  <c r="AV124" i="4"/>
  <c r="AW124" i="4" s="1"/>
  <c r="AV121" i="4"/>
  <c r="AX121" i="4" s="1"/>
  <c r="F104" i="14"/>
  <c r="O38" i="5"/>
  <c r="O40" i="5"/>
  <c r="O41" i="5"/>
  <c r="O44" i="5"/>
  <c r="O39" i="5"/>
  <c r="O37" i="5"/>
  <c r="J86" i="5"/>
  <c r="J82" i="5"/>
  <c r="J84" i="5"/>
  <c r="J83" i="5"/>
  <c r="J87" i="5"/>
  <c r="J85" i="5"/>
  <c r="F16" i="14"/>
  <c r="F5" i="14"/>
  <c r="F14" i="14"/>
  <c r="F15" i="14"/>
  <c r="F41" i="14"/>
  <c r="F40" i="14"/>
  <c r="F20" i="14"/>
  <c r="F21" i="14"/>
  <c r="F69" i="14"/>
  <c r="F29" i="14"/>
  <c r="F36" i="14"/>
  <c r="F99" i="14"/>
  <c r="F17" i="14"/>
  <c r="F8" i="14"/>
  <c r="D14" i="14"/>
  <c r="D39" i="14"/>
  <c r="D12" i="14"/>
  <c r="D10" i="14"/>
  <c r="D28" i="14"/>
  <c r="D20" i="14"/>
  <c r="D13" i="14"/>
  <c r="D76" i="14"/>
  <c r="D9" i="14"/>
  <c r="D8" i="14"/>
  <c r="D4" i="14"/>
  <c r="D19" i="14"/>
  <c r="D37" i="14"/>
  <c r="D60" i="14"/>
  <c r="AH54" i="32"/>
  <c r="AH75" i="32"/>
  <c r="AH85" i="32"/>
  <c r="AH30" i="32"/>
  <c r="AH65" i="32"/>
  <c r="AH97" i="32"/>
  <c r="V65" i="32"/>
  <c r="V30" i="32"/>
  <c r="V54" i="32"/>
  <c r="V75" i="32"/>
  <c r="V85" i="32"/>
  <c r="T235" i="28"/>
  <c r="V235" i="28" s="1"/>
  <c r="X235" i="28" s="1"/>
  <c r="T99" i="28"/>
  <c r="V99" i="28" s="1"/>
  <c r="X99" i="28" s="1"/>
  <c r="Y99" i="28"/>
  <c r="Y136" i="28"/>
  <c r="T136" i="28"/>
  <c r="V136" i="28" s="1"/>
  <c r="X136" i="28" s="1"/>
  <c r="T364" i="28"/>
  <c r="V364" i="28" s="1"/>
  <c r="X364" i="28" s="1"/>
  <c r="C337" i="12"/>
  <c r="B472" i="12"/>
  <c r="B313" i="12"/>
  <c r="C178" i="12"/>
  <c r="C829" i="12"/>
  <c r="B243" i="12"/>
  <c r="C108" i="12"/>
  <c r="B666" i="12"/>
  <c r="C531" i="12"/>
  <c r="T260" i="28"/>
  <c r="V260" i="28" s="1"/>
  <c r="W260" i="28" s="1"/>
  <c r="AV93" i="4"/>
  <c r="AW93" i="4" s="1"/>
  <c r="AV35" i="4"/>
  <c r="AW35" i="4" s="1"/>
  <c r="B526" i="12"/>
  <c r="C391" i="12"/>
  <c r="T115" i="5"/>
  <c r="R5" i="5"/>
  <c r="K20" i="5"/>
  <c r="K21" i="5"/>
  <c r="K19" i="5"/>
  <c r="K17" i="5"/>
  <c r="K18" i="5"/>
  <c r="K16" i="5"/>
  <c r="K53" i="5"/>
  <c r="N47" i="5"/>
  <c r="K49" i="5"/>
  <c r="K83" i="5"/>
  <c r="K86" i="5"/>
  <c r="I47" i="14"/>
  <c r="A86" i="14"/>
  <c r="D47" i="14"/>
  <c r="H47" i="14"/>
  <c r="F47" i="14"/>
  <c r="AG30" i="32"/>
  <c r="AG97" i="32"/>
  <c r="AG75" i="32"/>
  <c r="AG65" i="32"/>
  <c r="G21" i="32"/>
  <c r="G44" i="32"/>
  <c r="G65" i="32"/>
  <c r="W30" i="33"/>
  <c r="AD82" i="32"/>
  <c r="T187" i="28"/>
  <c r="V187" i="28" s="1"/>
  <c r="W187" i="28" s="1"/>
  <c r="Y187" i="28"/>
  <c r="Y142" i="28"/>
  <c r="T142" i="28"/>
  <c r="V142" i="28" s="1"/>
  <c r="W142" i="28" s="1"/>
  <c r="T138" i="28"/>
  <c r="V138" i="28" s="1"/>
  <c r="X138" i="28" s="1"/>
  <c r="T382" i="28"/>
  <c r="V382" i="28" s="1"/>
  <c r="X382" i="28" s="1"/>
  <c r="B345" i="12"/>
  <c r="C210" i="12"/>
  <c r="B331" i="12"/>
  <c r="C196" i="12"/>
  <c r="B452" i="12"/>
  <c r="C317" i="12"/>
  <c r="C156" i="12"/>
  <c r="B291" i="12"/>
  <c r="C694" i="12"/>
  <c r="B419" i="12"/>
  <c r="C284" i="12"/>
  <c r="B490" i="12"/>
  <c r="C355" i="12"/>
  <c r="AV134" i="4"/>
  <c r="AX134" i="4" s="1"/>
  <c r="T250" i="28"/>
  <c r="V250" i="28" s="1"/>
  <c r="X250" i="28" s="1"/>
  <c r="T252" i="28"/>
  <c r="V252" i="28" s="1"/>
  <c r="W252" i="28" s="1"/>
  <c r="A511" i="12"/>
  <c r="C376" i="12"/>
  <c r="AV38" i="4"/>
  <c r="AW38" i="4" s="1"/>
  <c r="AV170" i="4"/>
  <c r="AW170" i="4" s="1"/>
  <c r="E95" i="14"/>
  <c r="B631" i="12"/>
  <c r="C496" i="12"/>
  <c r="K88" i="5"/>
  <c r="K48" i="5"/>
  <c r="S9" i="5"/>
  <c r="S10" i="5"/>
  <c r="T116" i="5"/>
  <c r="S8" i="5"/>
  <c r="S4" i="5"/>
  <c r="S7" i="5"/>
  <c r="U116" i="5"/>
  <c r="R116" i="5"/>
  <c r="S116" i="5"/>
  <c r="S6" i="5"/>
  <c r="S5" i="5"/>
  <c r="T36" i="5"/>
  <c r="J37" i="5"/>
  <c r="J39" i="5"/>
  <c r="J42" i="5"/>
  <c r="P43" i="5"/>
  <c r="P40" i="5"/>
  <c r="P37" i="5"/>
  <c r="L48" i="5"/>
  <c r="L53" i="5"/>
  <c r="L50" i="5"/>
  <c r="K91" i="5"/>
  <c r="I92" i="5"/>
  <c r="I98" i="5"/>
  <c r="I94" i="5"/>
  <c r="B140" i="14"/>
  <c r="D101" i="14"/>
  <c r="C101" i="14"/>
  <c r="H101" i="14"/>
  <c r="B84" i="14"/>
  <c r="B123" i="14" s="1"/>
  <c r="B162" i="14" s="1"/>
  <c r="B201" i="14" s="1"/>
  <c r="B240" i="14" s="1"/>
  <c r="D45" i="14"/>
  <c r="H54" i="14"/>
  <c r="C54" i="14"/>
  <c r="H85" i="14"/>
  <c r="A124" i="14"/>
  <c r="AN35" i="32"/>
  <c r="AN85" i="32"/>
  <c r="AN97" i="32"/>
  <c r="L44" i="32"/>
  <c r="L21" i="32"/>
  <c r="L97" i="32"/>
  <c r="L30" i="32"/>
  <c r="AK82" i="32"/>
  <c r="T322" i="28"/>
  <c r="V322" i="28" s="1"/>
  <c r="X322" i="28" s="1"/>
  <c r="T177" i="28"/>
  <c r="V177" i="28" s="1"/>
  <c r="X177" i="28" s="1"/>
  <c r="T112" i="28"/>
  <c r="V112" i="28" s="1"/>
  <c r="X112" i="28" s="1"/>
  <c r="Y112" i="28"/>
  <c r="Y156" i="28"/>
  <c r="T156" i="28"/>
  <c r="V156" i="28" s="1"/>
  <c r="W156" i="28" s="1"/>
  <c r="Y357" i="28"/>
  <c r="T357" i="28"/>
  <c r="V357" i="28" s="1"/>
  <c r="W357" i="28" s="1"/>
  <c r="T371" i="28"/>
  <c r="V371" i="28" s="1"/>
  <c r="X371" i="28" s="1"/>
  <c r="T239" i="28"/>
  <c r="V239" i="28" s="1"/>
  <c r="X239" i="28" s="1"/>
  <c r="T307" i="28"/>
  <c r="V307" i="28" s="1"/>
  <c r="X307" i="28" s="1"/>
  <c r="Y197" i="28"/>
  <c r="T197" i="28"/>
  <c r="V197" i="28" s="1"/>
  <c r="X197" i="28" s="1"/>
  <c r="T199" i="28"/>
  <c r="V199" i="28" s="1"/>
  <c r="X199" i="28" s="1"/>
  <c r="B292" i="12"/>
  <c r="AV137" i="4"/>
  <c r="AX137" i="4" s="1"/>
  <c r="K65" i="32"/>
  <c r="F85" i="32"/>
  <c r="G99" i="14"/>
  <c r="AT212" i="4"/>
  <c r="AV212" i="4" s="1"/>
  <c r="AX212" i="4" s="1"/>
  <c r="J10" i="5"/>
  <c r="J8" i="5"/>
  <c r="B108" i="14"/>
  <c r="I69" i="14"/>
  <c r="B94" i="14"/>
  <c r="I94" i="14" s="1"/>
  <c r="C76" i="14"/>
  <c r="H76" i="14"/>
  <c r="G76" i="14"/>
  <c r="H70" i="14"/>
  <c r="A109" i="14"/>
  <c r="G70" i="14"/>
  <c r="I70" i="14"/>
  <c r="A97" i="14"/>
  <c r="F97" i="14" s="1"/>
  <c r="A91" i="14"/>
  <c r="AM35" i="32"/>
  <c r="AM75" i="32"/>
  <c r="AM65" i="32"/>
  <c r="AM44" i="32"/>
  <c r="T185" i="28"/>
  <c r="V185" i="28" s="1"/>
  <c r="X185" i="28" s="1"/>
  <c r="T84" i="17"/>
  <c r="B483" i="12"/>
  <c r="B327" i="12"/>
  <c r="B159" i="12"/>
  <c r="C24" i="12"/>
  <c r="B512" i="12"/>
  <c r="C377" i="12"/>
  <c r="B508" i="12"/>
  <c r="C373" i="12"/>
  <c r="AV131" i="4"/>
  <c r="AW131" i="4" s="1"/>
  <c r="AS204" i="4"/>
  <c r="AS209" i="4"/>
  <c r="AS194" i="4"/>
  <c r="AS198" i="4"/>
  <c r="AS210" i="4"/>
  <c r="AS193" i="4"/>
  <c r="AS196" i="4"/>
  <c r="AS212" i="4"/>
  <c r="AS208" i="4"/>
  <c r="AS216" i="4"/>
  <c r="AS214" i="4"/>
  <c r="AS195" i="4"/>
  <c r="AS213" i="4"/>
  <c r="N1026" i="7"/>
  <c r="I107" i="14"/>
  <c r="AV181" i="4"/>
  <c r="AX181" i="4" s="1"/>
  <c r="D63" i="14"/>
  <c r="R21" i="32"/>
  <c r="R85" i="32"/>
  <c r="K21" i="32"/>
  <c r="K30" i="32"/>
  <c r="F35" i="32"/>
  <c r="F54" i="32"/>
  <c r="F97" i="32"/>
  <c r="V82" i="32"/>
  <c r="T163" i="28"/>
  <c r="V163" i="28" s="1"/>
  <c r="W163" i="28" s="1"/>
  <c r="T349" i="28"/>
  <c r="V349" i="28" s="1"/>
  <c r="X349" i="28" s="1"/>
  <c r="B316" i="12"/>
  <c r="C181" i="12"/>
  <c r="AV177" i="4"/>
  <c r="AW177" i="4" s="1"/>
  <c r="B138" i="14"/>
  <c r="T363" i="28"/>
  <c r="V363" i="28" s="1"/>
  <c r="X363" i="28" s="1"/>
  <c r="AV174" i="4"/>
  <c r="AX174" i="4" s="1"/>
  <c r="AV58" i="4"/>
  <c r="AX58" i="4" s="1"/>
  <c r="F30" i="32"/>
  <c r="L40" i="5"/>
  <c r="C68" i="14"/>
  <c r="AM54" i="32"/>
  <c r="Q97" i="32"/>
  <c r="Q30" i="32"/>
  <c r="T343" i="28"/>
  <c r="V343" i="28" s="1"/>
  <c r="W343" i="28" s="1"/>
  <c r="Y241" i="28"/>
  <c r="T241" i="28"/>
  <c r="V241" i="28" s="1"/>
  <c r="X241" i="28" s="1"/>
  <c r="T182" i="28"/>
  <c r="V182" i="28" s="1"/>
  <c r="W182" i="28" s="1"/>
  <c r="T189" i="28"/>
  <c r="V189" i="28" s="1"/>
  <c r="W189" i="28" s="1"/>
  <c r="T179" i="28"/>
  <c r="V179" i="28" s="1"/>
  <c r="X179" i="28" s="1"/>
  <c r="B282" i="12"/>
  <c r="C147" i="12"/>
  <c r="AV11" i="4"/>
  <c r="AX11" i="4" s="1"/>
  <c r="T118" i="28"/>
  <c r="V118" i="28" s="1"/>
  <c r="W118" i="28" s="1"/>
  <c r="D107" i="14"/>
  <c r="F65" i="32"/>
  <c r="J9" i="5"/>
  <c r="AM97" i="32"/>
  <c r="K72" i="5"/>
  <c r="K74" i="5"/>
  <c r="D3" i="14"/>
  <c r="AJ35" i="32"/>
  <c r="AJ54" i="32"/>
  <c r="AD44" i="32"/>
  <c r="AD75" i="32"/>
  <c r="AD97" i="32"/>
  <c r="T376" i="28"/>
  <c r="V376" i="28" s="1"/>
  <c r="W376" i="28" s="1"/>
  <c r="T315" i="28"/>
  <c r="V315" i="28" s="1"/>
  <c r="X315" i="28" s="1"/>
  <c r="Y204" i="28"/>
  <c r="T204" i="28"/>
  <c r="V204" i="28" s="1"/>
  <c r="W204" i="28" s="1"/>
  <c r="P3" i="5"/>
  <c r="Q41" i="5"/>
  <c r="AV161" i="4"/>
  <c r="AW161" i="4" s="1"/>
  <c r="AV138" i="4"/>
  <c r="AX138" i="4" s="1"/>
  <c r="T266" i="28"/>
  <c r="V266" i="28" s="1"/>
  <c r="X266" i="28" s="1"/>
  <c r="I251" i="7"/>
  <c r="I1027" i="7"/>
  <c r="I1029" i="7"/>
  <c r="AV132" i="4"/>
  <c r="AW132" i="4" s="1"/>
  <c r="AV59" i="4"/>
  <c r="AW59" i="4" s="1"/>
  <c r="I595" i="7"/>
  <c r="I808" i="7"/>
  <c r="N253" i="7"/>
  <c r="N458" i="7"/>
  <c r="P6" i="5"/>
  <c r="AV103" i="4"/>
  <c r="AW103" i="4" s="1"/>
  <c r="AV63" i="4"/>
  <c r="AX63" i="4" s="1"/>
  <c r="I1273" i="7"/>
  <c r="AV128" i="4"/>
  <c r="AW128" i="4" s="1"/>
  <c r="AV67" i="4"/>
  <c r="AX67" i="4" s="1"/>
  <c r="AV52" i="4"/>
  <c r="AW52" i="4" s="1"/>
  <c r="AV44" i="4"/>
  <c r="AX44" i="4" s="1"/>
  <c r="AV20" i="4"/>
  <c r="AX20" i="4" s="1"/>
  <c r="AV68" i="4"/>
  <c r="AX68" i="4" s="1"/>
  <c r="AV49" i="4"/>
  <c r="AX49" i="4" s="1"/>
  <c r="O100" i="18"/>
  <c r="O46" i="16"/>
  <c r="O49" i="16" s="1"/>
  <c r="F90" i="14"/>
  <c r="F76" i="14"/>
  <c r="W17" i="16"/>
  <c r="Q17" i="16"/>
  <c r="F101" i="14"/>
  <c r="F27" i="14"/>
  <c r="F22" i="14"/>
  <c r="F11" i="14"/>
  <c r="S220" i="4"/>
  <c r="Q220" i="4"/>
  <c r="Z220" i="4"/>
  <c r="F157" i="14"/>
  <c r="Z237" i="4"/>
  <c r="X237" i="4"/>
  <c r="S233" i="4"/>
  <c r="Q233" i="4"/>
  <c r="AR62" i="8"/>
  <c r="AQ62" i="8" s="1"/>
  <c r="AF62" i="8"/>
  <c r="AD62" i="8" s="1"/>
  <c r="AJ62" i="8" s="1"/>
  <c r="F145" i="14"/>
  <c r="AE17" i="16"/>
  <c r="Z17" i="16"/>
  <c r="Z227" i="4"/>
  <c r="X227" i="4"/>
  <c r="F2" i="14"/>
  <c r="F138" i="14"/>
  <c r="F132" i="14"/>
  <c r="F123" i="14"/>
  <c r="F35" i="14"/>
  <c r="X230" i="4"/>
  <c r="Z230" i="4"/>
  <c r="Z228" i="4"/>
  <c r="X228" i="4"/>
  <c r="X235" i="4"/>
  <c r="Z235" i="4"/>
  <c r="X231" i="4"/>
  <c r="Z231" i="4"/>
  <c r="S230" i="4"/>
  <c r="Q230" i="4"/>
  <c r="F154" i="14"/>
  <c r="F19" i="14"/>
  <c r="J17" i="16"/>
  <c r="Q235" i="4"/>
  <c r="S235" i="4"/>
  <c r="Z233" i="4"/>
  <c r="X223" i="4"/>
  <c r="Z223" i="4"/>
  <c r="S219" i="4"/>
  <c r="Q219" i="4"/>
  <c r="F77" i="14"/>
  <c r="AM17" i="16"/>
  <c r="S222" i="4"/>
  <c r="Q222" i="4"/>
  <c r="F108" i="14"/>
  <c r="F120" i="14"/>
  <c r="F113" i="14"/>
  <c r="F6" i="14"/>
  <c r="AK64" i="8"/>
  <c r="AL64" i="8"/>
  <c r="AN64" i="8" s="1"/>
  <c r="AO64" i="8" s="1"/>
  <c r="F80" i="14"/>
  <c r="F112" i="14"/>
  <c r="F45" i="14"/>
  <c r="F116" i="14"/>
  <c r="F63" i="14"/>
  <c r="F49" i="14"/>
  <c r="F9" i="14"/>
  <c r="AX43" i="4"/>
  <c r="X30" i="28"/>
  <c r="X57" i="28"/>
  <c r="AX19" i="4"/>
  <c r="AP12" i="8"/>
  <c r="AX73" i="4"/>
  <c r="X78" i="28"/>
  <c r="X152" i="28"/>
  <c r="AO3" i="8"/>
  <c r="W131" i="28"/>
  <c r="X335" i="28"/>
  <c r="I12" i="31"/>
  <c r="AP59" i="8"/>
  <c r="AW152" i="4"/>
  <c r="AX198" i="4"/>
  <c r="W170" i="28"/>
  <c r="W49" i="28"/>
  <c r="W372" i="28"/>
  <c r="X68" i="28"/>
  <c r="X216" i="28"/>
  <c r="W297" i="28"/>
  <c r="AX179" i="4"/>
  <c r="AW224" i="4"/>
  <c r="AX214" i="4"/>
  <c r="W161" i="28"/>
  <c r="AX175" i="4"/>
  <c r="X272" i="28"/>
  <c r="W272" i="28"/>
  <c r="W215" i="28"/>
  <c r="AX148" i="4"/>
  <c r="X120" i="28"/>
  <c r="AO33" i="8"/>
  <c r="AW196" i="4"/>
  <c r="X374" i="28"/>
  <c r="W83" i="28"/>
  <c r="W173" i="28"/>
  <c r="AW219" i="4"/>
  <c r="AO55" i="8"/>
  <c r="AW13" i="4"/>
  <c r="X11" i="28"/>
  <c r="W325" i="28"/>
  <c r="X325" i="28"/>
  <c r="W8" i="28"/>
  <c r="X8" i="28"/>
  <c r="AP22" i="8"/>
  <c r="W195" i="28"/>
  <c r="W375" i="28"/>
  <c r="AP60" i="8"/>
  <c r="AX96" i="4"/>
  <c r="W76" i="28"/>
  <c r="X67" i="28"/>
  <c r="AW8" i="4"/>
  <c r="AX31" i="4"/>
  <c r="AX32" i="4"/>
  <c r="X238" i="28"/>
  <c r="W40" i="28"/>
  <c r="X29" i="28"/>
  <c r="W347" i="28"/>
  <c r="W269" i="28"/>
  <c r="AX77" i="4"/>
  <c r="X214" i="28"/>
  <c r="AW163" i="4"/>
  <c r="W380" i="28"/>
  <c r="AX126" i="4"/>
  <c r="X53" i="28"/>
  <c r="W53" i="28"/>
  <c r="AW155" i="4"/>
  <c r="AX155" i="4"/>
  <c r="W129" i="28"/>
  <c r="X129" i="28"/>
  <c r="AO4" i="8"/>
  <c r="AP4" i="8"/>
  <c r="W309" i="28"/>
  <c r="X309" i="28"/>
  <c r="X105" i="28"/>
  <c r="AW12" i="4"/>
  <c r="AX12" i="4"/>
  <c r="AX209" i="4"/>
  <c r="AW209" i="4"/>
  <c r="AI17" i="16"/>
  <c r="X22" i="28"/>
  <c r="W22" i="28"/>
  <c r="F46" i="14"/>
  <c r="D17" i="16"/>
  <c r="F4" i="14"/>
  <c r="AB17" i="16"/>
  <c r="T17" i="16"/>
  <c r="P17" i="16"/>
  <c r="L17" i="16"/>
  <c r="I34" i="31"/>
  <c r="AW65" i="4"/>
  <c r="AW217" i="4"/>
  <c r="W231" i="28"/>
  <c r="X231" i="28"/>
  <c r="W21" i="28"/>
  <c r="X21" i="28"/>
  <c r="W141" i="28"/>
  <c r="X141" i="28"/>
  <c r="W5" i="28"/>
  <c r="X5" i="28"/>
  <c r="X257" i="28"/>
  <c r="W257" i="28"/>
  <c r="F51" i="14"/>
  <c r="AX88" i="4"/>
  <c r="AX90" i="4"/>
  <c r="AW90" i="4"/>
  <c r="AW53" i="4"/>
  <c r="AX53" i="4"/>
  <c r="AX24" i="4"/>
  <c r="AW24" i="4"/>
  <c r="AG17" i="16"/>
  <c r="H17" i="16"/>
  <c r="F86" i="14"/>
  <c r="X103" i="28"/>
  <c r="C17" i="16"/>
  <c r="M17" i="16"/>
  <c r="B17" i="16"/>
  <c r="AX116" i="4"/>
  <c r="W34" i="28"/>
  <c r="X34" i="28"/>
  <c r="W359" i="28"/>
  <c r="X359" i="28"/>
  <c r="W159" i="28"/>
  <c r="X159" i="28"/>
  <c r="F39" i="14"/>
  <c r="AL17" i="16"/>
  <c r="F38" i="14"/>
  <c r="AH17" i="16"/>
  <c r="F30" i="14"/>
  <c r="AD17" i="16"/>
  <c r="R17" i="16"/>
  <c r="F18" i="14"/>
  <c r="AP6" i="8"/>
  <c r="I26" i="31"/>
  <c r="AX37" i="4"/>
  <c r="X259" i="28"/>
  <c r="W259" i="28"/>
  <c r="F93" i="14"/>
  <c r="O17" i="16"/>
  <c r="AW84" i="4"/>
  <c r="AW16" i="4"/>
  <c r="X154" i="28"/>
  <c r="X7" i="28"/>
  <c r="AW150" i="4"/>
  <c r="AX150" i="4"/>
  <c r="S17" i="16"/>
  <c r="K17" i="16"/>
  <c r="X362" i="28"/>
  <c r="W362" i="28"/>
  <c r="F23" i="14"/>
  <c r="Y17" i="16"/>
  <c r="E17" i="16"/>
  <c r="W123" i="28"/>
  <c r="X378" i="28"/>
  <c r="W378" i="28"/>
  <c r="X15" i="28"/>
  <c r="W15" i="28"/>
  <c r="AX91" i="4"/>
  <c r="AW91" i="4"/>
  <c r="AJ17" i="16"/>
  <c r="W4" i="28"/>
  <c r="X71" i="28"/>
  <c r="W56" i="28"/>
  <c r="W167" i="28"/>
  <c r="AK17" i="16"/>
  <c r="U17" i="16"/>
  <c r="X106" i="28"/>
  <c r="W106" i="28"/>
  <c r="W323" i="28"/>
  <c r="X323" i="28"/>
  <c r="F55" i="14"/>
  <c r="F67" i="14"/>
  <c r="AX172" i="4"/>
  <c r="AW172" i="4"/>
  <c r="AW158" i="4"/>
  <c r="AX158" i="4"/>
  <c r="AP32" i="8"/>
  <c r="AO32" i="8"/>
  <c r="X190" i="28"/>
  <c r="W190" i="28"/>
  <c r="AO61" i="8"/>
  <c r="AX89" i="4"/>
  <c r="X218" i="28"/>
  <c r="W218" i="28"/>
  <c r="AX193" i="4"/>
  <c r="AX115" i="4"/>
  <c r="W304" i="28"/>
  <c r="X304" i="28"/>
  <c r="AW202" i="4"/>
  <c r="X145" i="28"/>
  <c r="X318" i="28"/>
  <c r="W341" i="28"/>
  <c r="AW29" i="4"/>
  <c r="AO28" i="8"/>
  <c r="AP28" i="8"/>
  <c r="AX85" i="4"/>
  <c r="AW21" i="4"/>
  <c r="W192" i="28"/>
  <c r="X192" i="28"/>
  <c r="AX27" i="4"/>
  <c r="X151" i="28"/>
  <c r="AW235" i="4"/>
  <c r="X14" i="28"/>
  <c r="AW139" i="4"/>
  <c r="AW211" i="4"/>
  <c r="W321" i="28"/>
  <c r="X45" i="28"/>
  <c r="X249" i="28"/>
  <c r="W274" i="28"/>
  <c r="X247" i="28"/>
  <c r="W254" i="28"/>
  <c r="X254" i="28"/>
  <c r="X100" i="28"/>
  <c r="W100" i="28"/>
  <c r="W127" i="28"/>
  <c r="X162" i="28"/>
  <c r="W162" i="28"/>
  <c r="AO18" i="8"/>
  <c r="AP18" i="8"/>
  <c r="X320" i="28"/>
  <c r="W320" i="28"/>
  <c r="I33" i="31"/>
  <c r="AO11" i="8"/>
  <c r="AP11" i="8"/>
  <c r="AW171" i="4"/>
  <c r="W289" i="28"/>
  <c r="X289" i="28"/>
  <c r="AW109" i="4"/>
  <c r="AX109" i="4"/>
  <c r="AW122" i="4"/>
  <c r="AX122" i="4"/>
  <c r="W329" i="28"/>
  <c r="X329" i="28"/>
  <c r="AX218" i="4"/>
  <c r="AW218" i="4"/>
  <c r="AP39" i="8"/>
  <c r="AX25" i="4"/>
  <c r="AW25" i="4"/>
  <c r="AW18" i="4"/>
  <c r="AX18" i="4"/>
  <c r="AW71" i="4"/>
  <c r="AX71" i="4"/>
  <c r="X287" i="28"/>
  <c r="W287" i="28"/>
  <c r="AX204" i="4"/>
  <c r="AO17" i="8"/>
  <c r="AO10" i="8"/>
  <c r="AP10" i="8"/>
  <c r="AX56" i="4"/>
  <c r="AW56" i="4"/>
  <c r="X98" i="28"/>
  <c r="W98" i="28"/>
  <c r="I40" i="31"/>
  <c r="AP7" i="8"/>
  <c r="X283" i="28"/>
  <c r="W186" i="28"/>
  <c r="AX184" i="4"/>
  <c r="AX110" i="4"/>
  <c r="AX107" i="4"/>
  <c r="AW203" i="4"/>
  <c r="AX203" i="4"/>
  <c r="W253" i="28"/>
  <c r="X253" i="28"/>
  <c r="W115" i="28"/>
  <c r="X115" i="28"/>
  <c r="X227" i="28"/>
  <c r="W227" i="28"/>
  <c r="AW23" i="4"/>
  <c r="X381" i="28"/>
  <c r="X26" i="28"/>
  <c r="AP2" i="8"/>
  <c r="I11" i="31"/>
  <c r="AW216" i="4"/>
  <c r="AX216" i="4"/>
  <c r="AX168" i="4"/>
  <c r="AW168" i="4"/>
  <c r="X328" i="28"/>
  <c r="W328" i="28"/>
  <c r="W81" i="28"/>
  <c r="X81" i="28"/>
  <c r="AO14" i="8"/>
  <c r="AW14" i="4"/>
  <c r="AW69" i="4"/>
  <c r="X148" i="28"/>
  <c r="AO38" i="8"/>
  <c r="AP38" i="8"/>
  <c r="AP21" i="8"/>
  <c r="AO21" i="8"/>
  <c r="I37" i="31"/>
  <c r="AX199" i="4"/>
  <c r="AW199" i="4"/>
  <c r="AW146" i="4"/>
  <c r="AW142" i="4"/>
  <c r="AX142" i="4"/>
  <c r="AW173" i="4"/>
  <c r="AX173" i="4"/>
  <c r="W153" i="28"/>
  <c r="X153" i="28"/>
  <c r="AW205" i="4"/>
  <c r="AX82" i="4"/>
  <c r="AO40" i="8"/>
  <c r="AP31" i="8"/>
  <c r="AO31" i="8"/>
  <c r="AX157" i="4"/>
  <c r="AW157" i="4"/>
  <c r="AW15" i="4"/>
  <c r="AX87" i="4"/>
  <c r="AW87" i="4"/>
  <c r="W256" i="28"/>
  <c r="X256" i="28"/>
  <c r="AW141" i="4"/>
  <c r="AX141" i="4"/>
  <c r="X166" i="28"/>
  <c r="W166" i="28"/>
  <c r="X282" i="28"/>
  <c r="W282" i="28"/>
  <c r="AW215" i="4"/>
  <c r="X313" i="28"/>
  <c r="AP41" i="8" l="1"/>
  <c r="AO41" i="8"/>
  <c r="AO43" i="8"/>
  <c r="AP43" i="8"/>
  <c r="AP49" i="8"/>
  <c r="AO49" i="8"/>
  <c r="AO51" i="8"/>
  <c r="AP51" i="8"/>
  <c r="AP42" i="8"/>
  <c r="AO42" i="8"/>
  <c r="AP44" i="8"/>
  <c r="AO44" i="8"/>
  <c r="AP46" i="8"/>
  <c r="AO46" i="8"/>
  <c r="AP48" i="8"/>
  <c r="AO48" i="8"/>
  <c r="AP50" i="8"/>
  <c r="AO50" i="8"/>
  <c r="AO52" i="8"/>
  <c r="AP52" i="8"/>
  <c r="AP45" i="8"/>
  <c r="AO45" i="8"/>
  <c r="AO47" i="8"/>
  <c r="AP47" i="8"/>
  <c r="AX40" i="4"/>
  <c r="AO37" i="8"/>
  <c r="AO27" i="8"/>
  <c r="AP53" i="8"/>
  <c r="AX111" i="4"/>
  <c r="AW100" i="4"/>
  <c r="AX151" i="4"/>
  <c r="AX30" i="4"/>
  <c r="AW145" i="4"/>
  <c r="AX125" i="4"/>
  <c r="AX159" i="4"/>
  <c r="I31" i="31"/>
  <c r="AX129" i="4"/>
  <c r="AX233" i="4"/>
  <c r="AX66" i="4"/>
  <c r="AW28" i="4"/>
  <c r="AX120" i="4"/>
  <c r="AW50" i="4"/>
  <c r="AW154" i="4"/>
  <c r="AO29" i="8"/>
  <c r="AO13" i="8"/>
  <c r="AX192" i="4"/>
  <c r="AW80" i="4"/>
  <c r="AX41" i="4"/>
  <c r="AX6" i="4"/>
  <c r="AX4" i="4"/>
  <c r="AW220" i="4"/>
  <c r="AW156" i="4"/>
  <c r="AX225" i="4"/>
  <c r="AX231" i="4"/>
  <c r="AX165" i="4"/>
  <c r="AX5" i="4"/>
  <c r="AW72" i="4"/>
  <c r="AX185" i="4"/>
  <c r="AX227" i="4"/>
  <c r="AW34" i="4"/>
  <c r="AX136" i="4"/>
  <c r="AW236" i="4"/>
  <c r="AW117" i="4"/>
  <c r="AW190" i="4"/>
  <c r="AW208" i="4"/>
  <c r="AW76" i="4"/>
  <c r="AX9" i="4"/>
  <c r="AW83" i="4"/>
  <c r="AW147" i="4"/>
  <c r="AX197" i="4"/>
  <c r="AW7" i="4"/>
  <c r="AX3" i="4"/>
  <c r="AW213" i="4"/>
  <c r="AP54" i="8"/>
  <c r="AX162" i="4"/>
  <c r="AW178" i="4"/>
  <c r="AW187" i="4"/>
  <c r="AX101" i="4"/>
  <c r="AX99" i="4"/>
  <c r="AW26" i="4"/>
  <c r="AW207" i="4"/>
  <c r="AW228" i="4"/>
  <c r="AW55" i="4"/>
  <c r="AW102" i="4"/>
  <c r="AX166" i="4"/>
  <c r="AX180" i="4"/>
  <c r="AW54" i="4"/>
  <c r="AW135" i="4"/>
  <c r="AX140" i="4"/>
  <c r="AW45" i="4"/>
  <c r="AW113" i="4"/>
  <c r="AW186" i="4"/>
  <c r="AX39" i="4"/>
  <c r="AW112" i="4"/>
  <c r="AW79" i="4"/>
  <c r="AW104" i="4"/>
  <c r="AX106" i="4"/>
  <c r="AW183" i="4"/>
  <c r="AX143" i="4"/>
  <c r="AW222" i="4"/>
  <c r="AX230" i="4"/>
  <c r="AW223" i="4"/>
  <c r="AW118" i="4"/>
  <c r="AX42" i="4"/>
  <c r="AW200" i="4"/>
  <c r="AX22" i="4"/>
  <c r="AW176" i="4"/>
  <c r="AX94" i="4"/>
  <c r="AX46" i="4"/>
  <c r="AX119" i="4"/>
  <c r="AW232" i="4"/>
  <c r="AX10" i="4"/>
  <c r="AX97" i="4"/>
  <c r="AX2" i="4"/>
  <c r="AX195" i="4"/>
  <c r="AX86" i="4"/>
  <c r="AW33" i="4"/>
  <c r="AW60" i="4"/>
  <c r="AX182" i="4"/>
  <c r="X204" i="28"/>
  <c r="AX194" i="4"/>
  <c r="AX36" i="4"/>
  <c r="AX169" i="4"/>
  <c r="AW210" i="4"/>
  <c r="AX144" i="4"/>
  <c r="AW149" i="4"/>
  <c r="AW62" i="4"/>
  <c r="AX114" i="4"/>
  <c r="AW189" i="4"/>
  <c r="AX153" i="4"/>
  <c r="X12" i="28"/>
  <c r="X233" i="28"/>
  <c r="AP64" i="8"/>
  <c r="X157" i="28"/>
  <c r="W82" i="28"/>
  <c r="X33" i="28"/>
  <c r="W176" i="28"/>
  <c r="X290" i="28"/>
  <c r="X370" i="28"/>
  <c r="AW67" i="4"/>
  <c r="W305" i="28"/>
  <c r="AW221" i="4"/>
  <c r="W43" i="28"/>
  <c r="AX17" i="4"/>
  <c r="W316" i="28"/>
  <c r="X91" i="28"/>
  <c r="X268" i="28"/>
  <c r="W101" i="28"/>
  <c r="X196" i="28"/>
  <c r="X294" i="28"/>
  <c r="X236" i="28"/>
  <c r="W248" i="28"/>
  <c r="W155" i="28"/>
  <c r="X271" i="28"/>
  <c r="AX108" i="4"/>
  <c r="X350" i="28"/>
  <c r="X332" i="28"/>
  <c r="W241" i="28"/>
  <c r="W112" i="28"/>
  <c r="X312" i="28"/>
  <c r="X121" i="28"/>
  <c r="W277" i="28"/>
  <c r="W73" i="28"/>
  <c r="X208" i="28"/>
  <c r="X201" i="28"/>
  <c r="X165" i="28"/>
  <c r="W285" i="28"/>
  <c r="X116" i="28"/>
  <c r="X77" i="28"/>
  <c r="X9" i="28"/>
  <c r="W172" i="28"/>
  <c r="W245" i="28"/>
  <c r="AX48" i="4"/>
  <c r="X20" i="28"/>
  <c r="W27" i="28"/>
  <c r="X6" i="28"/>
  <c r="AW44" i="4"/>
  <c r="W338" i="28"/>
  <c r="W243" i="28"/>
  <c r="W124" i="28"/>
  <c r="W230" i="28"/>
  <c r="AX164" i="4"/>
  <c r="W199" i="28"/>
  <c r="W175" i="28"/>
  <c r="X251" i="28"/>
  <c r="X139" i="28"/>
  <c r="X72" i="28"/>
  <c r="X111" i="28"/>
  <c r="X187" i="28"/>
  <c r="W144" i="28"/>
  <c r="X292" i="28"/>
  <c r="AP35" i="8"/>
  <c r="W250" i="28"/>
  <c r="AX59" i="4"/>
  <c r="W302" i="28"/>
  <c r="W207" i="28"/>
  <c r="W358" i="28"/>
  <c r="AX38" i="4"/>
  <c r="W308" i="28"/>
  <c r="AW133" i="4"/>
  <c r="X156" i="28"/>
  <c r="W279" i="28"/>
  <c r="AO15" i="8"/>
  <c r="X357" i="28"/>
  <c r="W61" i="28"/>
  <c r="X373" i="28"/>
  <c r="W110" i="28"/>
  <c r="X334" i="28"/>
  <c r="W88" i="28"/>
  <c r="X39" i="28"/>
  <c r="AX93" i="4"/>
  <c r="X160" i="28"/>
  <c r="W184" i="28"/>
  <c r="W232" i="28"/>
  <c r="W211" i="28"/>
  <c r="W134" i="28"/>
  <c r="X278" i="28"/>
  <c r="X113" i="28"/>
  <c r="X182" i="28"/>
  <c r="X288" i="28"/>
  <c r="W264" i="28"/>
  <c r="W363" i="28"/>
  <c r="W63" i="28"/>
  <c r="X183" i="28"/>
  <c r="X379" i="28"/>
  <c r="W295" i="28"/>
  <c r="AO56" i="8"/>
  <c r="AP5" i="8"/>
  <c r="AX35" i="4"/>
  <c r="W97" i="28"/>
  <c r="W69" i="28"/>
  <c r="X79" i="28"/>
  <c r="W55" i="28"/>
  <c r="X209" i="28"/>
  <c r="W273" i="28"/>
  <c r="X260" i="28"/>
  <c r="W267" i="28"/>
  <c r="AX52" i="4"/>
  <c r="X143" i="28"/>
  <c r="X19" i="28"/>
  <c r="X298" i="28"/>
  <c r="X109" i="28"/>
  <c r="X367" i="28"/>
  <c r="W291" i="28"/>
  <c r="AX103" i="4"/>
  <c r="X59" i="28"/>
  <c r="AW234" i="4"/>
  <c r="AX191" i="4"/>
  <c r="X339" i="28"/>
  <c r="W46" i="28"/>
  <c r="X169" i="28"/>
  <c r="X42" i="28"/>
  <c r="AW92" i="4"/>
  <c r="X65" i="28"/>
  <c r="AO25" i="8"/>
  <c r="I28" i="31"/>
  <c r="AO36" i="8"/>
  <c r="W99" i="28"/>
  <c r="X255" i="28"/>
  <c r="W171" i="28"/>
  <c r="AW121" i="4"/>
  <c r="X32" i="28"/>
  <c r="W366" i="28"/>
  <c r="X130" i="28"/>
  <c r="AO16" i="8"/>
  <c r="W48" i="28"/>
  <c r="AP57" i="8"/>
  <c r="X303" i="28"/>
  <c r="W365" i="28"/>
  <c r="X128" i="28"/>
  <c r="X62" i="28"/>
  <c r="W35" i="28"/>
  <c r="W16" i="28"/>
  <c r="W126" i="28"/>
  <c r="X38" i="28"/>
  <c r="W2" i="28"/>
  <c r="W93" i="28"/>
  <c r="AW51" i="4"/>
  <c r="X54" i="28"/>
  <c r="AX177" i="4"/>
  <c r="W197" i="28"/>
  <c r="W220" i="28"/>
  <c r="W246" i="28"/>
  <c r="W221" i="28"/>
  <c r="W330" i="28"/>
  <c r="X352" i="28"/>
  <c r="AX64" i="4"/>
  <c r="W90" i="28"/>
  <c r="W95" i="28"/>
  <c r="F66" i="14"/>
  <c r="W322" i="28"/>
  <c r="X142" i="28"/>
  <c r="W133" i="28"/>
  <c r="X58" i="28"/>
  <c r="X108" i="28"/>
  <c r="AW20" i="4"/>
  <c r="W300" i="28"/>
  <c r="AX170" i="4"/>
  <c r="X189" i="28"/>
  <c r="W24" i="28"/>
  <c r="AW138" i="4"/>
  <c r="X368" i="28"/>
  <c r="W369" i="28"/>
  <c r="X327" i="28"/>
  <c r="W326" i="28"/>
  <c r="W137" i="28"/>
  <c r="X333" i="28"/>
  <c r="X270" i="28"/>
  <c r="W210" i="28"/>
  <c r="X217" i="28"/>
  <c r="W185" i="28"/>
  <c r="X340" i="28"/>
  <c r="AW63" i="4"/>
  <c r="W47" i="28"/>
  <c r="W244" i="28"/>
  <c r="X17" i="28"/>
  <c r="AW78" i="4"/>
  <c r="X13" i="28"/>
  <c r="W324" i="28"/>
  <c r="W102" i="28"/>
  <c r="W275" i="28"/>
  <c r="AW105" i="4"/>
  <c r="W202" i="28"/>
  <c r="W36" i="28"/>
  <c r="W178" i="28"/>
  <c r="X354" i="28"/>
  <c r="W92" i="28"/>
  <c r="W310" i="28"/>
  <c r="X226" i="28"/>
  <c r="W235" i="28"/>
  <c r="W64" i="28"/>
  <c r="W262" i="28"/>
  <c r="AX237" i="4"/>
  <c r="W149" i="28"/>
  <c r="AX132" i="4"/>
  <c r="X360" i="28"/>
  <c r="X41" i="28"/>
  <c r="X118" i="28"/>
  <c r="AW58" i="4"/>
  <c r="W51" i="28"/>
  <c r="W311" i="28"/>
  <c r="X74" i="28"/>
  <c r="AX167" i="4"/>
  <c r="AX127" i="4"/>
  <c r="W85" i="28"/>
  <c r="W158" i="28"/>
  <c r="AO58" i="8"/>
  <c r="AP9" i="8"/>
  <c r="AV9" i="8" s="1"/>
  <c r="W301" i="28"/>
  <c r="W349" i="28"/>
  <c r="W317" i="28"/>
  <c r="AO8" i="8"/>
  <c r="AO20" i="8"/>
  <c r="X89" i="28"/>
  <c r="X70" i="28"/>
  <c r="W239" i="28"/>
  <c r="AX57" i="4"/>
  <c r="X86" i="28"/>
  <c r="W286" i="28"/>
  <c r="W181" i="28"/>
  <c r="AX160" i="4"/>
  <c r="I27" i="31"/>
  <c r="X25" i="28"/>
  <c r="AW212" i="4"/>
  <c r="W306" i="28"/>
  <c r="AW61" i="4"/>
  <c r="W342" i="28"/>
  <c r="AW123" i="4"/>
  <c r="X191" i="28"/>
  <c r="AW188" i="4"/>
  <c r="X263" i="28"/>
  <c r="W200" i="28"/>
  <c r="I13" i="31"/>
  <c r="W174" i="28"/>
  <c r="W281" i="28"/>
  <c r="X18" i="28"/>
  <c r="X80" i="28"/>
  <c r="X3" i="28"/>
  <c r="X28" i="28"/>
  <c r="A545" i="12"/>
  <c r="C410" i="12"/>
  <c r="H159" i="14"/>
  <c r="G159" i="14"/>
  <c r="I159" i="14"/>
  <c r="E159" i="14"/>
  <c r="D159" i="14"/>
  <c r="A198" i="14"/>
  <c r="C159" i="14"/>
  <c r="F159" i="14"/>
  <c r="C714" i="12"/>
  <c r="B849" i="12"/>
  <c r="C401" i="12"/>
  <c r="B536" i="12"/>
  <c r="B1907" i="12"/>
  <c r="C1772" i="12"/>
  <c r="C84" i="14"/>
  <c r="C866" i="12"/>
  <c r="B1001" i="12"/>
  <c r="X135" i="28"/>
  <c r="W222" i="28"/>
  <c r="B184" i="14"/>
  <c r="C145" i="14"/>
  <c r="I145" i="14"/>
  <c r="D145" i="14"/>
  <c r="G145" i="14"/>
  <c r="E145" i="14"/>
  <c r="A703" i="12"/>
  <c r="C568" i="12"/>
  <c r="B1203" i="12"/>
  <c r="C628" i="12"/>
  <c r="B763" i="12"/>
  <c r="B896" i="12"/>
  <c r="C761" i="12"/>
  <c r="B1439" i="12"/>
  <c r="C1304" i="12"/>
  <c r="B807" i="12"/>
  <c r="C672" i="12"/>
  <c r="X219" i="28"/>
  <c r="B417" i="12"/>
  <c r="C282" i="12"/>
  <c r="B442" i="12"/>
  <c r="C307" i="12"/>
  <c r="B323" i="12"/>
  <c r="C188" i="12"/>
  <c r="B609" i="12"/>
  <c r="C474" i="12"/>
  <c r="A256" i="14"/>
  <c r="B675" i="12"/>
  <c r="C540" i="12"/>
  <c r="B842" i="12"/>
  <c r="C707" i="12"/>
  <c r="B1186" i="12"/>
  <c r="B882" i="12"/>
  <c r="C747" i="12"/>
  <c r="B841" i="12"/>
  <c r="C706" i="12"/>
  <c r="B1049" i="12"/>
  <c r="C914" i="12"/>
  <c r="AX70" i="4"/>
  <c r="W276" i="28"/>
  <c r="W382" i="28"/>
  <c r="W261" i="28"/>
  <c r="W225" i="28"/>
  <c r="AO24" i="8"/>
  <c r="G86" i="14"/>
  <c r="C86" i="14"/>
  <c r="E86" i="14"/>
  <c r="A125" i="14"/>
  <c r="H86" i="14"/>
  <c r="I86" i="14"/>
  <c r="D86" i="14"/>
  <c r="C383" i="12"/>
  <c r="B518" i="12"/>
  <c r="B453" i="12"/>
  <c r="C318" i="12"/>
  <c r="C418" i="12"/>
  <c r="B553" i="12"/>
  <c r="H145" i="14"/>
  <c r="B1172" i="12"/>
  <c r="C1037" i="12"/>
  <c r="C1008" i="12"/>
  <c r="B1143" i="12"/>
  <c r="H268" i="14"/>
  <c r="E268" i="14"/>
  <c r="G268" i="14"/>
  <c r="I268" i="14"/>
  <c r="C268" i="14"/>
  <c r="F268" i="14"/>
  <c r="D268" i="14"/>
  <c r="C525" i="12"/>
  <c r="B660" i="12"/>
  <c r="C590" i="12"/>
  <c r="B725" i="12"/>
  <c r="X234" i="28"/>
  <c r="X331" i="28"/>
  <c r="AW134" i="4"/>
  <c r="W138" i="28"/>
  <c r="W75" i="28"/>
  <c r="X188" i="28"/>
  <c r="X346" i="28"/>
  <c r="W23" i="28"/>
  <c r="X37" i="28"/>
  <c r="AW137" i="4"/>
  <c r="X31" i="28"/>
  <c r="X240" i="28"/>
  <c r="X258" i="28"/>
  <c r="W146" i="28"/>
  <c r="X284" i="28"/>
  <c r="X229" i="28"/>
  <c r="X94" i="28"/>
  <c r="X296" i="28"/>
  <c r="X104" i="28"/>
  <c r="X44" i="28"/>
  <c r="W10" i="28"/>
  <c r="W84" i="28"/>
  <c r="W307" i="28"/>
  <c r="AX161" i="4"/>
  <c r="W266" i="28"/>
  <c r="AX131" i="4"/>
  <c r="X361" i="28"/>
  <c r="X223" i="28"/>
  <c r="W213" i="28"/>
  <c r="X336" i="28"/>
  <c r="B643" i="12"/>
  <c r="C508" i="12"/>
  <c r="B147" i="14"/>
  <c r="I108" i="14"/>
  <c r="G108" i="14"/>
  <c r="C108" i="14"/>
  <c r="H108" i="14"/>
  <c r="D108" i="14"/>
  <c r="E108" i="14"/>
  <c r="B427" i="12"/>
  <c r="C292" i="12"/>
  <c r="B179" i="14"/>
  <c r="D140" i="14"/>
  <c r="E140" i="14"/>
  <c r="H140" i="14"/>
  <c r="C140" i="14"/>
  <c r="I140" i="14"/>
  <c r="G140" i="14"/>
  <c r="F140" i="14"/>
  <c r="B587" i="12"/>
  <c r="C452" i="12"/>
  <c r="B328" i="12"/>
  <c r="C193" i="12"/>
  <c r="A231" i="14"/>
  <c r="B464" i="12"/>
  <c r="C329" i="12"/>
  <c r="C659" i="12"/>
  <c r="B794" i="12"/>
  <c r="A246" i="14"/>
  <c r="D207" i="14"/>
  <c r="C207" i="14"/>
  <c r="G207" i="14"/>
  <c r="E207" i="14"/>
  <c r="I207" i="14"/>
  <c r="F207" i="14"/>
  <c r="H207" i="14"/>
  <c r="D94" i="14"/>
  <c r="B792" i="12"/>
  <c r="C657" i="12"/>
  <c r="B277" i="12"/>
  <c r="C142" i="12"/>
  <c r="B122" i="14"/>
  <c r="H83" i="14"/>
  <c r="I83" i="14"/>
  <c r="F83" i="14"/>
  <c r="E83" i="14"/>
  <c r="C83" i="14"/>
  <c r="D83" i="14"/>
  <c r="G83" i="14"/>
  <c r="C627" i="12"/>
  <c r="B762" i="12"/>
  <c r="B325" i="12"/>
  <c r="C190" i="12"/>
  <c r="C1157" i="12"/>
  <c r="A1465" i="12"/>
  <c r="C1330" i="12"/>
  <c r="B1204" i="12"/>
  <c r="C1069" i="12"/>
  <c r="B441" i="12"/>
  <c r="C306" i="12"/>
  <c r="F150" i="14"/>
  <c r="I150" i="14"/>
  <c r="G150" i="14"/>
  <c r="E150" i="14"/>
  <c r="C150" i="14"/>
  <c r="D150" i="14"/>
  <c r="A189" i="14"/>
  <c r="H150" i="14"/>
  <c r="C489" i="12"/>
  <c r="B624" i="12"/>
  <c r="B1005" i="12"/>
  <c r="C870" i="12"/>
  <c r="C214" i="12"/>
  <c r="B349" i="12"/>
  <c r="B881" i="12"/>
  <c r="C746" i="12"/>
  <c r="C578" i="12"/>
  <c r="B713" i="12"/>
  <c r="B708" i="12"/>
  <c r="C573" i="12"/>
  <c r="C642" i="12"/>
  <c r="B777" i="12"/>
  <c r="C745" i="12"/>
  <c r="B880" i="12"/>
  <c r="D84" i="14"/>
  <c r="B2241" i="12"/>
  <c r="A646" i="12"/>
  <c r="C511" i="12"/>
  <c r="G219" i="14"/>
  <c r="D219" i="14"/>
  <c r="B258" i="14"/>
  <c r="E219" i="14"/>
  <c r="F219" i="14"/>
  <c r="I219" i="14"/>
  <c r="C219" i="14"/>
  <c r="H219" i="14"/>
  <c r="B185" i="14"/>
  <c r="H146" i="14"/>
  <c r="E146" i="14"/>
  <c r="G146" i="14"/>
  <c r="I146" i="14"/>
  <c r="C146" i="14"/>
  <c r="D91" i="14"/>
  <c r="E91" i="14"/>
  <c r="G91" i="14"/>
  <c r="I91" i="14"/>
  <c r="F91" i="14"/>
  <c r="A130" i="14"/>
  <c r="H91" i="14"/>
  <c r="C91" i="14"/>
  <c r="B426" i="12"/>
  <c r="C291" i="12"/>
  <c r="B156" i="14"/>
  <c r="C117" i="14"/>
  <c r="G117" i="14"/>
  <c r="E117" i="14"/>
  <c r="D117" i="14"/>
  <c r="C665" i="12"/>
  <c r="B800" i="12"/>
  <c r="B705" i="12"/>
  <c r="C570" i="12"/>
  <c r="C826" i="12"/>
  <c r="B961" i="12"/>
  <c r="AW75" i="4"/>
  <c r="W87" i="28"/>
  <c r="X314" i="28"/>
  <c r="AW74" i="4"/>
  <c r="X376" i="28"/>
  <c r="I138" i="14"/>
  <c r="D138" i="14"/>
  <c r="H138" i="14"/>
  <c r="C138" i="14"/>
  <c r="E138" i="14"/>
  <c r="B177" i="14"/>
  <c r="G138" i="14"/>
  <c r="B379" i="12"/>
  <c r="C244" i="12"/>
  <c r="B315" i="12"/>
  <c r="C180" i="12"/>
  <c r="B797" i="12"/>
  <c r="C662" i="12"/>
  <c r="B726" i="12"/>
  <c r="C591" i="12"/>
  <c r="A1041" i="12"/>
  <c r="C906" i="12"/>
  <c r="AX81" i="4"/>
  <c r="X344" i="28"/>
  <c r="I117" i="14"/>
  <c r="B679" i="12"/>
  <c r="C544" i="12"/>
  <c r="E123" i="14"/>
  <c r="A162" i="14"/>
  <c r="D123" i="14"/>
  <c r="G123" i="14"/>
  <c r="H123" i="14"/>
  <c r="I123" i="14"/>
  <c r="C123" i="14"/>
  <c r="AP30" i="8"/>
  <c r="X228" i="28"/>
  <c r="AO34" i="8"/>
  <c r="X252" i="28"/>
  <c r="AW11" i="4"/>
  <c r="X168" i="28"/>
  <c r="W280" i="28"/>
  <c r="X224" i="28"/>
  <c r="AX128" i="4"/>
  <c r="AW201" i="4"/>
  <c r="W206" i="28"/>
  <c r="X356" i="28"/>
  <c r="AW98" i="4"/>
  <c r="AW68" i="4"/>
  <c r="W140" i="28"/>
  <c r="X299" i="28"/>
  <c r="W132" i="28"/>
  <c r="W351" i="28"/>
  <c r="AW49" i="4"/>
  <c r="W177" i="28"/>
  <c r="W119" i="28"/>
  <c r="AW181" i="4"/>
  <c r="W345" i="28"/>
  <c r="X52" i="28"/>
  <c r="X107" i="28"/>
  <c r="AW229" i="4"/>
  <c r="W50" i="28"/>
  <c r="AK62" i="8"/>
  <c r="AL62" i="8"/>
  <c r="AN62" i="8" s="1"/>
  <c r="F117" i="14"/>
  <c r="H109" i="14"/>
  <c r="D109" i="14"/>
  <c r="A148" i="14"/>
  <c r="G109" i="14"/>
  <c r="C109" i="14"/>
  <c r="I109" i="14"/>
  <c r="F109" i="14"/>
  <c r="E109" i="14"/>
  <c r="B625" i="12"/>
  <c r="C490" i="12"/>
  <c r="B445" i="12"/>
  <c r="C310" i="12"/>
  <c r="B499" i="12"/>
  <c r="C364" i="12"/>
  <c r="B272" i="12"/>
  <c r="C137" i="12"/>
  <c r="B770" i="12"/>
  <c r="C635" i="12"/>
  <c r="C346" i="12"/>
  <c r="B481" i="12"/>
  <c r="B584" i="12"/>
  <c r="C449" i="12"/>
  <c r="C155" i="14"/>
  <c r="F155" i="14"/>
  <c r="I155" i="14"/>
  <c r="G155" i="14"/>
  <c r="H155" i="14"/>
  <c r="A194" i="14"/>
  <c r="D155" i="14"/>
  <c r="E155" i="14"/>
  <c r="B160" i="14"/>
  <c r="H121" i="14"/>
  <c r="E121" i="14"/>
  <c r="C121" i="14"/>
  <c r="I121" i="14"/>
  <c r="G121" i="14"/>
  <c r="F121" i="14"/>
  <c r="D121" i="14"/>
  <c r="A131" i="14"/>
  <c r="I92" i="14"/>
  <c r="H92" i="14"/>
  <c r="C92" i="14"/>
  <c r="E92" i="14"/>
  <c r="D92" i="14"/>
  <c r="F92" i="14"/>
  <c r="G92" i="14"/>
  <c r="I98" i="14"/>
  <c r="C98" i="14"/>
  <c r="D98" i="14"/>
  <c r="F98" i="14"/>
  <c r="A137" i="14"/>
  <c r="G98" i="14"/>
  <c r="E98" i="14"/>
  <c r="H98" i="14"/>
  <c r="C1022" i="12"/>
  <c r="C532" i="12"/>
  <c r="B667" i="12"/>
  <c r="B940" i="12"/>
  <c r="C805" i="12"/>
  <c r="B1427" i="12"/>
  <c r="C1292" i="12"/>
  <c r="B950" i="12"/>
  <c r="C119" i="14"/>
  <c r="G119" i="14"/>
  <c r="E119" i="14"/>
  <c r="F119" i="14"/>
  <c r="D119" i="14"/>
  <c r="A158" i="14"/>
  <c r="I119" i="14"/>
  <c r="H119" i="14"/>
  <c r="A820" i="12"/>
  <c r="C685" i="12"/>
  <c r="C1009" i="12"/>
  <c r="B1144" i="12"/>
  <c r="C423" i="12"/>
  <c r="B558" i="12"/>
  <c r="B1173" i="12"/>
  <c r="C1038" i="12"/>
  <c r="A234" i="14"/>
  <c r="B774" i="12"/>
  <c r="C639" i="12"/>
  <c r="B1178" i="12"/>
  <c r="C1043" i="12"/>
  <c r="B717" i="12"/>
  <c r="C582" i="12"/>
  <c r="G84" i="14"/>
  <c r="C210" i="14"/>
  <c r="I210" i="14"/>
  <c r="G210" i="14"/>
  <c r="A249" i="14"/>
  <c r="F210" i="14"/>
  <c r="D210" i="14"/>
  <c r="H210" i="14"/>
  <c r="E210" i="14"/>
  <c r="B704" i="12"/>
  <c r="C569" i="12"/>
  <c r="B2526" i="12"/>
  <c r="B3085" i="12"/>
  <c r="B294" i="12"/>
  <c r="C159" i="12"/>
  <c r="B480" i="12"/>
  <c r="C345" i="12"/>
  <c r="B295" i="12"/>
  <c r="C160" i="12"/>
  <c r="B533" i="12"/>
  <c r="C398" i="12"/>
  <c r="B408" i="12"/>
  <c r="C273" i="12"/>
  <c r="AO19" i="8"/>
  <c r="W377" i="28"/>
  <c r="C327" i="12"/>
  <c r="B462" i="12"/>
  <c r="AO63" i="8"/>
  <c r="AP63" i="8"/>
  <c r="C110" i="14"/>
  <c r="F110" i="14"/>
  <c r="D110" i="14"/>
  <c r="E110" i="14"/>
  <c r="A149" i="14"/>
  <c r="I110" i="14"/>
  <c r="H110" i="14"/>
  <c r="G110" i="14"/>
  <c r="A663" i="12"/>
  <c r="C528" i="12"/>
  <c r="B1035" i="12"/>
  <c r="A238" i="14"/>
  <c r="W180" i="28"/>
  <c r="X193" i="28"/>
  <c r="W212" i="28"/>
  <c r="C483" i="12"/>
  <c r="B618" i="12"/>
  <c r="C97" i="14"/>
  <c r="H97" i="14"/>
  <c r="D97" i="14"/>
  <c r="A136" i="14"/>
  <c r="E97" i="14"/>
  <c r="I97" i="14"/>
  <c r="G97" i="14"/>
  <c r="B133" i="14"/>
  <c r="F94" i="14"/>
  <c r="E94" i="14"/>
  <c r="H117" i="14"/>
  <c r="C486" i="12"/>
  <c r="A621" i="12"/>
  <c r="W147" i="28"/>
  <c r="W136" i="28"/>
  <c r="X164" i="28"/>
  <c r="F146" i="14"/>
  <c r="G94" i="14"/>
  <c r="E144" i="14"/>
  <c r="G144" i="14"/>
  <c r="F144" i="14"/>
  <c r="D144" i="14"/>
  <c r="B183" i="14"/>
  <c r="C144" i="14"/>
  <c r="H144" i="14"/>
  <c r="I144" i="14"/>
  <c r="C1424" i="12"/>
  <c r="B1559" i="12"/>
  <c r="C1331" i="12"/>
  <c r="B1466" i="12"/>
  <c r="X117" i="28"/>
  <c r="X237" i="28"/>
  <c r="W348" i="28"/>
  <c r="AP26" i="8"/>
  <c r="AX130" i="4"/>
  <c r="X353" i="28"/>
  <c r="X203" i="28"/>
  <c r="X122" i="28"/>
  <c r="W114" i="28"/>
  <c r="W265" i="28"/>
  <c r="W96" i="28"/>
  <c r="AX124" i="4"/>
  <c r="W293" i="28"/>
  <c r="W371" i="28"/>
  <c r="X150" i="28"/>
  <c r="X355" i="28"/>
  <c r="AW174" i="4"/>
  <c r="X242" i="28"/>
  <c r="AX206" i="4"/>
  <c r="W315" i="28"/>
  <c r="W66" i="28"/>
  <c r="B451" i="12"/>
  <c r="C316" i="12"/>
  <c r="B647" i="12"/>
  <c r="C512" i="12"/>
  <c r="C331" i="12"/>
  <c r="B466" i="12"/>
  <c r="B448" i="12"/>
  <c r="C313" i="12"/>
  <c r="C94" i="14"/>
  <c r="B281" i="12"/>
  <c r="C146" i="12"/>
  <c r="G88" i="14"/>
  <c r="D88" i="14"/>
  <c r="H88" i="14"/>
  <c r="C88" i="14"/>
  <c r="F88" i="14"/>
  <c r="I88" i="14"/>
  <c r="B127" i="14"/>
  <c r="E88" i="14"/>
  <c r="I157" i="14"/>
  <c r="C157" i="14"/>
  <c r="E157" i="14"/>
  <c r="D157" i="14"/>
  <c r="G157" i="14"/>
  <c r="B196" i="14"/>
  <c r="H157" i="14"/>
  <c r="B324" i="12"/>
  <c r="C189" i="12"/>
  <c r="C439" i="12"/>
  <c r="B574" i="12"/>
  <c r="G193" i="14"/>
  <c r="H193" i="14"/>
  <c r="E193" i="14"/>
  <c r="A232" i="14"/>
  <c r="C193" i="14"/>
  <c r="I193" i="14"/>
  <c r="F193" i="14"/>
  <c r="D193" i="14"/>
  <c r="B278" i="12"/>
  <c r="C143" i="12"/>
  <c r="B1369" i="12"/>
  <c r="C1234" i="12"/>
  <c r="B420" i="12"/>
  <c r="C285" i="12"/>
  <c r="B1190" i="12"/>
  <c r="E84" i="14"/>
  <c r="C830" i="12"/>
  <c r="B965" i="12"/>
  <c r="C808" i="12"/>
  <c r="B943" i="12"/>
  <c r="B622" i="12"/>
  <c r="C487" i="12"/>
  <c r="B1177" i="12"/>
  <c r="C1042" i="12"/>
  <c r="B1630" i="12"/>
  <c r="W319" i="28"/>
  <c r="B766" i="12"/>
  <c r="C631" i="12"/>
  <c r="C666" i="12"/>
  <c r="B801" i="12"/>
  <c r="A205" i="14"/>
  <c r="B605" i="12"/>
  <c r="C470" i="12"/>
  <c r="B336" i="12"/>
  <c r="C201" i="12"/>
  <c r="B727" i="12"/>
  <c r="C592" i="12"/>
  <c r="B946" i="12"/>
  <c r="C811" i="12"/>
  <c r="A274" i="14"/>
  <c r="B549" i="12"/>
  <c r="C414" i="12"/>
  <c r="B893" i="12"/>
  <c r="C758" i="12"/>
  <c r="C911" i="12"/>
  <c r="B1046" i="12"/>
  <c r="H84" i="14"/>
  <c r="A257" i="14"/>
  <c r="AP23" i="8"/>
  <c r="W205" i="28"/>
  <c r="X343" i="28"/>
  <c r="X60" i="28"/>
  <c r="X163" i="28"/>
  <c r="E89" i="14"/>
  <c r="G89" i="14"/>
  <c r="H89" i="14"/>
  <c r="D89" i="14"/>
  <c r="C89" i="14"/>
  <c r="I89" i="14"/>
  <c r="B128" i="14"/>
  <c r="H94" i="14"/>
  <c r="F84" i="14"/>
  <c r="A163" i="14"/>
  <c r="G124" i="14"/>
  <c r="H124" i="14"/>
  <c r="C124" i="14"/>
  <c r="F124" i="14"/>
  <c r="E124" i="14"/>
  <c r="I124" i="14"/>
  <c r="D124" i="14"/>
  <c r="B661" i="12"/>
  <c r="C526" i="12"/>
  <c r="B378" i="12"/>
  <c r="C243" i="12"/>
  <c r="A239" i="14"/>
  <c r="C467" i="12"/>
  <c r="B602" i="12"/>
  <c r="B1418" i="12"/>
  <c r="C1283" i="12"/>
  <c r="C522" i="12"/>
  <c r="B567" i="12"/>
  <c r="C432" i="12"/>
  <c r="C674" i="12"/>
  <c r="B809" i="12"/>
  <c r="AX226" i="4"/>
  <c r="X125" i="28"/>
  <c r="X198" i="28"/>
  <c r="W337" i="28"/>
  <c r="AX47" i="4"/>
  <c r="X194" i="28"/>
  <c r="W364" i="28"/>
  <c r="W179" i="28"/>
  <c r="AX95" i="4"/>
  <c r="C419" i="12"/>
  <c r="B554" i="12"/>
  <c r="B607" i="12"/>
  <c r="C472" i="12"/>
  <c r="B319" i="12"/>
  <c r="C184" i="12"/>
  <c r="A650" i="12"/>
  <c r="C515" i="12"/>
  <c r="B816" i="12"/>
  <c r="C681" i="12"/>
  <c r="C103" i="14"/>
  <c r="G103" i="14"/>
  <c r="F103" i="14"/>
  <c r="I103" i="14"/>
  <c r="D103" i="14"/>
  <c r="A142" i="14"/>
  <c r="E103" i="14"/>
  <c r="H103" i="14"/>
  <c r="A211" i="14"/>
  <c r="E165" i="14"/>
  <c r="A204" i="14"/>
  <c r="C165" i="14"/>
  <c r="F165" i="14"/>
  <c r="D165" i="14"/>
  <c r="I165" i="14"/>
  <c r="G165" i="14"/>
  <c r="H165" i="14"/>
  <c r="H104" i="14"/>
  <c r="C104" i="14"/>
  <c r="E104" i="14"/>
  <c r="A143" i="14"/>
  <c r="G104" i="14"/>
  <c r="I104" i="14"/>
  <c r="D104" i="14"/>
  <c r="C1256" i="12"/>
  <c r="B1391" i="12"/>
  <c r="A765" i="12"/>
  <c r="C630" i="12"/>
  <c r="B971" i="12"/>
  <c r="C836" i="12"/>
  <c r="B1056" i="12"/>
  <c r="C921" i="12"/>
  <c r="B305" i="12"/>
  <c r="C170" i="12"/>
  <c r="B192" i="14"/>
  <c r="D153" i="14"/>
  <c r="F153" i="14"/>
  <c r="E153" i="14"/>
  <c r="I153" i="14"/>
  <c r="H153" i="14"/>
  <c r="C534" i="12"/>
  <c r="B669" i="12"/>
  <c r="B510" i="12"/>
  <c r="C375" i="12"/>
  <c r="B370" i="12"/>
  <c r="C235" i="12"/>
  <c r="B212" i="14"/>
  <c r="H173" i="14"/>
  <c r="D173" i="14"/>
  <c r="C173" i="14"/>
  <c r="E173" i="14"/>
  <c r="G173" i="14"/>
  <c r="F173" i="14"/>
  <c r="I173" i="14"/>
  <c r="B698" i="12"/>
  <c r="C563" i="12"/>
  <c r="C652" i="12"/>
  <c r="B787" i="12"/>
  <c r="B1513" i="12"/>
  <c r="B217" i="14"/>
  <c r="D178" i="14"/>
  <c r="C178" i="14"/>
  <c r="F178" i="14"/>
  <c r="E178" i="14"/>
  <c r="C1288" i="12"/>
  <c r="B1423" i="12"/>
  <c r="C789" i="12"/>
  <c r="B924" i="12"/>
  <c r="I84" i="14"/>
  <c r="G17" i="16"/>
  <c r="B485" i="12"/>
  <c r="C350" i="12"/>
  <c r="C174" i="14"/>
  <c r="F174" i="14"/>
  <c r="G174" i="14"/>
  <c r="I174" i="14"/>
  <c r="H174" i="14"/>
  <c r="E174" i="14"/>
  <c r="A213" i="14"/>
  <c r="D174" i="14"/>
  <c r="B1198" i="12"/>
  <c r="C1063" i="12"/>
  <c r="B256" i="14" l="1"/>
  <c r="H217" i="14"/>
  <c r="D217" i="14"/>
  <c r="B231" i="14"/>
  <c r="B270" i="14" s="1"/>
  <c r="F192" i="14"/>
  <c r="C192" i="14"/>
  <c r="I192" i="14"/>
  <c r="A756" i="12"/>
  <c r="C621" i="12"/>
  <c r="I249" i="14"/>
  <c r="F249" i="14"/>
  <c r="D249" i="14"/>
  <c r="C249" i="14"/>
  <c r="E249" i="14"/>
  <c r="H249" i="14"/>
  <c r="G249" i="14"/>
  <c r="C713" i="12"/>
  <c r="B848" i="12"/>
  <c r="H128" i="14"/>
  <c r="B167" i="14"/>
  <c r="G128" i="14"/>
  <c r="D128" i="14"/>
  <c r="C128" i="14"/>
  <c r="I128" i="14"/>
  <c r="F128" i="14"/>
  <c r="E128" i="14"/>
  <c r="B586" i="12"/>
  <c r="C451" i="12"/>
  <c r="G149" i="14"/>
  <c r="D149" i="14"/>
  <c r="H149" i="14"/>
  <c r="A188" i="14"/>
  <c r="F149" i="14"/>
  <c r="E149" i="14"/>
  <c r="I149" i="14"/>
  <c r="C149" i="14"/>
  <c r="B430" i="12"/>
  <c r="C295" i="12"/>
  <c r="B2661" i="12"/>
  <c r="B932" i="12"/>
  <c r="C797" i="12"/>
  <c r="D246" i="14"/>
  <c r="G246" i="14"/>
  <c r="C246" i="14"/>
  <c r="I246" i="14"/>
  <c r="E246" i="14"/>
  <c r="H246" i="14"/>
  <c r="F246" i="14"/>
  <c r="B1170" i="12"/>
  <c r="C961" i="12"/>
  <c r="B1096" i="12"/>
  <c r="C325" i="12"/>
  <c r="B460" i="12"/>
  <c r="C924" i="12"/>
  <c r="B1059" i="12"/>
  <c r="B684" i="12"/>
  <c r="C549" i="12"/>
  <c r="B740" i="12"/>
  <c r="C605" i="12"/>
  <c r="B413" i="12"/>
  <c r="C278" i="12"/>
  <c r="C441" i="12"/>
  <c r="B576" i="12"/>
  <c r="C762" i="12"/>
  <c r="B897" i="12"/>
  <c r="C725" i="12"/>
  <c r="B860" i="12"/>
  <c r="B688" i="12"/>
  <c r="C553" i="12"/>
  <c r="B1017" i="12"/>
  <c r="C882" i="12"/>
  <c r="E217" i="14"/>
  <c r="B744" i="12"/>
  <c r="C609" i="12"/>
  <c r="B458" i="12"/>
  <c r="C323" i="12"/>
  <c r="C319" i="12"/>
  <c r="B454" i="12"/>
  <c r="C378" i="12"/>
  <c r="B513" i="12"/>
  <c r="A244" i="14"/>
  <c r="B936" i="12"/>
  <c r="C801" i="12"/>
  <c r="B1312" i="12"/>
  <c r="C1177" i="12"/>
  <c r="C574" i="12"/>
  <c r="B709" i="12"/>
  <c r="B601" i="12"/>
  <c r="C466" i="12"/>
  <c r="B1308" i="12"/>
  <c r="C1173" i="12"/>
  <c r="B1085" i="12"/>
  <c r="B195" i="14"/>
  <c r="I156" i="14"/>
  <c r="F156" i="14"/>
  <c r="H156" i="14"/>
  <c r="D156" i="14"/>
  <c r="C156" i="14"/>
  <c r="E156" i="14"/>
  <c r="G156" i="14"/>
  <c r="B224" i="14"/>
  <c r="I185" i="14"/>
  <c r="C185" i="14"/>
  <c r="D185" i="14"/>
  <c r="H185" i="14"/>
  <c r="F185" i="14"/>
  <c r="G185" i="14"/>
  <c r="E185" i="14"/>
  <c r="B912" i="12"/>
  <c r="C777" i="12"/>
  <c r="C349" i="12"/>
  <c r="B484" i="12"/>
  <c r="B161" i="14"/>
  <c r="D122" i="14"/>
  <c r="C122" i="14"/>
  <c r="I122" i="14"/>
  <c r="F122" i="14"/>
  <c r="H122" i="14"/>
  <c r="G122" i="14"/>
  <c r="E122" i="14"/>
  <c r="E192" i="14"/>
  <c r="B778" i="12"/>
  <c r="C643" i="12"/>
  <c r="H125" i="14"/>
  <c r="D125" i="14"/>
  <c r="F125" i="14"/>
  <c r="G125" i="14"/>
  <c r="I125" i="14"/>
  <c r="A164" i="14"/>
  <c r="E125" i="14"/>
  <c r="C125" i="14"/>
  <c r="B1321" i="12"/>
  <c r="C217" i="14"/>
  <c r="C1439" i="12"/>
  <c r="B1574" i="12"/>
  <c r="A838" i="12"/>
  <c r="C703" i="12"/>
  <c r="B984" i="12"/>
  <c r="C849" i="12"/>
  <c r="B620" i="12"/>
  <c r="C485" i="12"/>
  <c r="C127" i="14"/>
  <c r="D127" i="14"/>
  <c r="E127" i="14"/>
  <c r="B166" i="14"/>
  <c r="G127" i="14"/>
  <c r="I127" i="14"/>
  <c r="H127" i="14"/>
  <c r="F127" i="14"/>
  <c r="B927" i="12"/>
  <c r="C792" i="12"/>
  <c r="B1191" i="12"/>
  <c r="C1056" i="12"/>
  <c r="C893" i="12"/>
  <c r="B1028" i="12"/>
  <c r="B471" i="12"/>
  <c r="C336" i="12"/>
  <c r="C965" i="12"/>
  <c r="B1100" i="12"/>
  <c r="B1694" i="12"/>
  <c r="C1559" i="12"/>
  <c r="A175" i="14"/>
  <c r="E136" i="14"/>
  <c r="H136" i="14"/>
  <c r="F136" i="14"/>
  <c r="C136" i="14"/>
  <c r="I136" i="14"/>
  <c r="D136" i="14"/>
  <c r="G136" i="14"/>
  <c r="A169" i="14"/>
  <c r="H130" i="14"/>
  <c r="I130" i="14"/>
  <c r="F130" i="14"/>
  <c r="E130" i="14"/>
  <c r="C130" i="14"/>
  <c r="G130" i="14"/>
  <c r="D130" i="14"/>
  <c r="C587" i="12"/>
  <c r="B722" i="12"/>
  <c r="B1307" i="12"/>
  <c r="C1172" i="12"/>
  <c r="B976" i="12"/>
  <c r="C841" i="12"/>
  <c r="B810" i="12"/>
  <c r="C675" i="12"/>
  <c r="G256" i="14"/>
  <c r="D256" i="14"/>
  <c r="E256" i="14"/>
  <c r="C256" i="14"/>
  <c r="I256" i="14"/>
  <c r="H256" i="14"/>
  <c r="F256" i="14"/>
  <c r="C1907" i="12"/>
  <c r="B2042" i="12"/>
  <c r="A785" i="12"/>
  <c r="C650" i="12"/>
  <c r="C820" i="12"/>
  <c r="A955" i="12"/>
  <c r="B942" i="12"/>
  <c r="C807" i="12"/>
  <c r="I184" i="14"/>
  <c r="B223" i="14"/>
  <c r="C184" i="14"/>
  <c r="F184" i="14"/>
  <c r="H184" i="14"/>
  <c r="G184" i="14"/>
  <c r="D184" i="14"/>
  <c r="E184" i="14"/>
  <c r="B839" i="12"/>
  <c r="C704" i="12"/>
  <c r="B450" i="12"/>
  <c r="C315" i="12"/>
  <c r="C1423" i="12"/>
  <c r="B1558" i="12"/>
  <c r="B1648" i="12"/>
  <c r="B645" i="12"/>
  <c r="C510" i="12"/>
  <c r="A900" i="12"/>
  <c r="C765" i="12"/>
  <c r="A243" i="14"/>
  <c r="C204" i="14"/>
  <c r="F204" i="14"/>
  <c r="H204" i="14"/>
  <c r="E204" i="14"/>
  <c r="D204" i="14"/>
  <c r="I204" i="14"/>
  <c r="G204" i="14"/>
  <c r="B1081" i="12"/>
  <c r="C946" i="12"/>
  <c r="B1325" i="12"/>
  <c r="B172" i="14"/>
  <c r="I133" i="14"/>
  <c r="E133" i="14"/>
  <c r="C133" i="14"/>
  <c r="F133" i="14"/>
  <c r="G133" i="14"/>
  <c r="H133" i="14"/>
  <c r="D133" i="14"/>
  <c r="C618" i="12"/>
  <c r="B753" i="12"/>
  <c r="A798" i="12"/>
  <c r="C663" i="12"/>
  <c r="C408" i="12"/>
  <c r="B543" i="12"/>
  <c r="B429" i="12"/>
  <c r="C294" i="12"/>
  <c r="C558" i="12"/>
  <c r="B693" i="12"/>
  <c r="C158" i="14"/>
  <c r="F158" i="14"/>
  <c r="A197" i="14"/>
  <c r="I158" i="14"/>
  <c r="H158" i="14"/>
  <c r="E158" i="14"/>
  <c r="D158" i="14"/>
  <c r="G158" i="14"/>
  <c r="C584" i="12"/>
  <c r="B719" i="12"/>
  <c r="B634" i="12"/>
  <c r="C499" i="12"/>
  <c r="C162" i="14"/>
  <c r="G162" i="14"/>
  <c r="H162" i="14"/>
  <c r="I162" i="14"/>
  <c r="A201" i="14"/>
  <c r="D162" i="14"/>
  <c r="F162" i="14"/>
  <c r="E162" i="14"/>
  <c r="C1041" i="12"/>
  <c r="A1176" i="12"/>
  <c r="B514" i="12"/>
  <c r="C379" i="12"/>
  <c r="B840" i="12"/>
  <c r="C705" i="12"/>
  <c r="B1339" i="12"/>
  <c r="C1204" i="12"/>
  <c r="B599" i="12"/>
  <c r="C464" i="12"/>
  <c r="H192" i="14"/>
  <c r="B795" i="12"/>
  <c r="C660" i="12"/>
  <c r="G217" i="14"/>
  <c r="B577" i="12"/>
  <c r="C442" i="12"/>
  <c r="C1001" i="12"/>
  <c r="B1136" i="12"/>
  <c r="A271" i="14"/>
  <c r="F232" i="14"/>
  <c r="C232" i="14"/>
  <c r="G232" i="14"/>
  <c r="I232" i="14"/>
  <c r="H232" i="14"/>
  <c r="E232" i="14"/>
  <c r="D232" i="14"/>
  <c r="B416" i="12"/>
  <c r="C281" i="12"/>
  <c r="B1075" i="12"/>
  <c r="C940" i="12"/>
  <c r="B833" i="12"/>
  <c r="C698" i="12"/>
  <c r="B1553" i="12"/>
  <c r="C1418" i="12"/>
  <c r="A273" i="14"/>
  <c r="B905" i="12"/>
  <c r="C770" i="12"/>
  <c r="B1765" i="12"/>
  <c r="C258" i="14"/>
  <c r="I258" i="14"/>
  <c r="F258" i="14"/>
  <c r="H258" i="14"/>
  <c r="D258" i="14"/>
  <c r="G258" i="14"/>
  <c r="E258" i="14"/>
  <c r="B1015" i="12"/>
  <c r="C880" i="12"/>
  <c r="G231" i="14"/>
  <c r="A270" i="14"/>
  <c r="I231" i="14"/>
  <c r="C231" i="14"/>
  <c r="E231" i="14"/>
  <c r="H231" i="14"/>
  <c r="D231" i="14"/>
  <c r="F231" i="14"/>
  <c r="B1338" i="12"/>
  <c r="E143" i="14"/>
  <c r="I143" i="14"/>
  <c r="H143" i="14"/>
  <c r="D143" i="14"/>
  <c r="A182" i="14"/>
  <c r="G143" i="14"/>
  <c r="C143" i="14"/>
  <c r="F143" i="14"/>
  <c r="B615" i="12"/>
  <c r="C480" i="12"/>
  <c r="AP62" i="8"/>
  <c r="AO62" i="8"/>
  <c r="C881" i="12"/>
  <c r="B1016" i="12"/>
  <c r="B562" i="12"/>
  <c r="C427" i="12"/>
  <c r="B922" i="12"/>
  <c r="C787" i="12"/>
  <c r="B804" i="12"/>
  <c r="C669" i="12"/>
  <c r="C1391" i="12"/>
  <c r="B1526" i="12"/>
  <c r="C607" i="12"/>
  <c r="B742" i="12"/>
  <c r="B702" i="12"/>
  <c r="C567" i="12"/>
  <c r="B796" i="12"/>
  <c r="C661" i="12"/>
  <c r="A202" i="14"/>
  <c r="I163" i="14"/>
  <c r="H163" i="14"/>
  <c r="F163" i="14"/>
  <c r="E163" i="14"/>
  <c r="D163" i="14"/>
  <c r="G163" i="14"/>
  <c r="C163" i="14"/>
  <c r="B1181" i="12"/>
  <c r="C1046" i="12"/>
  <c r="C622" i="12"/>
  <c r="B757" i="12"/>
  <c r="C183" i="14"/>
  <c r="F183" i="14"/>
  <c r="G183" i="14"/>
  <c r="B222" i="14"/>
  <c r="E183" i="14"/>
  <c r="H183" i="14"/>
  <c r="D183" i="14"/>
  <c r="I183" i="14"/>
  <c r="B852" i="12"/>
  <c r="C717" i="12"/>
  <c r="B1562" i="12"/>
  <c r="C1427" i="12"/>
  <c r="F194" i="14"/>
  <c r="H194" i="14"/>
  <c r="G194" i="14"/>
  <c r="D194" i="14"/>
  <c r="E194" i="14"/>
  <c r="A233" i="14"/>
  <c r="C194" i="14"/>
  <c r="I194" i="14"/>
  <c r="C481" i="12"/>
  <c r="B616" i="12"/>
  <c r="C800" i="12"/>
  <c r="B935" i="12"/>
  <c r="B561" i="12"/>
  <c r="C426" i="12"/>
  <c r="A781" i="12"/>
  <c r="C646" i="12"/>
  <c r="C277" i="12"/>
  <c r="B412" i="12"/>
  <c r="D192" i="14"/>
  <c r="C1143" i="12"/>
  <c r="B1278" i="12"/>
  <c r="B588" i="12"/>
  <c r="C453" i="12"/>
  <c r="F217" i="14"/>
  <c r="B1031" i="12"/>
  <c r="C896" i="12"/>
  <c r="E213" i="14"/>
  <c r="A252" i="14"/>
  <c r="H213" i="14"/>
  <c r="D213" i="14"/>
  <c r="I213" i="14"/>
  <c r="G213" i="14"/>
  <c r="C213" i="14"/>
  <c r="F213" i="14"/>
  <c r="B951" i="12"/>
  <c r="C816" i="12"/>
  <c r="B597" i="12"/>
  <c r="C462" i="12"/>
  <c r="C1178" i="12"/>
  <c r="B1313" i="12"/>
  <c r="B814" i="12"/>
  <c r="C679" i="12"/>
  <c r="B2376" i="12"/>
  <c r="B759" i="12"/>
  <c r="C624" i="12"/>
  <c r="E198" i="14"/>
  <c r="C198" i="14"/>
  <c r="H198" i="14"/>
  <c r="D198" i="14"/>
  <c r="A237" i="14"/>
  <c r="F198" i="14"/>
  <c r="G198" i="14"/>
  <c r="I198" i="14"/>
  <c r="B251" i="14"/>
  <c r="G212" i="14"/>
  <c r="I212" i="14"/>
  <c r="F212" i="14"/>
  <c r="D212" i="14"/>
  <c r="C212" i="14"/>
  <c r="H212" i="14"/>
  <c r="E212" i="14"/>
  <c r="C142" i="14"/>
  <c r="G142" i="14"/>
  <c r="E142" i="14"/>
  <c r="I142" i="14"/>
  <c r="A181" i="14"/>
  <c r="D142" i="14"/>
  <c r="H142" i="14"/>
  <c r="F142" i="14"/>
  <c r="B1504" i="12"/>
  <c r="C1369" i="12"/>
  <c r="B235" i="14"/>
  <c r="I196" i="14"/>
  <c r="E196" i="14"/>
  <c r="C196" i="14"/>
  <c r="H196" i="14"/>
  <c r="G196" i="14"/>
  <c r="D196" i="14"/>
  <c r="F196" i="14"/>
  <c r="B802" i="12"/>
  <c r="C667" i="12"/>
  <c r="B760" i="12"/>
  <c r="C625" i="12"/>
  <c r="B218" i="14"/>
  <c r="F179" i="14"/>
  <c r="I179" i="14"/>
  <c r="E179" i="14"/>
  <c r="C179" i="14"/>
  <c r="D179" i="14"/>
  <c r="G179" i="14"/>
  <c r="H179" i="14"/>
  <c r="B737" i="12"/>
  <c r="C602" i="12"/>
  <c r="B909" i="12"/>
  <c r="C774" i="12"/>
  <c r="B929" i="12"/>
  <c r="C794" i="12"/>
  <c r="E147" i="14"/>
  <c r="B186" i="14"/>
  <c r="H147" i="14"/>
  <c r="I147" i="14"/>
  <c r="C147" i="14"/>
  <c r="D147" i="14"/>
  <c r="F147" i="14"/>
  <c r="G147" i="14"/>
  <c r="B671" i="12"/>
  <c r="C536" i="12"/>
  <c r="B505" i="12"/>
  <c r="C370" i="12"/>
  <c r="B1106" i="12"/>
  <c r="C971" i="12"/>
  <c r="B944" i="12"/>
  <c r="C809" i="12"/>
  <c r="B583" i="12"/>
  <c r="C448" i="12"/>
  <c r="A170" i="14"/>
  <c r="G131" i="14"/>
  <c r="C131" i="14"/>
  <c r="E131" i="14"/>
  <c r="D131" i="14"/>
  <c r="H131" i="14"/>
  <c r="I131" i="14"/>
  <c r="F131" i="14"/>
  <c r="B199" i="14"/>
  <c r="I160" i="14"/>
  <c r="D160" i="14"/>
  <c r="H160" i="14"/>
  <c r="G160" i="14"/>
  <c r="F160" i="14"/>
  <c r="C160" i="14"/>
  <c r="E160" i="14"/>
  <c r="C272" i="12"/>
  <c r="B407" i="12"/>
  <c r="C189" i="14"/>
  <c r="F189" i="14"/>
  <c r="D189" i="14"/>
  <c r="E189" i="14"/>
  <c r="A228" i="14"/>
  <c r="H189" i="14"/>
  <c r="I189" i="14"/>
  <c r="G189" i="14"/>
  <c r="C1198" i="12"/>
  <c r="B1333" i="12"/>
  <c r="C305" i="12"/>
  <c r="B440" i="12"/>
  <c r="A250" i="14"/>
  <c r="B689" i="12"/>
  <c r="C554" i="12"/>
  <c r="B862" i="12"/>
  <c r="C727" i="12"/>
  <c r="B901" i="12"/>
  <c r="C766" i="12"/>
  <c r="B1078" i="12"/>
  <c r="C943" i="12"/>
  <c r="B555" i="12"/>
  <c r="C420" i="12"/>
  <c r="B459" i="12"/>
  <c r="C324" i="12"/>
  <c r="B782" i="12"/>
  <c r="C647" i="12"/>
  <c r="B1601" i="12"/>
  <c r="C1466" i="12"/>
  <c r="B668" i="12"/>
  <c r="C533" i="12"/>
  <c r="B3220" i="12"/>
  <c r="C1144" i="12"/>
  <c r="B1279" i="12"/>
  <c r="C137" i="14"/>
  <c r="G137" i="14"/>
  <c r="F137" i="14"/>
  <c r="A176" i="14"/>
  <c r="H137" i="14"/>
  <c r="D137" i="14"/>
  <c r="E137" i="14"/>
  <c r="I137" i="14"/>
  <c r="B580" i="12"/>
  <c r="C445" i="12"/>
  <c r="H148" i="14"/>
  <c r="A187" i="14"/>
  <c r="G148" i="14"/>
  <c r="I148" i="14"/>
  <c r="C148" i="14"/>
  <c r="E148" i="14"/>
  <c r="D148" i="14"/>
  <c r="F148" i="14"/>
  <c r="B861" i="12"/>
  <c r="C726" i="12"/>
  <c r="G177" i="14"/>
  <c r="C177" i="14"/>
  <c r="H177" i="14"/>
  <c r="D177" i="14"/>
  <c r="E177" i="14"/>
  <c r="I177" i="14"/>
  <c r="F177" i="14"/>
  <c r="B216" i="14"/>
  <c r="C708" i="12"/>
  <c r="B843" i="12"/>
  <c r="B1140" i="12"/>
  <c r="C1005" i="12"/>
  <c r="A1600" i="12"/>
  <c r="C1465" i="12"/>
  <c r="G192" i="14"/>
  <c r="C328" i="12"/>
  <c r="B463" i="12"/>
  <c r="B653" i="12"/>
  <c r="C518" i="12"/>
  <c r="B1184" i="12"/>
  <c r="C1049" i="12"/>
  <c r="B977" i="12"/>
  <c r="C842" i="12"/>
  <c r="I217" i="14"/>
  <c r="B552" i="12"/>
  <c r="C417" i="12"/>
  <c r="B898" i="12"/>
  <c r="C763" i="12"/>
  <c r="A680" i="12"/>
  <c r="C545" i="12"/>
  <c r="B598" i="12" l="1"/>
  <c r="C463" i="12"/>
  <c r="B3355" i="12"/>
  <c r="B594" i="12"/>
  <c r="C459" i="12"/>
  <c r="B238" i="14"/>
  <c r="I199" i="14"/>
  <c r="F199" i="14"/>
  <c r="G199" i="14"/>
  <c r="D199" i="14"/>
  <c r="C199" i="14"/>
  <c r="H199" i="14"/>
  <c r="E199" i="14"/>
  <c r="H252" i="14"/>
  <c r="D252" i="14"/>
  <c r="G252" i="14"/>
  <c r="I252" i="14"/>
  <c r="C252" i="14"/>
  <c r="F252" i="14"/>
  <c r="E252" i="14"/>
  <c r="B1070" i="12"/>
  <c r="C935" i="12"/>
  <c r="B1693" i="12"/>
  <c r="C1558" i="12"/>
  <c r="B844" i="12"/>
  <c r="C709" i="12"/>
  <c r="B1152" i="12"/>
  <c r="C1017" i="12"/>
  <c r="E216" i="14"/>
  <c r="B255" i="14"/>
  <c r="D216" i="14"/>
  <c r="H216" i="14"/>
  <c r="C216" i="14"/>
  <c r="G216" i="14"/>
  <c r="I216" i="14"/>
  <c r="F216" i="14"/>
  <c r="A226" i="14"/>
  <c r="G187" i="14"/>
  <c r="E187" i="14"/>
  <c r="I187" i="14"/>
  <c r="H187" i="14"/>
  <c r="C187" i="14"/>
  <c r="F187" i="14"/>
  <c r="D187" i="14"/>
  <c r="F176" i="14"/>
  <c r="H176" i="14"/>
  <c r="G176" i="14"/>
  <c r="A215" i="14"/>
  <c r="C176" i="14"/>
  <c r="E176" i="14"/>
  <c r="I176" i="14"/>
  <c r="D176" i="14"/>
  <c r="A220" i="14"/>
  <c r="C181" i="14"/>
  <c r="D181" i="14"/>
  <c r="E181" i="14"/>
  <c r="F181" i="14"/>
  <c r="H181" i="14"/>
  <c r="G181" i="14"/>
  <c r="I181" i="14"/>
  <c r="B697" i="12"/>
  <c r="C562" i="12"/>
  <c r="C543" i="12"/>
  <c r="B678" i="12"/>
  <c r="B1216" i="12"/>
  <c r="C1081" i="12"/>
  <c r="G243" i="14"/>
  <c r="H243" i="14"/>
  <c r="C243" i="14"/>
  <c r="E243" i="14"/>
  <c r="D243" i="14"/>
  <c r="I243" i="14"/>
  <c r="F243" i="14"/>
  <c r="B234" i="14"/>
  <c r="G195" i="14"/>
  <c r="I195" i="14"/>
  <c r="C195" i="14"/>
  <c r="D195" i="14"/>
  <c r="E195" i="14"/>
  <c r="H195" i="14"/>
  <c r="F195" i="14"/>
  <c r="B595" i="12"/>
  <c r="C460" i="12"/>
  <c r="C1526" i="12"/>
  <c r="B1661" i="12"/>
  <c r="B968" i="12"/>
  <c r="C833" i="12"/>
  <c r="B1474" i="12"/>
  <c r="C1339" i="12"/>
  <c r="A920" i="12"/>
  <c r="C785" i="12"/>
  <c r="B1163" i="12"/>
  <c r="C1028" i="12"/>
  <c r="C440" i="12"/>
  <c r="B575" i="12"/>
  <c r="B274" i="14"/>
  <c r="D235" i="14"/>
  <c r="F235" i="14"/>
  <c r="C235" i="14"/>
  <c r="H235" i="14"/>
  <c r="G235" i="14"/>
  <c r="E235" i="14"/>
  <c r="I235" i="14"/>
  <c r="B949" i="12"/>
  <c r="C814" i="12"/>
  <c r="B1166" i="12"/>
  <c r="C1031" i="12"/>
  <c r="A221" i="14"/>
  <c r="C182" i="14"/>
  <c r="E182" i="14"/>
  <c r="I182" i="14"/>
  <c r="G182" i="14"/>
  <c r="D182" i="14"/>
  <c r="H182" i="14"/>
  <c r="F182" i="14"/>
  <c r="B1150" i="12"/>
  <c r="C1015" i="12"/>
  <c r="B1447" i="12"/>
  <c r="C1312" i="12"/>
  <c r="B593" i="12"/>
  <c r="C458" i="12"/>
  <c r="B1231" i="12"/>
  <c r="C1096" i="12"/>
  <c r="A815" i="12"/>
  <c r="C680" i="12"/>
  <c r="A1735" i="12"/>
  <c r="C1600" i="12"/>
  <c r="C580" i="12"/>
  <c r="B715" i="12"/>
  <c r="B1736" i="12"/>
  <c r="C1601" i="12"/>
  <c r="B1213" i="12"/>
  <c r="C1078" i="12"/>
  <c r="B1079" i="12"/>
  <c r="C944" i="12"/>
  <c r="B1064" i="12"/>
  <c r="C929" i="12"/>
  <c r="B1448" i="12"/>
  <c r="C1313" i="12"/>
  <c r="D222" i="14"/>
  <c r="G222" i="14"/>
  <c r="B261" i="14"/>
  <c r="F222" i="14"/>
  <c r="C222" i="14"/>
  <c r="E222" i="14"/>
  <c r="I222" i="14"/>
  <c r="H222" i="14"/>
  <c r="B1210" i="12"/>
  <c r="C1075" i="12"/>
  <c r="B975" i="12"/>
  <c r="C840" i="12"/>
  <c r="C201" i="14"/>
  <c r="F201" i="14"/>
  <c r="A240" i="14"/>
  <c r="G201" i="14"/>
  <c r="H201" i="14"/>
  <c r="D201" i="14"/>
  <c r="E201" i="14"/>
  <c r="I201" i="14"/>
  <c r="A933" i="12"/>
  <c r="C798" i="12"/>
  <c r="B888" i="12"/>
  <c r="C753" i="12"/>
  <c r="B205" i="14"/>
  <c r="F166" i="14"/>
  <c r="C166" i="14"/>
  <c r="G166" i="14"/>
  <c r="E166" i="14"/>
  <c r="D166" i="14"/>
  <c r="H166" i="14"/>
  <c r="I166" i="14"/>
  <c r="B913" i="12"/>
  <c r="C778" i="12"/>
  <c r="C740" i="12"/>
  <c r="B875" i="12"/>
  <c r="B640" i="12"/>
  <c r="C505" i="12"/>
  <c r="B877" i="12"/>
  <c r="C742" i="12"/>
  <c r="B734" i="12"/>
  <c r="C599" i="12"/>
  <c r="B564" i="12"/>
  <c r="C429" i="12"/>
  <c r="B2796" i="12"/>
  <c r="I188" i="14"/>
  <c r="C188" i="14"/>
  <c r="E188" i="14"/>
  <c r="A227" i="14"/>
  <c r="D188" i="14"/>
  <c r="F188" i="14"/>
  <c r="G188" i="14"/>
  <c r="H188" i="14"/>
  <c r="C1307" i="12"/>
  <c r="B1442" i="12"/>
  <c r="B1047" i="12"/>
  <c r="C912" i="12"/>
  <c r="B263" i="14"/>
  <c r="G224" i="14"/>
  <c r="H224" i="14"/>
  <c r="E224" i="14"/>
  <c r="D224" i="14"/>
  <c r="F224" i="14"/>
  <c r="C224" i="14"/>
  <c r="I224" i="14"/>
  <c r="B996" i="12"/>
  <c r="C861" i="12"/>
  <c r="B547" i="12"/>
  <c r="C412" i="12"/>
  <c r="B751" i="12"/>
  <c r="C616" i="12"/>
  <c r="C1016" i="12"/>
  <c r="B1151" i="12"/>
  <c r="B712" i="12"/>
  <c r="C577" i="12"/>
  <c r="B1112" i="12"/>
  <c r="C977" i="12"/>
  <c r="C802" i="12"/>
  <c r="B937" i="12"/>
  <c r="B1316" i="12"/>
  <c r="C1181" i="12"/>
  <c r="B1900" i="12"/>
  <c r="B854" i="12"/>
  <c r="C719" i="12"/>
  <c r="B2177" i="12"/>
  <c r="C2042" i="12"/>
  <c r="B1414" i="12"/>
  <c r="C1279" i="12"/>
  <c r="C1333" i="12"/>
  <c r="B1468" i="12"/>
  <c r="B1639" i="12"/>
  <c r="C1504" i="12"/>
  <c r="H251" i="14"/>
  <c r="I251" i="14"/>
  <c r="D251" i="14"/>
  <c r="F251" i="14"/>
  <c r="G251" i="14"/>
  <c r="C251" i="14"/>
  <c r="E251" i="14"/>
  <c r="A916" i="12"/>
  <c r="C781" i="12"/>
  <c r="B1697" i="12"/>
  <c r="C1562" i="12"/>
  <c r="B931" i="12"/>
  <c r="C796" i="12"/>
  <c r="B939" i="12"/>
  <c r="C804" i="12"/>
  <c r="B930" i="12"/>
  <c r="C795" i="12"/>
  <c r="C693" i="12"/>
  <c r="B828" i="12"/>
  <c r="B211" i="14"/>
  <c r="F172" i="14"/>
  <c r="I172" i="14"/>
  <c r="C172" i="14"/>
  <c r="G172" i="14"/>
  <c r="E172" i="14"/>
  <c r="H172" i="14"/>
  <c r="D172" i="14"/>
  <c r="B780" i="12"/>
  <c r="C645" i="12"/>
  <c r="B974" i="12"/>
  <c r="C839" i="12"/>
  <c r="B945" i="12"/>
  <c r="C810" i="12"/>
  <c r="C1694" i="12"/>
  <c r="B1829" i="12"/>
  <c r="B1326" i="12"/>
  <c r="C1191" i="12"/>
  <c r="C838" i="12"/>
  <c r="A973" i="12"/>
  <c r="E164" i="14"/>
  <c r="I164" i="14"/>
  <c r="H164" i="14"/>
  <c r="G164" i="14"/>
  <c r="C164" i="14"/>
  <c r="F164" i="14"/>
  <c r="D164" i="14"/>
  <c r="A203" i="14"/>
  <c r="B200" i="14"/>
  <c r="C161" i="14"/>
  <c r="G161" i="14"/>
  <c r="I161" i="14"/>
  <c r="E161" i="14"/>
  <c r="D161" i="14"/>
  <c r="H161" i="14"/>
  <c r="F161" i="14"/>
  <c r="B1443" i="12"/>
  <c r="C1308" i="12"/>
  <c r="C936" i="12"/>
  <c r="B1071" i="12"/>
  <c r="B879" i="12"/>
  <c r="C744" i="12"/>
  <c r="B1032" i="12"/>
  <c r="C897" i="12"/>
  <c r="B721" i="12"/>
  <c r="C586" i="12"/>
  <c r="B983" i="12"/>
  <c r="C848" i="12"/>
  <c r="B687" i="12"/>
  <c r="C552" i="12"/>
  <c r="G170" i="14"/>
  <c r="A209" i="14"/>
  <c r="E170" i="14"/>
  <c r="C170" i="14"/>
  <c r="D170" i="14"/>
  <c r="I170" i="14"/>
  <c r="H170" i="14"/>
  <c r="F170" i="14"/>
  <c r="C270" i="14"/>
  <c r="H270" i="14"/>
  <c r="F270" i="14"/>
  <c r="D270" i="14"/>
  <c r="I270" i="14"/>
  <c r="G270" i="14"/>
  <c r="E270" i="14"/>
  <c r="B589" i="12"/>
  <c r="C454" i="12"/>
  <c r="C760" i="12"/>
  <c r="B895" i="12"/>
  <c r="F237" i="14"/>
  <c r="G237" i="14"/>
  <c r="C237" i="14"/>
  <c r="E237" i="14"/>
  <c r="D237" i="14"/>
  <c r="H237" i="14"/>
  <c r="I237" i="14"/>
  <c r="B1473" i="12"/>
  <c r="B755" i="12"/>
  <c r="C620" i="12"/>
  <c r="B690" i="12"/>
  <c r="C555" i="12"/>
  <c r="B718" i="12"/>
  <c r="C583" i="12"/>
  <c r="B806" i="12"/>
  <c r="C671" i="12"/>
  <c r="I197" i="14"/>
  <c r="E197" i="14"/>
  <c r="C197" i="14"/>
  <c r="A236" i="14"/>
  <c r="H197" i="14"/>
  <c r="D197" i="14"/>
  <c r="G197" i="14"/>
  <c r="F197" i="14"/>
  <c r="B857" i="12"/>
  <c r="C722" i="12"/>
  <c r="B1456" i="12"/>
  <c r="B823" i="12"/>
  <c r="C688" i="12"/>
  <c r="A1035" i="12"/>
  <c r="C900" i="12"/>
  <c r="A208" i="14"/>
  <c r="D169" i="14"/>
  <c r="C169" i="14"/>
  <c r="H169" i="14"/>
  <c r="G169" i="14"/>
  <c r="E169" i="14"/>
  <c r="F169" i="14"/>
  <c r="I169" i="14"/>
  <c r="F175" i="14"/>
  <c r="C175" i="14"/>
  <c r="H175" i="14"/>
  <c r="A214" i="14"/>
  <c r="D175" i="14"/>
  <c r="E175" i="14"/>
  <c r="G175" i="14"/>
  <c r="I175" i="14"/>
  <c r="B1220" i="12"/>
  <c r="C860" i="12"/>
  <c r="B995" i="12"/>
  <c r="I167" i="14"/>
  <c r="F167" i="14"/>
  <c r="G167" i="14"/>
  <c r="B206" i="14"/>
  <c r="E167" i="14"/>
  <c r="H167" i="14"/>
  <c r="D167" i="14"/>
  <c r="C167" i="14"/>
  <c r="C1184" i="12"/>
  <c r="B1319" i="12"/>
  <c r="C898" i="12"/>
  <c r="B1033" i="12"/>
  <c r="C782" i="12"/>
  <c r="B917" i="12"/>
  <c r="C901" i="12"/>
  <c r="B1036" i="12"/>
  <c r="B1241" i="12"/>
  <c r="C1106" i="12"/>
  <c r="B1044" i="12"/>
  <c r="C909" i="12"/>
  <c r="C588" i="12"/>
  <c r="B723" i="12"/>
  <c r="I233" i="14"/>
  <c r="E233" i="14"/>
  <c r="G233" i="14"/>
  <c r="A272" i="14"/>
  <c r="F233" i="14"/>
  <c r="D233" i="14"/>
  <c r="H233" i="14"/>
  <c r="C233" i="14"/>
  <c r="B1040" i="12"/>
  <c r="C905" i="12"/>
  <c r="C416" i="12"/>
  <c r="B551" i="12"/>
  <c r="H271" i="14"/>
  <c r="I271" i="14"/>
  <c r="E271" i="14"/>
  <c r="C271" i="14"/>
  <c r="D271" i="14"/>
  <c r="G271" i="14"/>
  <c r="F271" i="14"/>
  <c r="B649" i="12"/>
  <c r="C514" i="12"/>
  <c r="B1460" i="12"/>
  <c r="B1077" i="12"/>
  <c r="C942" i="12"/>
  <c r="C1100" i="12"/>
  <c r="B1235" i="12"/>
  <c r="B1709" i="12"/>
  <c r="C1574" i="12"/>
  <c r="C484" i="12"/>
  <c r="B619" i="12"/>
  <c r="B648" i="12"/>
  <c r="C513" i="12"/>
  <c r="B819" i="12"/>
  <c r="C684" i="12"/>
  <c r="B1305" i="12"/>
  <c r="B997" i="12"/>
  <c r="C862" i="12"/>
  <c r="B892" i="12"/>
  <c r="C757" i="12"/>
  <c r="C1553" i="12"/>
  <c r="B1688" i="12"/>
  <c r="E186" i="14"/>
  <c r="B225" i="14"/>
  <c r="H186" i="14"/>
  <c r="C186" i="14"/>
  <c r="G186" i="14"/>
  <c r="I186" i="14"/>
  <c r="D186" i="14"/>
  <c r="F186" i="14"/>
  <c r="B2511" i="12"/>
  <c r="B1086" i="12"/>
  <c r="C951" i="12"/>
  <c r="C471" i="12"/>
  <c r="B606" i="12"/>
  <c r="B803" i="12"/>
  <c r="C668" i="12"/>
  <c r="B824" i="12"/>
  <c r="C689" i="12"/>
  <c r="I228" i="14"/>
  <c r="G228" i="14"/>
  <c r="E228" i="14"/>
  <c r="H228" i="14"/>
  <c r="D228" i="14"/>
  <c r="C228" i="14"/>
  <c r="A267" i="14"/>
  <c r="F228" i="14"/>
  <c r="B769" i="12"/>
  <c r="C634" i="12"/>
  <c r="B548" i="12"/>
  <c r="C413" i="12"/>
  <c r="A241" i="14"/>
  <c r="G202" i="14"/>
  <c r="F202" i="14"/>
  <c r="C202" i="14"/>
  <c r="E202" i="14"/>
  <c r="I202" i="14"/>
  <c r="D202" i="14"/>
  <c r="H202" i="14"/>
  <c r="B585" i="12"/>
  <c r="C450" i="12"/>
  <c r="B262" i="14"/>
  <c r="C223" i="14"/>
  <c r="G223" i="14"/>
  <c r="F223" i="14"/>
  <c r="D223" i="14"/>
  <c r="I223" i="14"/>
  <c r="E223" i="14"/>
  <c r="H223" i="14"/>
  <c r="B1119" i="12"/>
  <c r="C984" i="12"/>
  <c r="B565" i="12"/>
  <c r="C430" i="12"/>
  <c r="B1275" i="12"/>
  <c r="C1140" i="12"/>
  <c r="B788" i="12"/>
  <c r="C653" i="12"/>
  <c r="B978" i="12"/>
  <c r="C843" i="12"/>
  <c r="B542" i="12"/>
  <c r="C407" i="12"/>
  <c r="B872" i="12"/>
  <c r="C737" i="12"/>
  <c r="B257" i="14"/>
  <c r="F218" i="14"/>
  <c r="D218" i="14"/>
  <c r="C218" i="14"/>
  <c r="H218" i="14"/>
  <c r="E218" i="14"/>
  <c r="I218" i="14"/>
  <c r="G218" i="14"/>
  <c r="B894" i="12"/>
  <c r="C759" i="12"/>
  <c r="B732" i="12"/>
  <c r="C597" i="12"/>
  <c r="C1278" i="12"/>
  <c r="B1413" i="12"/>
  <c r="B696" i="12"/>
  <c r="C561" i="12"/>
  <c r="B987" i="12"/>
  <c r="C852" i="12"/>
  <c r="C702" i="12"/>
  <c r="B837" i="12"/>
  <c r="B1057" i="12"/>
  <c r="C922" i="12"/>
  <c r="B750" i="12"/>
  <c r="C615" i="12"/>
  <c r="B1271" i="12"/>
  <c r="C1136" i="12"/>
  <c r="A1311" i="12"/>
  <c r="C1176" i="12"/>
  <c r="B1783" i="12"/>
  <c r="A1090" i="12"/>
  <c r="C955" i="12"/>
  <c r="B1111" i="12"/>
  <c r="C976" i="12"/>
  <c r="B1062" i="12"/>
  <c r="C927" i="12"/>
  <c r="C601" i="12"/>
  <c r="B736" i="12"/>
  <c r="B711" i="12"/>
  <c r="C576" i="12"/>
  <c r="B1194" i="12"/>
  <c r="C1059" i="12"/>
  <c r="B1067" i="12"/>
  <c r="C932" i="12"/>
  <c r="A891" i="12"/>
  <c r="C756" i="12"/>
  <c r="B904" i="12" l="1"/>
  <c r="C769" i="12"/>
  <c r="C1086" i="12"/>
  <c r="B1221" i="12"/>
  <c r="B1774" i="12"/>
  <c r="C1639" i="12"/>
  <c r="B1247" i="12"/>
  <c r="C1112" i="12"/>
  <c r="A1068" i="12"/>
  <c r="C933" i="12"/>
  <c r="B1074" i="12"/>
  <c r="C939" i="12"/>
  <c r="C238" i="14"/>
  <c r="H238" i="14"/>
  <c r="I238" i="14"/>
  <c r="D238" i="14"/>
  <c r="E238" i="14"/>
  <c r="G238" i="14"/>
  <c r="F238" i="14"/>
  <c r="B847" i="12"/>
  <c r="C712" i="12"/>
  <c r="B1110" i="12"/>
  <c r="C975" i="12"/>
  <c r="B1214" i="12"/>
  <c r="C1079" i="12"/>
  <c r="C1447" i="12"/>
  <c r="B1582" i="12"/>
  <c r="H220" i="14"/>
  <c r="G220" i="14"/>
  <c r="A259" i="14"/>
  <c r="D220" i="14"/>
  <c r="C220" i="14"/>
  <c r="I220" i="14"/>
  <c r="E220" i="14"/>
  <c r="F220" i="14"/>
  <c r="B1370" i="12"/>
  <c r="C1235" i="12"/>
  <c r="B1130" i="12"/>
  <c r="C995" i="12"/>
  <c r="G214" i="14"/>
  <c r="A253" i="14"/>
  <c r="H214" i="14"/>
  <c r="F214" i="14"/>
  <c r="I214" i="14"/>
  <c r="D214" i="14"/>
  <c r="E214" i="14"/>
  <c r="C214" i="14"/>
  <c r="F236" i="14"/>
  <c r="I236" i="14"/>
  <c r="G236" i="14"/>
  <c r="H236" i="14"/>
  <c r="D236" i="14"/>
  <c r="C236" i="14"/>
  <c r="E236" i="14"/>
  <c r="B915" i="12"/>
  <c r="C780" i="12"/>
  <c r="C1151" i="12"/>
  <c r="B1286" i="12"/>
  <c r="F227" i="14"/>
  <c r="H227" i="14"/>
  <c r="A266" i="14"/>
  <c r="G227" i="14"/>
  <c r="I227" i="14"/>
  <c r="C227" i="14"/>
  <c r="E227" i="14"/>
  <c r="D227" i="14"/>
  <c r="C221" i="14"/>
  <c r="G221" i="14"/>
  <c r="F221" i="14"/>
  <c r="H221" i="14"/>
  <c r="E221" i="14"/>
  <c r="D221" i="14"/>
  <c r="I221" i="14"/>
  <c r="A260" i="14"/>
  <c r="C594" i="12"/>
  <c r="B729" i="12"/>
  <c r="C1194" i="12"/>
  <c r="B1329" i="12"/>
  <c r="C1111" i="12"/>
  <c r="B1246" i="12"/>
  <c r="B1406" i="12"/>
  <c r="C1271" i="12"/>
  <c r="B1122" i="12"/>
  <c r="C987" i="12"/>
  <c r="B1029" i="12"/>
  <c r="C894" i="12"/>
  <c r="G257" i="14"/>
  <c r="E257" i="14"/>
  <c r="F257" i="14"/>
  <c r="C257" i="14"/>
  <c r="H257" i="14"/>
  <c r="I257" i="14"/>
  <c r="D257" i="14"/>
  <c r="B923" i="12"/>
  <c r="C788" i="12"/>
  <c r="C585" i="12"/>
  <c r="B720" i="12"/>
  <c r="C241" i="14"/>
  <c r="E241" i="14"/>
  <c r="H241" i="14"/>
  <c r="I241" i="14"/>
  <c r="D241" i="14"/>
  <c r="G241" i="14"/>
  <c r="F241" i="14"/>
  <c r="B938" i="12"/>
  <c r="C803" i="12"/>
  <c r="B954" i="12"/>
  <c r="C819" i="12"/>
  <c r="B825" i="12"/>
  <c r="C690" i="12"/>
  <c r="B822" i="12"/>
  <c r="C687" i="12"/>
  <c r="B1014" i="12"/>
  <c r="C879" i="12"/>
  <c r="B1206" i="12"/>
  <c r="C1071" i="12"/>
  <c r="B1964" i="12"/>
  <c r="C1829" i="12"/>
  <c r="C828" i="12"/>
  <c r="B963" i="12"/>
  <c r="C1414" i="12"/>
  <c r="B1549" i="12"/>
  <c r="B1451" i="12"/>
  <c r="C1316" i="12"/>
  <c r="C1047" i="12"/>
  <c r="B1182" i="12"/>
  <c r="C734" i="12"/>
  <c r="B869" i="12"/>
  <c r="B1048" i="12"/>
  <c r="C913" i="12"/>
  <c r="B244" i="14"/>
  <c r="G205" i="14"/>
  <c r="H205" i="14"/>
  <c r="D205" i="14"/>
  <c r="F205" i="14"/>
  <c r="E205" i="14"/>
  <c r="I205" i="14"/>
  <c r="C205" i="14"/>
  <c r="B1345" i="12"/>
  <c r="C1210" i="12"/>
  <c r="C1213" i="12"/>
  <c r="B1348" i="12"/>
  <c r="A950" i="12"/>
  <c r="C815" i="12"/>
  <c r="B1287" i="12"/>
  <c r="C1152" i="12"/>
  <c r="B677" i="12"/>
  <c r="C542" i="12"/>
  <c r="B1132" i="12"/>
  <c r="C997" i="12"/>
  <c r="A1170" i="12"/>
  <c r="C1035" i="12"/>
  <c r="B1608" i="12"/>
  <c r="A1108" i="12"/>
  <c r="C973" i="12"/>
  <c r="C854" i="12"/>
  <c r="B989" i="12"/>
  <c r="C547" i="12"/>
  <c r="B682" i="12"/>
  <c r="B2931" i="12"/>
  <c r="C1064" i="12"/>
  <c r="B1199" i="12"/>
  <c r="B728" i="12"/>
  <c r="C593" i="12"/>
  <c r="C1693" i="12"/>
  <c r="B1828" i="12"/>
  <c r="E225" i="14"/>
  <c r="F225" i="14"/>
  <c r="D225" i="14"/>
  <c r="I225" i="14"/>
  <c r="C225" i="14"/>
  <c r="H225" i="14"/>
  <c r="B264" i="14"/>
  <c r="G225" i="14"/>
  <c r="A248" i="14"/>
  <c r="G209" i="14"/>
  <c r="C209" i="14"/>
  <c r="H209" i="14"/>
  <c r="E209" i="14"/>
  <c r="I209" i="14"/>
  <c r="F209" i="14"/>
  <c r="D209" i="14"/>
  <c r="C974" i="12"/>
  <c r="B1109" i="12"/>
  <c r="B1603" i="12"/>
  <c r="C1468" i="12"/>
  <c r="H255" i="14"/>
  <c r="I255" i="14"/>
  <c r="C255" i="14"/>
  <c r="D255" i="14"/>
  <c r="E255" i="14"/>
  <c r="G255" i="14"/>
  <c r="F255" i="14"/>
  <c r="C732" i="12"/>
  <c r="B867" i="12"/>
  <c r="B1254" i="12"/>
  <c r="C1119" i="12"/>
  <c r="I267" i="14"/>
  <c r="G267" i="14"/>
  <c r="D267" i="14"/>
  <c r="E267" i="14"/>
  <c r="C267" i="14"/>
  <c r="H267" i="14"/>
  <c r="F267" i="14"/>
  <c r="B959" i="12"/>
  <c r="C824" i="12"/>
  <c r="C551" i="12"/>
  <c r="B686" i="12"/>
  <c r="C564" i="12"/>
  <c r="B699" i="12"/>
  <c r="D261" i="14"/>
  <c r="F261" i="14"/>
  <c r="H261" i="14"/>
  <c r="G261" i="14"/>
  <c r="E261" i="14"/>
  <c r="I261" i="14"/>
  <c r="C261" i="14"/>
  <c r="C1661" i="12"/>
  <c r="B1796" i="12"/>
  <c r="E226" i="14"/>
  <c r="F226" i="14"/>
  <c r="H226" i="14"/>
  <c r="I226" i="14"/>
  <c r="D226" i="14"/>
  <c r="G226" i="14"/>
  <c r="C226" i="14"/>
  <c r="A265" i="14"/>
  <c r="B1205" i="12"/>
  <c r="C1070" i="12"/>
  <c r="B1376" i="12"/>
  <c r="C1241" i="12"/>
  <c r="B1171" i="12"/>
  <c r="C1036" i="12"/>
  <c r="B1591" i="12"/>
  <c r="B1285" i="12"/>
  <c r="C1150" i="12"/>
  <c r="B741" i="12"/>
  <c r="C606" i="12"/>
  <c r="B1175" i="12"/>
  <c r="C1040" i="12"/>
  <c r="B1052" i="12"/>
  <c r="C917" i="12"/>
  <c r="B1832" i="12"/>
  <c r="C1697" i="12"/>
  <c r="B1072" i="12"/>
  <c r="C937" i="12"/>
  <c r="C1442" i="12"/>
  <c r="B1577" i="12"/>
  <c r="B1301" i="12"/>
  <c r="C1166" i="12"/>
  <c r="A1055" i="12"/>
  <c r="C920" i="12"/>
  <c r="B730" i="12"/>
  <c r="C595" i="12"/>
  <c r="B273" i="14"/>
  <c r="H234" i="14"/>
  <c r="C234" i="14"/>
  <c r="G234" i="14"/>
  <c r="E234" i="14"/>
  <c r="F234" i="14"/>
  <c r="I234" i="14"/>
  <c r="D234" i="14"/>
  <c r="B3490" i="12"/>
  <c r="B1192" i="12"/>
  <c r="C1057" i="12"/>
  <c r="B700" i="12"/>
  <c r="C565" i="12"/>
  <c r="B941" i="12"/>
  <c r="C806" i="12"/>
  <c r="B1030" i="12"/>
  <c r="C895" i="12"/>
  <c r="C721" i="12"/>
  <c r="B856" i="12"/>
  <c r="B1440" i="12"/>
  <c r="B1179" i="12"/>
  <c r="C1044" i="12"/>
  <c r="B1454" i="12"/>
  <c r="C1319" i="12"/>
  <c r="B1103" i="12"/>
  <c r="C968" i="12"/>
  <c r="G262" i="14"/>
  <c r="E262" i="14"/>
  <c r="I262" i="14"/>
  <c r="D262" i="14"/>
  <c r="H262" i="14"/>
  <c r="C262" i="14"/>
  <c r="F262" i="14"/>
  <c r="B2646" i="12"/>
  <c r="B853" i="12"/>
  <c r="C718" i="12"/>
  <c r="B2035" i="12"/>
  <c r="H263" i="14"/>
  <c r="F263" i="14"/>
  <c r="G263" i="14"/>
  <c r="D263" i="14"/>
  <c r="C263" i="14"/>
  <c r="E263" i="14"/>
  <c r="I263" i="14"/>
  <c r="A1870" i="12"/>
  <c r="C1735" i="12"/>
  <c r="B724" i="12"/>
  <c r="C589" i="12"/>
  <c r="B1461" i="12"/>
  <c r="C1326" i="12"/>
  <c r="B250" i="14"/>
  <c r="I211" i="14"/>
  <c r="H211" i="14"/>
  <c r="E211" i="14"/>
  <c r="F211" i="14"/>
  <c r="G211" i="14"/>
  <c r="D211" i="14"/>
  <c r="C211" i="14"/>
  <c r="B1066" i="12"/>
  <c r="C931" i="12"/>
  <c r="C1163" i="12"/>
  <c r="B1298" i="12"/>
  <c r="B846" i="12"/>
  <c r="C711" i="12"/>
  <c r="A1225" i="12"/>
  <c r="C1090" i="12"/>
  <c r="B885" i="12"/>
  <c r="C750" i="12"/>
  <c r="B831" i="12"/>
  <c r="C696" i="12"/>
  <c r="B1007" i="12"/>
  <c r="C872" i="12"/>
  <c r="B1410" i="12"/>
  <c r="C1275" i="12"/>
  <c r="C548" i="12"/>
  <c r="B683" i="12"/>
  <c r="B1027" i="12"/>
  <c r="C892" i="12"/>
  <c r="B783" i="12"/>
  <c r="C648" i="12"/>
  <c r="C1077" i="12"/>
  <c r="B1212" i="12"/>
  <c r="C723" i="12"/>
  <c r="B858" i="12"/>
  <c r="B1355" i="12"/>
  <c r="E208" i="14"/>
  <c r="I208" i="14"/>
  <c r="G208" i="14"/>
  <c r="D208" i="14"/>
  <c r="A247" i="14"/>
  <c r="C208" i="14"/>
  <c r="H208" i="14"/>
  <c r="F208" i="14"/>
  <c r="B992" i="12"/>
  <c r="C857" i="12"/>
  <c r="B890" i="12"/>
  <c r="C755" i="12"/>
  <c r="C983" i="12"/>
  <c r="B1118" i="12"/>
  <c r="B2312" i="12"/>
  <c r="C2177" i="12"/>
  <c r="C751" i="12"/>
  <c r="B886" i="12"/>
  <c r="C877" i="12"/>
  <c r="B1012" i="12"/>
  <c r="B1023" i="12"/>
  <c r="C888" i="12"/>
  <c r="E240" i="14"/>
  <c r="C240" i="14"/>
  <c r="H240" i="14"/>
  <c r="F240" i="14"/>
  <c r="G240" i="14"/>
  <c r="I240" i="14"/>
  <c r="D240" i="14"/>
  <c r="C1448" i="12"/>
  <c r="B1583" i="12"/>
  <c r="C1736" i="12"/>
  <c r="B1871" i="12"/>
  <c r="B1366" i="12"/>
  <c r="C1231" i="12"/>
  <c r="B1351" i="12"/>
  <c r="C1216" i="12"/>
  <c r="B979" i="12"/>
  <c r="C844" i="12"/>
  <c r="A1026" i="12"/>
  <c r="C891" i="12"/>
  <c r="B1918" i="12"/>
  <c r="G203" i="14"/>
  <c r="I203" i="14"/>
  <c r="H203" i="14"/>
  <c r="C203" i="14"/>
  <c r="E203" i="14"/>
  <c r="A242" i="14"/>
  <c r="D203" i="14"/>
  <c r="F203" i="14"/>
  <c r="C640" i="12"/>
  <c r="B775" i="12"/>
  <c r="C575" i="12"/>
  <c r="B710" i="12"/>
  <c r="C837" i="12"/>
  <c r="B972" i="12"/>
  <c r="C875" i="12"/>
  <c r="B1010" i="12"/>
  <c r="C1067" i="12"/>
  <c r="B1202" i="12"/>
  <c r="B1197" i="12"/>
  <c r="C1062" i="12"/>
  <c r="A1446" i="12"/>
  <c r="C1311" i="12"/>
  <c r="B1113" i="12"/>
  <c r="C978" i="12"/>
  <c r="B1844" i="12"/>
  <c r="C1709" i="12"/>
  <c r="B784" i="12"/>
  <c r="C649" i="12"/>
  <c r="G272" i="14"/>
  <c r="H272" i="14"/>
  <c r="D272" i="14"/>
  <c r="F272" i="14"/>
  <c r="C272" i="14"/>
  <c r="E272" i="14"/>
  <c r="I272" i="14"/>
  <c r="B958" i="12"/>
  <c r="C823" i="12"/>
  <c r="B1167" i="12"/>
  <c r="C1032" i="12"/>
  <c r="B1131" i="12"/>
  <c r="C996" i="12"/>
  <c r="B832" i="12"/>
  <c r="C697" i="12"/>
  <c r="B1823" i="12"/>
  <c r="C1688" i="12"/>
  <c r="B871" i="12"/>
  <c r="C736" i="12"/>
  <c r="C1413" i="12"/>
  <c r="B1548" i="12"/>
  <c r="B754" i="12"/>
  <c r="C619" i="12"/>
  <c r="B1595" i="12"/>
  <c r="C1033" i="12"/>
  <c r="B1168" i="12"/>
  <c r="F206" i="14"/>
  <c r="I206" i="14"/>
  <c r="C206" i="14"/>
  <c r="D206" i="14"/>
  <c r="H206" i="14"/>
  <c r="G206" i="14"/>
  <c r="E206" i="14"/>
  <c r="B245" i="14"/>
  <c r="B1578" i="12"/>
  <c r="C1443" i="12"/>
  <c r="B239" i="14"/>
  <c r="F200" i="14"/>
  <c r="C200" i="14"/>
  <c r="H200" i="14"/>
  <c r="I200" i="14"/>
  <c r="E200" i="14"/>
  <c r="G200" i="14"/>
  <c r="D200" i="14"/>
  <c r="B1080" i="12"/>
  <c r="C945" i="12"/>
  <c r="B1065" i="12"/>
  <c r="C930" i="12"/>
  <c r="A1051" i="12"/>
  <c r="C916" i="12"/>
  <c r="C715" i="12"/>
  <c r="B850" i="12"/>
  <c r="B1084" i="12"/>
  <c r="C949" i="12"/>
  <c r="H274" i="14"/>
  <c r="F274" i="14"/>
  <c r="E274" i="14"/>
  <c r="C274" i="14"/>
  <c r="D274" i="14"/>
  <c r="I274" i="14"/>
  <c r="G274" i="14"/>
  <c r="B1609" i="12"/>
  <c r="C1474" i="12"/>
  <c r="B813" i="12"/>
  <c r="C678" i="12"/>
  <c r="G215" i="14"/>
  <c r="F215" i="14"/>
  <c r="I215" i="14"/>
  <c r="A254" i="14"/>
  <c r="E215" i="14"/>
  <c r="D215" i="14"/>
  <c r="C215" i="14"/>
  <c r="H215" i="14"/>
  <c r="B733" i="12"/>
  <c r="C598" i="12"/>
  <c r="B1215" i="12" l="1"/>
  <c r="C1080" i="12"/>
  <c r="B1314" i="12"/>
  <c r="C1179" i="12"/>
  <c r="B865" i="12"/>
  <c r="C730" i="12"/>
  <c r="B1511" i="12"/>
  <c r="C1376" i="12"/>
  <c r="B1004" i="12"/>
  <c r="C869" i="12"/>
  <c r="C963" i="12"/>
  <c r="B1098" i="12"/>
  <c r="B1683" i="12"/>
  <c r="C1548" i="12"/>
  <c r="C1351" i="12"/>
  <c r="B1486" i="12"/>
  <c r="B1575" i="12"/>
  <c r="B1094" i="12"/>
  <c r="C959" i="12"/>
  <c r="B1050" i="12"/>
  <c r="C915" i="12"/>
  <c r="B1713" i="12"/>
  <c r="C1578" i="12"/>
  <c r="A1190" i="12"/>
  <c r="C1055" i="12"/>
  <c r="B1389" i="12"/>
  <c r="C1254" i="12"/>
  <c r="B1124" i="12"/>
  <c r="C989" i="12"/>
  <c r="B1317" i="12"/>
  <c r="C1182" i="12"/>
  <c r="B1265" i="12"/>
  <c r="C1130" i="12"/>
  <c r="B868" i="12"/>
  <c r="C733" i="12"/>
  <c r="B1164" i="12"/>
  <c r="C1029" i="12"/>
  <c r="A1186" i="12"/>
  <c r="C1051" i="12"/>
  <c r="B1006" i="12"/>
  <c r="C871" i="12"/>
  <c r="C1167" i="12"/>
  <c r="B1302" i="12"/>
  <c r="C972" i="12"/>
  <c r="B1107" i="12"/>
  <c r="H242" i="14"/>
  <c r="C242" i="14"/>
  <c r="G242" i="14"/>
  <c r="E242" i="14"/>
  <c r="D242" i="14"/>
  <c r="F242" i="14"/>
  <c r="I242" i="14"/>
  <c r="C1871" i="12"/>
  <c r="B2006" i="12"/>
  <c r="C992" i="12"/>
  <c r="B1127" i="12"/>
  <c r="B918" i="12"/>
  <c r="C783" i="12"/>
  <c r="C1007" i="12"/>
  <c r="B1142" i="12"/>
  <c r="B981" i="12"/>
  <c r="C846" i="12"/>
  <c r="B859" i="12"/>
  <c r="C724" i="12"/>
  <c r="B1238" i="12"/>
  <c r="C1103" i="12"/>
  <c r="C1192" i="12"/>
  <c r="B1327" i="12"/>
  <c r="B1436" i="12"/>
  <c r="C1301" i="12"/>
  <c r="B1187" i="12"/>
  <c r="C1052" i="12"/>
  <c r="C699" i="12"/>
  <c r="B834" i="12"/>
  <c r="C1199" i="12"/>
  <c r="B1334" i="12"/>
  <c r="B864" i="12"/>
  <c r="C729" i="12"/>
  <c r="C1370" i="12"/>
  <c r="B1505" i="12"/>
  <c r="B982" i="12"/>
  <c r="C847" i="12"/>
  <c r="B1356" i="12"/>
  <c r="C1221" i="12"/>
  <c r="F239" i="14"/>
  <c r="E239" i="14"/>
  <c r="G239" i="14"/>
  <c r="I239" i="14"/>
  <c r="D239" i="14"/>
  <c r="C239" i="14"/>
  <c r="H239" i="14"/>
  <c r="B1158" i="12"/>
  <c r="C1023" i="12"/>
  <c r="D247" i="14"/>
  <c r="H247" i="14"/>
  <c r="G247" i="14"/>
  <c r="C247" i="14"/>
  <c r="I247" i="14"/>
  <c r="E247" i="14"/>
  <c r="F247" i="14"/>
  <c r="B1347" i="12"/>
  <c r="C1212" i="12"/>
  <c r="C853" i="12"/>
  <c r="B988" i="12"/>
  <c r="E264" i="14"/>
  <c r="H264" i="14"/>
  <c r="I264" i="14"/>
  <c r="G264" i="14"/>
  <c r="F264" i="14"/>
  <c r="D264" i="14"/>
  <c r="C264" i="14"/>
  <c r="A1085" i="12"/>
  <c r="C950" i="12"/>
  <c r="B1145" i="12"/>
  <c r="C1010" i="12"/>
  <c r="B1545" i="12"/>
  <c r="C1410" i="12"/>
  <c r="C245" i="14"/>
  <c r="D245" i="14"/>
  <c r="G245" i="14"/>
  <c r="F245" i="14"/>
  <c r="I245" i="14"/>
  <c r="H245" i="14"/>
  <c r="E245" i="14"/>
  <c r="C1168" i="12"/>
  <c r="B1303" i="12"/>
  <c r="B2053" i="12"/>
  <c r="B1021" i="12"/>
  <c r="C886" i="12"/>
  <c r="B1002" i="12"/>
  <c r="C867" i="12"/>
  <c r="B1267" i="12"/>
  <c r="C1132" i="12"/>
  <c r="C813" i="12"/>
  <c r="B948" i="12"/>
  <c r="C1446" i="12"/>
  <c r="A1581" i="12"/>
  <c r="A1161" i="12"/>
  <c r="C1026" i="12"/>
  <c r="B1490" i="12"/>
  <c r="B1433" i="12"/>
  <c r="C1298" i="12"/>
  <c r="B3625" i="12"/>
  <c r="B1712" i="12"/>
  <c r="C1577" i="12"/>
  <c r="B1738" i="12"/>
  <c r="C1603" i="12"/>
  <c r="C1108" i="12"/>
  <c r="A1243" i="12"/>
  <c r="C677" i="12"/>
  <c r="B812" i="12"/>
  <c r="B1480" i="12"/>
  <c r="C1345" i="12"/>
  <c r="D244" i="14"/>
  <c r="G244" i="14"/>
  <c r="I244" i="14"/>
  <c r="C244" i="14"/>
  <c r="F244" i="14"/>
  <c r="E244" i="14"/>
  <c r="H244" i="14"/>
  <c r="B1586" i="12"/>
  <c r="C1451" i="12"/>
  <c r="B1341" i="12"/>
  <c r="C1206" i="12"/>
  <c r="C954" i="12"/>
  <c r="B1089" i="12"/>
  <c r="B1257" i="12"/>
  <c r="C1122" i="12"/>
  <c r="B1717" i="12"/>
  <c r="C1582" i="12"/>
  <c r="C1074" i="12"/>
  <c r="B1209" i="12"/>
  <c r="G254" i="14"/>
  <c r="C254" i="14"/>
  <c r="D254" i="14"/>
  <c r="E254" i="14"/>
  <c r="H254" i="14"/>
  <c r="I254" i="14"/>
  <c r="F254" i="14"/>
  <c r="B889" i="12"/>
  <c r="C754" i="12"/>
  <c r="B967" i="12"/>
  <c r="C832" i="12"/>
  <c r="B1201" i="12"/>
  <c r="C1066" i="12"/>
  <c r="I250" i="14"/>
  <c r="G250" i="14"/>
  <c r="E250" i="14"/>
  <c r="D250" i="14"/>
  <c r="H250" i="14"/>
  <c r="C250" i="14"/>
  <c r="F250" i="14"/>
  <c r="B876" i="12"/>
  <c r="C741" i="12"/>
  <c r="B1963" i="12"/>
  <c r="C1828" i="12"/>
  <c r="B817" i="12"/>
  <c r="C682" i="12"/>
  <c r="C1246" i="12"/>
  <c r="B1381" i="12"/>
  <c r="B1349" i="12"/>
  <c r="C1214" i="12"/>
  <c r="B985" i="12"/>
  <c r="C850" i="12"/>
  <c r="A1305" i="12"/>
  <c r="C1170" i="12"/>
  <c r="C822" i="12"/>
  <c r="B957" i="12"/>
  <c r="B1382" i="12"/>
  <c r="C1247" i="12"/>
  <c r="B1025" i="12"/>
  <c r="C890" i="12"/>
  <c r="A1360" i="12"/>
  <c r="C1225" i="12"/>
  <c r="B1058" i="12"/>
  <c r="C923" i="12"/>
  <c r="B1464" i="12"/>
  <c r="C1329" i="12"/>
  <c r="G259" i="14"/>
  <c r="E259" i="14"/>
  <c r="C259" i="14"/>
  <c r="F259" i="14"/>
  <c r="H259" i="14"/>
  <c r="I259" i="14"/>
  <c r="D259" i="14"/>
  <c r="C1113" i="12"/>
  <c r="B1248" i="12"/>
  <c r="B991" i="12"/>
  <c r="C856" i="12"/>
  <c r="B1726" i="12"/>
  <c r="E265" i="14"/>
  <c r="F265" i="14"/>
  <c r="I265" i="14"/>
  <c r="G265" i="14"/>
  <c r="C265" i="14"/>
  <c r="H265" i="14"/>
  <c r="D265" i="14"/>
  <c r="B1931" i="12"/>
  <c r="C1796" i="12"/>
  <c r="B863" i="12"/>
  <c r="C728" i="12"/>
  <c r="F266" i="14"/>
  <c r="H266" i="14"/>
  <c r="I266" i="14"/>
  <c r="G266" i="14"/>
  <c r="C266" i="14"/>
  <c r="D266" i="14"/>
  <c r="E266" i="14"/>
  <c r="C1065" i="12"/>
  <c r="B1200" i="12"/>
  <c r="B1730" i="12"/>
  <c r="C1823" i="12"/>
  <c r="B1958" i="12"/>
  <c r="B1093" i="12"/>
  <c r="C958" i="12"/>
  <c r="B845" i="12"/>
  <c r="C710" i="12"/>
  <c r="C1583" i="12"/>
  <c r="B1718" i="12"/>
  <c r="B2447" i="12"/>
  <c r="C2312" i="12"/>
  <c r="C1027" i="12"/>
  <c r="B1162" i="12"/>
  <c r="B966" i="12"/>
  <c r="C831" i="12"/>
  <c r="A2005" i="12"/>
  <c r="C1870" i="12"/>
  <c r="B2170" i="12"/>
  <c r="C1454" i="12"/>
  <c r="B1589" i="12"/>
  <c r="B1165" i="12"/>
  <c r="C1030" i="12"/>
  <c r="C273" i="14"/>
  <c r="F273" i="14"/>
  <c r="E273" i="14"/>
  <c r="G273" i="14"/>
  <c r="H273" i="14"/>
  <c r="D273" i="14"/>
  <c r="I273" i="14"/>
  <c r="B1310" i="12"/>
  <c r="C1175" i="12"/>
  <c r="B1306" i="12"/>
  <c r="C1171" i="12"/>
  <c r="B821" i="12"/>
  <c r="C686" i="12"/>
  <c r="B1244" i="12"/>
  <c r="C1109" i="12"/>
  <c r="B3066" i="12"/>
  <c r="C1549" i="12"/>
  <c r="B1684" i="12"/>
  <c r="F260" i="14"/>
  <c r="D260" i="14"/>
  <c r="E260" i="14"/>
  <c r="H260" i="14"/>
  <c r="I260" i="14"/>
  <c r="C260" i="14"/>
  <c r="G260" i="14"/>
  <c r="C1286" i="12"/>
  <c r="B1421" i="12"/>
  <c r="B1219" i="12"/>
  <c r="C1084" i="12"/>
  <c r="B1337" i="12"/>
  <c r="C1202" i="12"/>
  <c r="B910" i="12"/>
  <c r="C775" i="12"/>
  <c r="B1020" i="12"/>
  <c r="C885" i="12"/>
  <c r="B1076" i="12"/>
  <c r="C941" i="12"/>
  <c r="B1207" i="12"/>
  <c r="C1072" i="12"/>
  <c r="B1979" i="12"/>
  <c r="C1844" i="12"/>
  <c r="C1012" i="12"/>
  <c r="B1147" i="12"/>
  <c r="B1266" i="12"/>
  <c r="C1131" i="12"/>
  <c r="B1596" i="12"/>
  <c r="C1461" i="12"/>
  <c r="B835" i="12"/>
  <c r="C700" i="12"/>
  <c r="B1967" i="12"/>
  <c r="C1832" i="12"/>
  <c r="B1420" i="12"/>
  <c r="C1285" i="12"/>
  <c r="C1205" i="12"/>
  <c r="B1340" i="12"/>
  <c r="B1483" i="12"/>
  <c r="C1348" i="12"/>
  <c r="B1245" i="12"/>
  <c r="C1110" i="12"/>
  <c r="B1501" i="12"/>
  <c r="C1366" i="12"/>
  <c r="B2781" i="12"/>
  <c r="B2099" i="12"/>
  <c r="C1964" i="12"/>
  <c r="B960" i="12"/>
  <c r="C825" i="12"/>
  <c r="C1774" i="12"/>
  <c r="B1909" i="12"/>
  <c r="C1609" i="12"/>
  <c r="B1744" i="12"/>
  <c r="B919" i="12"/>
  <c r="C784" i="12"/>
  <c r="B1332" i="12"/>
  <c r="C1197" i="12"/>
  <c r="B1114" i="12"/>
  <c r="C979" i="12"/>
  <c r="C1118" i="12"/>
  <c r="B1253" i="12"/>
  <c r="B993" i="12"/>
  <c r="C858" i="12"/>
  <c r="B818" i="12"/>
  <c r="C683" i="12"/>
  <c r="C248" i="14"/>
  <c r="D248" i="14"/>
  <c r="H248" i="14"/>
  <c r="G248" i="14"/>
  <c r="E248" i="14"/>
  <c r="I248" i="14"/>
  <c r="F248" i="14"/>
  <c r="B1743" i="12"/>
  <c r="B1422" i="12"/>
  <c r="C1287" i="12"/>
  <c r="B1183" i="12"/>
  <c r="C1048" i="12"/>
  <c r="C1014" i="12"/>
  <c r="B1149" i="12"/>
  <c r="B1073" i="12"/>
  <c r="C938" i="12"/>
  <c r="B855" i="12"/>
  <c r="C720" i="12"/>
  <c r="C1406" i="12"/>
  <c r="B1541" i="12"/>
  <c r="C253" i="14"/>
  <c r="D253" i="14"/>
  <c r="F253" i="14"/>
  <c r="G253" i="14"/>
  <c r="E253" i="14"/>
  <c r="I253" i="14"/>
  <c r="H253" i="14"/>
  <c r="A1203" i="12"/>
  <c r="C1068" i="12"/>
  <c r="C904" i="12"/>
  <c r="B1039" i="12"/>
  <c r="A1338" i="12" l="1"/>
  <c r="C1203" i="12"/>
  <c r="B1128" i="12"/>
  <c r="C993" i="12"/>
  <c r="B2234" i="12"/>
  <c r="C2099" i="12"/>
  <c r="C835" i="12"/>
  <c r="B970" i="12"/>
  <c r="B1045" i="12"/>
  <c r="C910" i="12"/>
  <c r="A2140" i="12"/>
  <c r="C2005" i="12"/>
  <c r="B1568" i="12"/>
  <c r="C1433" i="12"/>
  <c r="B994" i="12"/>
  <c r="C859" i="12"/>
  <c r="B1388" i="12"/>
  <c r="C1253" i="12"/>
  <c r="B1879" i="12"/>
  <c r="C1744" i="12"/>
  <c r="B2916" i="12"/>
  <c r="B1475" i="12"/>
  <c r="C1340" i="12"/>
  <c r="C1244" i="12"/>
  <c r="B1379" i="12"/>
  <c r="B1724" i="12"/>
  <c r="C1589" i="12"/>
  <c r="B1852" i="12"/>
  <c r="C1717" i="12"/>
  <c r="B1721" i="12"/>
  <c r="C1586" i="12"/>
  <c r="B1680" i="12"/>
  <c r="C1545" i="12"/>
  <c r="C1158" i="12"/>
  <c r="B1293" i="12"/>
  <c r="C1334" i="12"/>
  <c r="B1469" i="12"/>
  <c r="B1462" i="12"/>
  <c r="C1327" i="12"/>
  <c r="B1277" i="12"/>
  <c r="C1142" i="12"/>
  <c r="C1164" i="12"/>
  <c r="B1299" i="12"/>
  <c r="B1000" i="12"/>
  <c r="C865" i="12"/>
  <c r="B1249" i="12"/>
  <c r="C1114" i="12"/>
  <c r="B1636" i="12"/>
  <c r="C1501" i="12"/>
  <c r="C1420" i="12"/>
  <c r="B1555" i="12"/>
  <c r="B1401" i="12"/>
  <c r="C1266" i="12"/>
  <c r="B1211" i="12"/>
  <c r="C1076" i="12"/>
  <c r="B1354" i="12"/>
  <c r="C1219" i="12"/>
  <c r="B1228" i="12"/>
  <c r="C1093" i="12"/>
  <c r="B1092" i="12"/>
  <c r="C957" i="12"/>
  <c r="B1516" i="12"/>
  <c r="C1381" i="12"/>
  <c r="B1336" i="12"/>
  <c r="C1201" i="12"/>
  <c r="C1480" i="12"/>
  <c r="B1615" i="12"/>
  <c r="B1847" i="12"/>
  <c r="C1712" i="12"/>
  <c r="A1296" i="12"/>
  <c r="C1161" i="12"/>
  <c r="C1002" i="12"/>
  <c r="B1137" i="12"/>
  <c r="B1491" i="12"/>
  <c r="C1356" i="12"/>
  <c r="B1437" i="12"/>
  <c r="C1302" i="12"/>
  <c r="B1233" i="12"/>
  <c r="C1098" i="12"/>
  <c r="C1541" i="12"/>
  <c r="B1676" i="12"/>
  <c r="C1963" i="12"/>
  <c r="B2098" i="12"/>
  <c r="B1646" i="12"/>
  <c r="C1511" i="12"/>
  <c r="B1342" i="12"/>
  <c r="C1207" i="12"/>
  <c r="C1738" i="12"/>
  <c r="B1873" i="12"/>
  <c r="B1625" i="12"/>
  <c r="B1402" i="12"/>
  <c r="C1267" i="12"/>
  <c r="B1571" i="12"/>
  <c r="C1436" i="12"/>
  <c r="C855" i="12"/>
  <c r="B990" i="12"/>
  <c r="B2044" i="12"/>
  <c r="C1909" i="12"/>
  <c r="C1162" i="12"/>
  <c r="B1297" i="12"/>
  <c r="C1464" i="12"/>
  <c r="B1599" i="12"/>
  <c r="C1382" i="12"/>
  <c r="B1517" i="12"/>
  <c r="C1349" i="12"/>
  <c r="B1484" i="12"/>
  <c r="B1011" i="12"/>
  <c r="C876" i="12"/>
  <c r="B1259" i="12"/>
  <c r="C1124" i="12"/>
  <c r="C1039" i="12"/>
  <c r="B1174" i="12"/>
  <c r="B1208" i="12"/>
  <c r="C1073" i="12"/>
  <c r="B1878" i="12"/>
  <c r="B1282" i="12"/>
  <c r="C1147" i="12"/>
  <c r="B1556" i="12"/>
  <c r="C1421" i="12"/>
  <c r="B956" i="12"/>
  <c r="C821" i="12"/>
  <c r="B2305" i="12"/>
  <c r="B2093" i="12"/>
  <c r="C1958" i="12"/>
  <c r="B2066" i="12"/>
  <c r="C1931" i="12"/>
  <c r="B1861" i="12"/>
  <c r="C1058" i="12"/>
  <c r="B1193" i="12"/>
  <c r="B1392" i="12"/>
  <c r="C1257" i="12"/>
  <c r="B947" i="12"/>
  <c r="C812" i="12"/>
  <c r="C1581" i="12"/>
  <c r="A1716" i="12"/>
  <c r="C1145" i="12"/>
  <c r="B1280" i="12"/>
  <c r="C834" i="12"/>
  <c r="B969" i="12"/>
  <c r="B1003" i="12"/>
  <c r="C868" i="12"/>
  <c r="C1389" i="12"/>
  <c r="B1524" i="12"/>
  <c r="C1094" i="12"/>
  <c r="B1229" i="12"/>
  <c r="B1449" i="12"/>
  <c r="C1314" i="12"/>
  <c r="C991" i="12"/>
  <c r="B1126" i="12"/>
  <c r="C1187" i="12"/>
  <c r="B1322" i="12"/>
  <c r="B1621" i="12"/>
  <c r="C1486" i="12"/>
  <c r="B1445" i="12"/>
  <c r="C1310" i="12"/>
  <c r="B1160" i="12"/>
  <c r="C1025" i="12"/>
  <c r="C985" i="12"/>
  <c r="B1120" i="12"/>
  <c r="B1438" i="12"/>
  <c r="C1303" i="12"/>
  <c r="B2141" i="12"/>
  <c r="C2006" i="12"/>
  <c r="A1321" i="12"/>
  <c r="C1186" i="12"/>
  <c r="B1848" i="12"/>
  <c r="C1713" i="12"/>
  <c r="C1596" i="12"/>
  <c r="B1731" i="12"/>
  <c r="B1472" i="12"/>
  <c r="C1337" i="12"/>
  <c r="B1482" i="12"/>
  <c r="C1347" i="12"/>
  <c r="B998" i="12"/>
  <c r="C863" i="12"/>
  <c r="B1185" i="12"/>
  <c r="C1050" i="12"/>
  <c r="B1284" i="12"/>
  <c r="C1149" i="12"/>
  <c r="B953" i="12"/>
  <c r="C818" i="12"/>
  <c r="B1467" i="12"/>
  <c r="C1332" i="12"/>
  <c r="B1095" i="12"/>
  <c r="C960" i="12"/>
  <c r="B1380" i="12"/>
  <c r="C1245" i="12"/>
  <c r="B2102" i="12"/>
  <c r="C1967" i="12"/>
  <c r="B1155" i="12"/>
  <c r="C1020" i="12"/>
  <c r="B1819" i="12"/>
  <c r="C1684" i="12"/>
  <c r="B2582" i="12"/>
  <c r="C2447" i="12"/>
  <c r="C967" i="12"/>
  <c r="B1102" i="12"/>
  <c r="B1224" i="12"/>
  <c r="C1089" i="12"/>
  <c r="B3760" i="12"/>
  <c r="B1156" i="12"/>
  <c r="C1021" i="12"/>
  <c r="B1117" i="12"/>
  <c r="C982" i="12"/>
  <c r="B1373" i="12"/>
  <c r="C1238" i="12"/>
  <c r="B1053" i="12"/>
  <c r="C918" i="12"/>
  <c r="B1054" i="12"/>
  <c r="C919" i="12"/>
  <c r="C1483" i="12"/>
  <c r="B1618" i="12"/>
  <c r="C1979" i="12"/>
  <c r="B2114" i="12"/>
  <c r="C889" i="12"/>
  <c r="B1024" i="12"/>
  <c r="B1344" i="12"/>
  <c r="C1209" i="12"/>
  <c r="B2188" i="12"/>
  <c r="C1183" i="12"/>
  <c r="B1318" i="12"/>
  <c r="B3201" i="12"/>
  <c r="B1335" i="12"/>
  <c r="C1200" i="12"/>
  <c r="B1383" i="12"/>
  <c r="C1248" i="12"/>
  <c r="B1476" i="12"/>
  <c r="C1341" i="12"/>
  <c r="B1452" i="12"/>
  <c r="C1317" i="12"/>
  <c r="B1300" i="12"/>
  <c r="C1165" i="12"/>
  <c r="B1101" i="12"/>
  <c r="C966" i="12"/>
  <c r="B980" i="12"/>
  <c r="C845" i="12"/>
  <c r="B999" i="12"/>
  <c r="C864" i="12"/>
  <c r="B1116" i="12"/>
  <c r="C981" i="12"/>
  <c r="C1107" i="12"/>
  <c r="B1242" i="12"/>
  <c r="B1557" i="12"/>
  <c r="C1422" i="12"/>
  <c r="B1818" i="12"/>
  <c r="C1683" i="12"/>
  <c r="B1441" i="12"/>
  <c r="C1306" i="12"/>
  <c r="B1853" i="12"/>
  <c r="C1718" i="12"/>
  <c r="B1865" i="12"/>
  <c r="A1495" i="12"/>
  <c r="C1360" i="12"/>
  <c r="A1440" i="12"/>
  <c r="C1305" i="12"/>
  <c r="B952" i="12"/>
  <c r="C817" i="12"/>
  <c r="A1378" i="12"/>
  <c r="C1243" i="12"/>
  <c r="C948" i="12"/>
  <c r="B1083" i="12"/>
  <c r="A1220" i="12"/>
  <c r="C1085" i="12"/>
  <c r="B1123" i="12"/>
  <c r="C988" i="12"/>
  <c r="B1640" i="12"/>
  <c r="C1505" i="12"/>
  <c r="B1262" i="12"/>
  <c r="C1127" i="12"/>
  <c r="B1141" i="12"/>
  <c r="C1006" i="12"/>
  <c r="B1400" i="12"/>
  <c r="C1265" i="12"/>
  <c r="A1325" i="12"/>
  <c r="C1190" i="12"/>
  <c r="B1710" i="12"/>
  <c r="B1139" i="12"/>
  <c r="C1004" i="12"/>
  <c r="B1350" i="12"/>
  <c r="C1215" i="12"/>
  <c r="C1599" i="12" l="1"/>
  <c r="B1734" i="12"/>
  <c r="C970" i="12"/>
  <c r="B1105" i="12"/>
  <c r="A1355" i="12"/>
  <c r="C1220" i="12"/>
  <c r="C1116" i="12"/>
  <c r="B1251" i="12"/>
  <c r="B2717" i="12"/>
  <c r="C2582" i="12"/>
  <c r="C1472" i="12"/>
  <c r="B1607" i="12"/>
  <c r="B1580" i="12"/>
  <c r="C1445" i="12"/>
  <c r="C1282" i="12"/>
  <c r="B1417" i="12"/>
  <c r="B3895" i="12"/>
  <c r="B1320" i="12"/>
  <c r="C1185" i="12"/>
  <c r="B1756" i="12"/>
  <c r="C1621" i="12"/>
  <c r="B1982" i="12"/>
  <c r="C1847" i="12"/>
  <c r="C2234" i="12"/>
  <c r="B2369" i="12"/>
  <c r="B2000" i="12"/>
  <c r="C1318" i="12"/>
  <c r="B1453" i="12"/>
  <c r="B2249" i="12"/>
  <c r="C2114" i="12"/>
  <c r="B1255" i="12"/>
  <c r="C1120" i="12"/>
  <c r="B1457" i="12"/>
  <c r="C1322" i="12"/>
  <c r="B1659" i="12"/>
  <c r="C1524" i="12"/>
  <c r="A1851" i="12"/>
  <c r="C1716" i="12"/>
  <c r="B1619" i="12"/>
  <c r="C1484" i="12"/>
  <c r="B1760" i="12"/>
  <c r="B2233" i="12"/>
  <c r="C2098" i="12"/>
  <c r="B1750" i="12"/>
  <c r="C1615" i="12"/>
  <c r="B1690" i="12"/>
  <c r="C1555" i="12"/>
  <c r="B1434" i="12"/>
  <c r="C1299" i="12"/>
  <c r="C1293" i="12"/>
  <c r="B1428" i="12"/>
  <c r="B1479" i="12"/>
  <c r="C1344" i="12"/>
  <c r="C1233" i="12"/>
  <c r="B1368" i="12"/>
  <c r="C1516" i="12"/>
  <c r="B1651" i="12"/>
  <c r="B1346" i="12"/>
  <c r="C1211" i="12"/>
  <c r="B1597" i="12"/>
  <c r="C1462" i="12"/>
  <c r="B1129" i="12"/>
  <c r="C994" i="12"/>
  <c r="B1218" i="12"/>
  <c r="C1083" i="12"/>
  <c r="B3336" i="12"/>
  <c r="B1159" i="12"/>
  <c r="C1024" i="12"/>
  <c r="B1866" i="12"/>
  <c r="C1731" i="12"/>
  <c r="C1280" i="12"/>
  <c r="B1415" i="12"/>
  <c r="B1432" i="12"/>
  <c r="C1297" i="12"/>
  <c r="C1469" i="12"/>
  <c r="B1604" i="12"/>
  <c r="B3051" i="12"/>
  <c r="B1845" i="12"/>
  <c r="B2440" i="12"/>
  <c r="C1011" i="12"/>
  <c r="B1146" i="12"/>
  <c r="B1781" i="12"/>
  <c r="C1646" i="12"/>
  <c r="B1536" i="12"/>
  <c r="C1401" i="12"/>
  <c r="C1568" i="12"/>
  <c r="B1703" i="12"/>
  <c r="A1460" i="12"/>
  <c r="C1325" i="12"/>
  <c r="B1775" i="12"/>
  <c r="C1640" i="12"/>
  <c r="A1513" i="12"/>
  <c r="C1378" i="12"/>
  <c r="B1692" i="12"/>
  <c r="C1557" i="12"/>
  <c r="C980" i="12"/>
  <c r="B1115" i="12"/>
  <c r="B1611" i="12"/>
  <c r="C1476" i="12"/>
  <c r="B1508" i="12"/>
  <c r="C1373" i="12"/>
  <c r="B1359" i="12"/>
  <c r="C1224" i="12"/>
  <c r="B1290" i="12"/>
  <c r="C1155" i="12"/>
  <c r="B1602" i="12"/>
  <c r="C1467" i="12"/>
  <c r="B1133" i="12"/>
  <c r="C998" i="12"/>
  <c r="C1848" i="12"/>
  <c r="B1983" i="12"/>
  <c r="B1996" i="12"/>
  <c r="C956" i="12"/>
  <c r="B1091" i="12"/>
  <c r="B1343" i="12"/>
  <c r="C1208" i="12"/>
  <c r="C2044" i="12"/>
  <c r="B2179" i="12"/>
  <c r="B1626" i="12"/>
  <c r="C1491" i="12"/>
  <c r="B1363" i="12"/>
  <c r="C1228" i="12"/>
  <c r="B1859" i="12"/>
  <c r="C1724" i="12"/>
  <c r="B2014" i="12"/>
  <c r="C1879" i="12"/>
  <c r="A2275" i="12"/>
  <c r="C2140" i="12"/>
  <c r="C1128" i="12"/>
  <c r="B1263" i="12"/>
  <c r="B1104" i="12"/>
  <c r="C969" i="12"/>
  <c r="B1276" i="12"/>
  <c r="C1141" i="12"/>
  <c r="A1575" i="12"/>
  <c r="C1440" i="12"/>
  <c r="B1576" i="12"/>
  <c r="C1441" i="12"/>
  <c r="B1470" i="12"/>
  <c r="C1335" i="12"/>
  <c r="B1189" i="12"/>
  <c r="C1054" i="12"/>
  <c r="B1291" i="12"/>
  <c r="C1156" i="12"/>
  <c r="B1515" i="12"/>
  <c r="C1380" i="12"/>
  <c r="B1419" i="12"/>
  <c r="C1284" i="12"/>
  <c r="C2141" i="12"/>
  <c r="B2276" i="12"/>
  <c r="B1584" i="12"/>
  <c r="C1449" i="12"/>
  <c r="C2093" i="12"/>
  <c r="B2228" i="12"/>
  <c r="C1571" i="12"/>
  <c r="B1706" i="12"/>
  <c r="B1856" i="12"/>
  <c r="C1721" i="12"/>
  <c r="C1229" i="12"/>
  <c r="B1364" i="12"/>
  <c r="B1328" i="12"/>
  <c r="C1193" i="12"/>
  <c r="B2013" i="12"/>
  <c r="C1262" i="12"/>
  <c r="B1397" i="12"/>
  <c r="A1630" i="12"/>
  <c r="C1495" i="12"/>
  <c r="B1134" i="12"/>
  <c r="C999" i="12"/>
  <c r="C1819" i="12"/>
  <c r="B1954" i="12"/>
  <c r="C1438" i="12"/>
  <c r="B1573" i="12"/>
  <c r="B1377" i="12"/>
  <c r="C1242" i="12"/>
  <c r="C1618" i="12"/>
  <c r="B1753" i="12"/>
  <c r="C1102" i="12"/>
  <c r="B1237" i="12"/>
  <c r="B1261" i="12"/>
  <c r="C1126" i="12"/>
  <c r="C1174" i="12"/>
  <c r="B1309" i="12"/>
  <c r="B1652" i="12"/>
  <c r="C1517" i="12"/>
  <c r="C990" i="12"/>
  <c r="B1125" i="12"/>
  <c r="B2008" i="12"/>
  <c r="C1873" i="12"/>
  <c r="B1811" i="12"/>
  <c r="C1676" i="12"/>
  <c r="B1272" i="12"/>
  <c r="C1137" i="12"/>
  <c r="B1514" i="12"/>
  <c r="C1379" i="12"/>
  <c r="B1274" i="12"/>
  <c r="C1139" i="12"/>
  <c r="C1300" i="12"/>
  <c r="B1435" i="12"/>
  <c r="C1392" i="12"/>
  <c r="B1527" i="12"/>
  <c r="C1259" i="12"/>
  <c r="B1394" i="12"/>
  <c r="B1477" i="12"/>
  <c r="C1342" i="12"/>
  <c r="A1431" i="12"/>
  <c r="C1296" i="12"/>
  <c r="B1384" i="12"/>
  <c r="C1249" i="12"/>
  <c r="C1475" i="12"/>
  <c r="B1610" i="12"/>
  <c r="C1818" i="12"/>
  <c r="B1953" i="12"/>
  <c r="C1452" i="12"/>
  <c r="B1587" i="12"/>
  <c r="B1188" i="12"/>
  <c r="C1053" i="12"/>
  <c r="B1230" i="12"/>
  <c r="C1095" i="12"/>
  <c r="B1537" i="12"/>
  <c r="C1402" i="12"/>
  <c r="C1437" i="12"/>
  <c r="B1572" i="12"/>
  <c r="C1092" i="12"/>
  <c r="B1227" i="12"/>
  <c r="B1135" i="12"/>
  <c r="C1000" i="12"/>
  <c r="C1852" i="12"/>
  <c r="B1987" i="12"/>
  <c r="B1485" i="12"/>
  <c r="C1350" i="12"/>
  <c r="B1535" i="12"/>
  <c r="C1400" i="12"/>
  <c r="B1258" i="12"/>
  <c r="C1123" i="12"/>
  <c r="C952" i="12"/>
  <c r="B1087" i="12"/>
  <c r="B1988" i="12"/>
  <c r="C1853" i="12"/>
  <c r="B1236" i="12"/>
  <c r="C1101" i="12"/>
  <c r="C1383" i="12"/>
  <c r="B1518" i="12"/>
  <c r="B2323" i="12"/>
  <c r="B1252" i="12"/>
  <c r="C1117" i="12"/>
  <c r="B2237" i="12"/>
  <c r="C2102" i="12"/>
  <c r="B1088" i="12"/>
  <c r="C953" i="12"/>
  <c r="C1482" i="12"/>
  <c r="B1617" i="12"/>
  <c r="A1456" i="12"/>
  <c r="C1321" i="12"/>
  <c r="B1295" i="12"/>
  <c r="C1160" i="12"/>
  <c r="B1138" i="12"/>
  <c r="C1003" i="12"/>
  <c r="C947" i="12"/>
  <c r="B1082" i="12"/>
  <c r="B2201" i="12"/>
  <c r="C2066" i="12"/>
  <c r="C1556" i="12"/>
  <c r="B1691" i="12"/>
  <c r="C1336" i="12"/>
  <c r="B1471" i="12"/>
  <c r="B1489" i="12"/>
  <c r="C1354" i="12"/>
  <c r="B1771" i="12"/>
  <c r="C1636" i="12"/>
  <c r="B1412" i="12"/>
  <c r="C1277" i="12"/>
  <c r="C1680" i="12"/>
  <c r="B1815" i="12"/>
  <c r="B1523" i="12"/>
  <c r="C1388" i="12"/>
  <c r="B1180" i="12"/>
  <c r="C1045" i="12"/>
  <c r="A1473" i="12"/>
  <c r="C1338" i="12"/>
  <c r="C1572" i="12" l="1"/>
  <c r="B1707" i="12"/>
  <c r="B1722" i="12"/>
  <c r="C1587" i="12"/>
  <c r="C1435" i="12"/>
  <c r="B1570" i="12"/>
  <c r="B1444" i="12"/>
  <c r="C1309" i="12"/>
  <c r="C1146" i="12"/>
  <c r="B1281" i="12"/>
  <c r="C1251" i="12"/>
  <c r="B1386" i="12"/>
  <c r="B2336" i="12"/>
  <c r="C2201" i="12"/>
  <c r="A1591" i="12"/>
  <c r="C1456" i="12"/>
  <c r="C1252" i="12"/>
  <c r="B1387" i="12"/>
  <c r="C1988" i="12"/>
  <c r="B2123" i="12"/>
  <c r="B1620" i="12"/>
  <c r="C1485" i="12"/>
  <c r="A1566" i="12"/>
  <c r="C1431" i="12"/>
  <c r="C1811" i="12"/>
  <c r="B1946" i="12"/>
  <c r="B1426" i="12"/>
  <c r="C1291" i="12"/>
  <c r="B1614" i="12"/>
  <c r="C1479" i="12"/>
  <c r="B2122" i="12"/>
  <c r="C1987" i="12"/>
  <c r="B1708" i="12"/>
  <c r="C1573" i="12"/>
  <c r="B1532" i="12"/>
  <c r="C1397" i="12"/>
  <c r="B1588" i="12"/>
  <c r="C1453" i="12"/>
  <c r="B2458" i="12"/>
  <c r="B1612" i="12"/>
  <c r="C1477" i="12"/>
  <c r="B1991" i="12"/>
  <c r="C1856" i="12"/>
  <c r="B1324" i="12"/>
  <c r="C1189" i="12"/>
  <c r="C2014" i="12"/>
  <c r="B2149" i="12"/>
  <c r="B1567" i="12"/>
  <c r="C1432" i="12"/>
  <c r="B2368" i="12"/>
  <c r="C2233" i="12"/>
  <c r="B1794" i="12"/>
  <c r="C1659" i="12"/>
  <c r="B1891" i="12"/>
  <c r="C1756" i="12"/>
  <c r="B1715" i="12"/>
  <c r="C1580" i="12"/>
  <c r="B1950" i="12"/>
  <c r="C1815" i="12"/>
  <c r="B1606" i="12"/>
  <c r="C1471" i="12"/>
  <c r="C1518" i="12"/>
  <c r="B1653" i="12"/>
  <c r="C1610" i="12"/>
  <c r="B1745" i="12"/>
  <c r="B1529" i="12"/>
  <c r="C1394" i="12"/>
  <c r="C1771" i="12"/>
  <c r="B1906" i="12"/>
  <c r="A1765" i="12"/>
  <c r="C1630" i="12"/>
  <c r="C2275" i="12"/>
  <c r="A2410" i="12"/>
  <c r="C1290" i="12"/>
  <c r="B1425" i="12"/>
  <c r="B1732" i="12"/>
  <c r="C1597" i="12"/>
  <c r="B1885" i="12"/>
  <c r="C1750" i="12"/>
  <c r="B2384" i="12"/>
  <c r="C2249" i="12"/>
  <c r="C1982" i="12"/>
  <c r="B2117" i="12"/>
  <c r="B1217" i="12"/>
  <c r="C1082" i="12"/>
  <c r="C1087" i="12"/>
  <c r="B1222" i="12"/>
  <c r="B2411" i="12"/>
  <c r="C2276" i="12"/>
  <c r="C2179" i="12"/>
  <c r="B2314" i="12"/>
  <c r="C1983" i="12"/>
  <c r="B2118" i="12"/>
  <c r="B1838" i="12"/>
  <c r="C1703" i="12"/>
  <c r="B1563" i="12"/>
  <c r="C1428" i="12"/>
  <c r="C1523" i="12"/>
  <c r="B1658" i="12"/>
  <c r="B1624" i="12"/>
  <c r="C1489" i="12"/>
  <c r="B1672" i="12"/>
  <c r="C1537" i="12"/>
  <c r="B1409" i="12"/>
  <c r="C1274" i="12"/>
  <c r="B2143" i="12"/>
  <c r="C2008" i="12"/>
  <c r="B1396" i="12"/>
  <c r="C1261" i="12"/>
  <c r="B1411" i="12"/>
  <c r="C1276" i="12"/>
  <c r="C1359" i="12"/>
  <c r="B1494" i="12"/>
  <c r="B1827" i="12"/>
  <c r="C1692" i="12"/>
  <c r="B2575" i="12"/>
  <c r="B3471" i="12"/>
  <c r="B1481" i="12"/>
  <c r="C1346" i="12"/>
  <c r="A1490" i="12"/>
  <c r="C1355" i="12"/>
  <c r="B1260" i="12"/>
  <c r="C1125" i="12"/>
  <c r="C1237" i="12"/>
  <c r="B1372" i="12"/>
  <c r="B2089" i="12"/>
  <c r="C1954" i="12"/>
  <c r="B1841" i="12"/>
  <c r="C1706" i="12"/>
  <c r="B1550" i="12"/>
  <c r="C1415" i="12"/>
  <c r="C1651" i="12"/>
  <c r="B1786" i="12"/>
  <c r="C1607" i="12"/>
  <c r="B1742" i="12"/>
  <c r="C1105" i="12"/>
  <c r="B1240" i="12"/>
  <c r="C1138" i="12"/>
  <c r="B1273" i="12"/>
  <c r="C1088" i="12"/>
  <c r="B1223" i="12"/>
  <c r="C1258" i="12"/>
  <c r="B1393" i="12"/>
  <c r="B1270" i="12"/>
  <c r="C1135" i="12"/>
  <c r="B1365" i="12"/>
  <c r="C1230" i="12"/>
  <c r="B1649" i="12"/>
  <c r="C1514" i="12"/>
  <c r="B2148" i="12"/>
  <c r="B1554" i="12"/>
  <c r="C1419" i="12"/>
  <c r="B1605" i="12"/>
  <c r="C1470" i="12"/>
  <c r="B1239" i="12"/>
  <c r="C1104" i="12"/>
  <c r="C1859" i="12"/>
  <c r="B1994" i="12"/>
  <c r="C1343" i="12"/>
  <c r="B1478" i="12"/>
  <c r="B1268" i="12"/>
  <c r="C1133" i="12"/>
  <c r="B1643" i="12"/>
  <c r="C1508" i="12"/>
  <c r="A1648" i="12"/>
  <c r="C1513" i="12"/>
  <c r="B1671" i="12"/>
  <c r="C1536" i="12"/>
  <c r="B1980" i="12"/>
  <c r="B1353" i="12"/>
  <c r="C1218" i="12"/>
  <c r="C1434" i="12"/>
  <c r="B1569" i="12"/>
  <c r="B1895" i="12"/>
  <c r="B1592" i="12"/>
  <c r="C1457" i="12"/>
  <c r="B2135" i="12"/>
  <c r="C1320" i="12"/>
  <c r="B1455" i="12"/>
  <c r="C1364" i="12"/>
  <c r="B1499" i="12"/>
  <c r="B2131" i="12"/>
  <c r="B1250" i="12"/>
  <c r="C1115" i="12"/>
  <c r="C1604" i="12"/>
  <c r="B1739" i="12"/>
  <c r="B1552" i="12"/>
  <c r="C1417" i="12"/>
  <c r="C1180" i="12"/>
  <c r="B1315" i="12"/>
  <c r="C1377" i="12"/>
  <c r="B1512" i="12"/>
  <c r="B1719" i="12"/>
  <c r="C1584" i="12"/>
  <c r="A1710" i="12"/>
  <c r="C1575" i="12"/>
  <c r="B1761" i="12"/>
  <c r="C1626" i="12"/>
  <c r="A1595" i="12"/>
  <c r="C1460" i="12"/>
  <c r="B1294" i="12"/>
  <c r="C1159" i="12"/>
  <c r="C1851" i="12"/>
  <c r="A1986" i="12"/>
  <c r="B1752" i="12"/>
  <c r="C1617" i="12"/>
  <c r="B2088" i="12"/>
  <c r="C1953" i="12"/>
  <c r="C1691" i="12"/>
  <c r="B1826" i="12"/>
  <c r="B1362" i="12"/>
  <c r="C1227" i="12"/>
  <c r="C1527" i="12"/>
  <c r="B1662" i="12"/>
  <c r="C1753" i="12"/>
  <c r="B1888" i="12"/>
  <c r="C2228" i="12"/>
  <c r="B2363" i="12"/>
  <c r="C1263" i="12"/>
  <c r="B1398" i="12"/>
  <c r="B1226" i="12"/>
  <c r="C1091" i="12"/>
  <c r="C1368" i="12"/>
  <c r="B1503" i="12"/>
  <c r="C2369" i="12"/>
  <c r="B2504" i="12"/>
  <c r="C1734" i="12"/>
  <c r="B1869" i="12"/>
  <c r="A1608" i="12"/>
  <c r="C1473" i="12"/>
  <c r="C1412" i="12"/>
  <c r="B1547" i="12"/>
  <c r="B1430" i="12"/>
  <c r="C1295" i="12"/>
  <c r="B2372" i="12"/>
  <c r="C2237" i="12"/>
  <c r="B1371" i="12"/>
  <c r="C1236" i="12"/>
  <c r="C1535" i="12"/>
  <c r="B1670" i="12"/>
  <c r="C1188" i="12"/>
  <c r="B1323" i="12"/>
  <c r="B1519" i="12"/>
  <c r="C1384" i="12"/>
  <c r="B1407" i="12"/>
  <c r="C1272" i="12"/>
  <c r="B1787" i="12"/>
  <c r="C1652" i="12"/>
  <c r="C1134" i="12"/>
  <c r="B1269" i="12"/>
  <c r="C1328" i="12"/>
  <c r="B1463" i="12"/>
  <c r="B1650" i="12"/>
  <c r="C1515" i="12"/>
  <c r="B1711" i="12"/>
  <c r="C1576" i="12"/>
  <c r="B1498" i="12"/>
  <c r="C1363" i="12"/>
  <c r="B1737" i="12"/>
  <c r="C1602" i="12"/>
  <c r="B1746" i="12"/>
  <c r="C1611" i="12"/>
  <c r="B1910" i="12"/>
  <c r="C1775" i="12"/>
  <c r="B1916" i="12"/>
  <c r="C1781" i="12"/>
  <c r="B3186" i="12"/>
  <c r="B2001" i="12"/>
  <c r="C1866" i="12"/>
  <c r="B1264" i="12"/>
  <c r="C1129" i="12"/>
  <c r="B1825" i="12"/>
  <c r="C1690" i="12"/>
  <c r="B1754" i="12"/>
  <c r="C1619" i="12"/>
  <c r="B1390" i="12"/>
  <c r="C1255" i="12"/>
  <c r="B4030" i="12"/>
  <c r="B2852" i="12"/>
  <c r="C2717" i="12"/>
  <c r="B1805" i="12" l="1"/>
  <c r="C1670" i="12"/>
  <c r="B1638" i="12"/>
  <c r="C1503" i="12"/>
  <c r="C1888" i="12"/>
  <c r="B2023" i="12"/>
  <c r="B4165" i="12"/>
  <c r="C1910" i="12"/>
  <c r="B2045" i="12"/>
  <c r="B1922" i="12"/>
  <c r="C1787" i="12"/>
  <c r="B1778" i="12"/>
  <c r="C1643" i="12"/>
  <c r="B1784" i="12"/>
  <c r="C1649" i="12"/>
  <c r="A1900" i="12"/>
  <c r="C1765" i="12"/>
  <c r="B2026" i="12"/>
  <c r="C1891" i="12"/>
  <c r="A1701" i="12"/>
  <c r="C1566" i="12"/>
  <c r="B2710" i="12"/>
  <c r="B1525" i="12"/>
  <c r="C1390" i="12"/>
  <c r="C2001" i="12"/>
  <c r="B2136" i="12"/>
  <c r="C1746" i="12"/>
  <c r="B1881" i="12"/>
  <c r="B1785" i="12"/>
  <c r="C1650" i="12"/>
  <c r="C1407" i="12"/>
  <c r="B1542" i="12"/>
  <c r="B1506" i="12"/>
  <c r="C1371" i="12"/>
  <c r="A1743" i="12"/>
  <c r="C1608" i="12"/>
  <c r="C1226" i="12"/>
  <c r="B1361" i="12"/>
  <c r="B1887" i="12"/>
  <c r="C1752" i="12"/>
  <c r="B1896" i="12"/>
  <c r="C1761" i="12"/>
  <c r="B2266" i="12"/>
  <c r="B1727" i="12"/>
  <c r="C1592" i="12"/>
  <c r="B2115" i="12"/>
  <c r="B1403" i="12"/>
  <c r="C1268" i="12"/>
  <c r="B1740" i="12"/>
  <c r="C1605" i="12"/>
  <c r="B1500" i="12"/>
  <c r="C1365" i="12"/>
  <c r="C1550" i="12"/>
  <c r="B1685" i="12"/>
  <c r="B1395" i="12"/>
  <c r="C1260" i="12"/>
  <c r="C1396" i="12"/>
  <c r="B1531" i="12"/>
  <c r="C1624" i="12"/>
  <c r="B1759" i="12"/>
  <c r="B1352" i="12"/>
  <c r="C1217" i="12"/>
  <c r="B1867" i="12"/>
  <c r="C1732" i="12"/>
  <c r="C1606" i="12"/>
  <c r="B1741" i="12"/>
  <c r="B1929" i="12"/>
  <c r="C1794" i="12"/>
  <c r="B1459" i="12"/>
  <c r="C1324" i="12"/>
  <c r="B1723" i="12"/>
  <c r="C1588" i="12"/>
  <c r="B1749" i="12"/>
  <c r="C1614" i="12"/>
  <c r="C1620" i="12"/>
  <c r="B1755" i="12"/>
  <c r="B2471" i="12"/>
  <c r="C2336" i="12"/>
  <c r="B3321" i="12"/>
  <c r="B1598" i="12"/>
  <c r="C1463" i="12"/>
  <c r="B2004" i="12"/>
  <c r="C1869" i="12"/>
  <c r="B1533" i="12"/>
  <c r="C1398" i="12"/>
  <c r="A2121" i="12"/>
  <c r="C1986" i="12"/>
  <c r="B1634" i="12"/>
  <c r="C1499" i="12"/>
  <c r="B1613" i="12"/>
  <c r="C1478" i="12"/>
  <c r="B1375" i="12"/>
  <c r="C1240" i="12"/>
  <c r="B1793" i="12"/>
  <c r="C1658" i="12"/>
  <c r="C2314" i="12"/>
  <c r="B2449" i="12"/>
  <c r="C2117" i="12"/>
  <c r="B2252" i="12"/>
  <c r="B1560" i="12"/>
  <c r="C1425" i="12"/>
  <c r="C2123" i="12"/>
  <c r="B2258" i="12"/>
  <c r="B1521" i="12"/>
  <c r="C1386" i="12"/>
  <c r="C1547" i="12"/>
  <c r="B1682" i="12"/>
  <c r="C1250" i="12"/>
  <c r="B1385" i="12"/>
  <c r="B1807" i="12"/>
  <c r="C1672" i="12"/>
  <c r="B1973" i="12"/>
  <c r="C1838" i="12"/>
  <c r="B2020" i="12"/>
  <c r="C1885" i="12"/>
  <c r="B2257" i="12"/>
  <c r="C2122" i="12"/>
  <c r="C1444" i="12"/>
  <c r="B1579" i="12"/>
  <c r="B1797" i="12"/>
  <c r="C1662" i="12"/>
  <c r="B1889" i="12"/>
  <c r="C1754" i="12"/>
  <c r="B1654" i="12"/>
  <c r="C1519" i="12"/>
  <c r="B2507" i="12"/>
  <c r="C2372" i="12"/>
  <c r="B1497" i="12"/>
  <c r="C1362" i="12"/>
  <c r="A1845" i="12"/>
  <c r="C1710" i="12"/>
  <c r="B1687" i="12"/>
  <c r="C1552" i="12"/>
  <c r="C1554" i="12"/>
  <c r="B1689" i="12"/>
  <c r="C1270" i="12"/>
  <c r="B1405" i="12"/>
  <c r="A1625" i="12"/>
  <c r="C1490" i="12"/>
  <c r="B1962" i="12"/>
  <c r="C1827" i="12"/>
  <c r="C2143" i="12"/>
  <c r="B2278" i="12"/>
  <c r="B1664" i="12"/>
  <c r="C1529" i="12"/>
  <c r="B2085" i="12"/>
  <c r="C1950" i="12"/>
  <c r="C2368" i="12"/>
  <c r="B2503" i="12"/>
  <c r="B2126" i="12"/>
  <c r="C1991" i="12"/>
  <c r="B1667" i="12"/>
  <c r="C1532" i="12"/>
  <c r="C1426" i="12"/>
  <c r="B1561" i="12"/>
  <c r="B1857" i="12"/>
  <c r="C1722" i="12"/>
  <c r="B1404" i="12"/>
  <c r="C1269" i="12"/>
  <c r="B1458" i="12"/>
  <c r="C1323" i="12"/>
  <c r="C2504" i="12"/>
  <c r="B2639" i="12"/>
  <c r="B2498" i="12"/>
  <c r="C2363" i="12"/>
  <c r="C1826" i="12"/>
  <c r="B1961" i="12"/>
  <c r="C1739" i="12"/>
  <c r="B1874" i="12"/>
  <c r="B1590" i="12"/>
  <c r="C1455" i="12"/>
  <c r="B1704" i="12"/>
  <c r="C1569" i="12"/>
  <c r="B2129" i="12"/>
  <c r="C1994" i="12"/>
  <c r="B1528" i="12"/>
  <c r="C1393" i="12"/>
  <c r="B1877" i="12"/>
  <c r="C1742" i="12"/>
  <c r="C1494" i="12"/>
  <c r="B1629" i="12"/>
  <c r="A2545" i="12"/>
  <c r="C2410" i="12"/>
  <c r="C1745" i="12"/>
  <c r="B1880" i="12"/>
  <c r="B2081" i="12"/>
  <c r="C1946" i="12"/>
  <c r="B1522" i="12"/>
  <c r="C1387" i="12"/>
  <c r="C1281" i="12"/>
  <c r="B1416" i="12"/>
  <c r="B1842" i="12"/>
  <c r="C1707" i="12"/>
  <c r="C1512" i="12"/>
  <c r="B1647" i="12"/>
  <c r="C1223" i="12"/>
  <c r="B1358" i="12"/>
  <c r="B1921" i="12"/>
  <c r="C1786" i="12"/>
  <c r="B1507" i="12"/>
  <c r="C1372" i="12"/>
  <c r="B3606" i="12"/>
  <c r="B1357" i="12"/>
  <c r="C1222" i="12"/>
  <c r="B1788" i="12"/>
  <c r="C1653" i="12"/>
  <c r="B2284" i="12"/>
  <c r="C2149" i="12"/>
  <c r="C1264" i="12"/>
  <c r="B1399" i="12"/>
  <c r="C1711" i="12"/>
  <c r="B1846" i="12"/>
  <c r="B2223" i="12"/>
  <c r="C2088" i="12"/>
  <c r="A1730" i="12"/>
  <c r="C1595" i="12"/>
  <c r="B2270" i="12"/>
  <c r="B1488" i="12"/>
  <c r="C1353" i="12"/>
  <c r="B1374" i="12"/>
  <c r="C1239" i="12"/>
  <c r="B1546" i="12"/>
  <c r="C1411" i="12"/>
  <c r="B2593" i="12"/>
  <c r="A1726" i="12"/>
  <c r="C1591" i="12"/>
  <c r="B1450" i="12"/>
  <c r="C1315" i="12"/>
  <c r="C1273" i="12"/>
  <c r="B1408" i="12"/>
  <c r="B2253" i="12"/>
  <c r="C2118" i="12"/>
  <c r="B2041" i="12"/>
  <c r="C1906" i="12"/>
  <c r="C1570" i="12"/>
  <c r="B1705" i="12"/>
  <c r="B1872" i="12"/>
  <c r="C1737" i="12"/>
  <c r="B2030" i="12"/>
  <c r="B1806" i="12"/>
  <c r="C1671" i="12"/>
  <c r="C1841" i="12"/>
  <c r="B1976" i="12"/>
  <c r="B2987" i="12"/>
  <c r="C2852" i="12"/>
  <c r="B1960" i="12"/>
  <c r="C1825" i="12"/>
  <c r="B2051" i="12"/>
  <c r="C1916" i="12"/>
  <c r="C1498" i="12"/>
  <c r="B1633" i="12"/>
  <c r="B1565" i="12"/>
  <c r="C1430" i="12"/>
  <c r="B1429" i="12"/>
  <c r="C1294" i="12"/>
  <c r="B1854" i="12"/>
  <c r="C1719" i="12"/>
  <c r="A1783" i="12"/>
  <c r="C1648" i="12"/>
  <c r="B2283" i="12"/>
  <c r="B2224" i="12"/>
  <c r="C2089" i="12"/>
  <c r="B1616" i="12"/>
  <c r="C1481" i="12"/>
  <c r="B1544" i="12"/>
  <c r="C1409" i="12"/>
  <c r="C1563" i="12"/>
  <c r="B1698" i="12"/>
  <c r="B2546" i="12"/>
  <c r="C2411" i="12"/>
  <c r="C2384" i="12"/>
  <c r="B2519" i="12"/>
  <c r="B1850" i="12"/>
  <c r="C1715" i="12"/>
  <c r="B1702" i="12"/>
  <c r="C1567" i="12"/>
  <c r="B1747" i="12"/>
  <c r="C1612" i="12"/>
  <c r="C1708" i="12"/>
  <c r="B1843" i="12"/>
  <c r="C1759" i="12" l="1"/>
  <c r="B1894" i="12"/>
  <c r="C2546" i="12"/>
  <c r="B2681" i="12"/>
  <c r="B2388" i="12"/>
  <c r="C2253" i="12"/>
  <c r="B3741" i="12"/>
  <c r="A1760" i="12"/>
  <c r="C1625" i="12"/>
  <c r="B2155" i="12"/>
  <c r="C2020" i="12"/>
  <c r="B2139" i="12"/>
  <c r="C2004" i="12"/>
  <c r="B1635" i="12"/>
  <c r="C1500" i="12"/>
  <c r="B1862" i="12"/>
  <c r="C1727" i="12"/>
  <c r="B4300" i="12"/>
  <c r="B2015" i="12"/>
  <c r="C1880" i="12"/>
  <c r="C1874" i="12"/>
  <c r="B2009" i="12"/>
  <c r="B1540" i="12"/>
  <c r="C1405" i="12"/>
  <c r="B1876" i="12"/>
  <c r="C1741" i="12"/>
  <c r="B1666" i="12"/>
  <c r="C1531" i="12"/>
  <c r="B2401" i="12"/>
  <c r="C1702" i="12"/>
  <c r="B1837" i="12"/>
  <c r="B2418" i="12"/>
  <c r="B1700" i="12"/>
  <c r="C1565" i="12"/>
  <c r="B3122" i="12"/>
  <c r="C2987" i="12"/>
  <c r="C1872" i="12"/>
  <c r="B2007" i="12"/>
  <c r="B1681" i="12"/>
  <c r="C1546" i="12"/>
  <c r="A1865" i="12"/>
  <c r="C1730" i="12"/>
  <c r="B2419" i="12"/>
  <c r="C2284" i="12"/>
  <c r="B1642" i="12"/>
  <c r="C1507" i="12"/>
  <c r="B1977" i="12"/>
  <c r="C1842" i="12"/>
  <c r="B1663" i="12"/>
  <c r="C1528" i="12"/>
  <c r="B1593" i="12"/>
  <c r="C1458" i="12"/>
  <c r="B1802" i="12"/>
  <c r="C1667" i="12"/>
  <c r="B1799" i="12"/>
  <c r="C1664" i="12"/>
  <c r="B1632" i="12"/>
  <c r="C1497" i="12"/>
  <c r="B1932" i="12"/>
  <c r="C1797" i="12"/>
  <c r="B2108" i="12"/>
  <c r="C1973" i="12"/>
  <c r="B1656" i="12"/>
  <c r="C1521" i="12"/>
  <c r="B1769" i="12"/>
  <c r="C1634" i="12"/>
  <c r="B1733" i="12"/>
  <c r="C1598" i="12"/>
  <c r="B1884" i="12"/>
  <c r="C1749" i="12"/>
  <c r="C1740" i="12"/>
  <c r="B1875" i="12"/>
  <c r="A1878" i="12"/>
  <c r="C1743" i="12"/>
  <c r="A1836" i="12"/>
  <c r="C1701" i="12"/>
  <c r="B1913" i="12"/>
  <c r="C1778" i="12"/>
  <c r="B1768" i="12"/>
  <c r="C1633" i="12"/>
  <c r="B2111" i="12"/>
  <c r="C1976" i="12"/>
  <c r="B1840" i="12"/>
  <c r="C1705" i="12"/>
  <c r="B1551" i="12"/>
  <c r="C1416" i="12"/>
  <c r="C1961" i="12"/>
  <c r="B2096" i="12"/>
  <c r="B2413" i="12"/>
  <c r="C2278" i="12"/>
  <c r="B1824" i="12"/>
  <c r="C1689" i="12"/>
  <c r="B1714" i="12"/>
  <c r="C1579" i="12"/>
  <c r="B2393" i="12"/>
  <c r="C2258" i="12"/>
  <c r="B3456" i="12"/>
  <c r="B2271" i="12"/>
  <c r="C2136" i="12"/>
  <c r="B2165" i="12"/>
  <c r="B2728" i="12"/>
  <c r="C1399" i="12"/>
  <c r="B1534" i="12"/>
  <c r="B2774" i="12"/>
  <c r="C2639" i="12"/>
  <c r="B1696" i="12"/>
  <c r="C1561" i="12"/>
  <c r="C1361" i="12"/>
  <c r="B1496" i="12"/>
  <c r="B2359" i="12"/>
  <c r="C2224" i="12"/>
  <c r="B2095" i="12"/>
  <c r="C1960" i="12"/>
  <c r="C2081" i="12"/>
  <c r="B2216" i="12"/>
  <c r="B2012" i="12"/>
  <c r="C1877" i="12"/>
  <c r="B1725" i="12"/>
  <c r="C1590" i="12"/>
  <c r="B2220" i="12"/>
  <c r="C2085" i="12"/>
  <c r="B2024" i="12"/>
  <c r="C1889" i="12"/>
  <c r="B1920" i="12"/>
  <c r="C1785" i="12"/>
  <c r="B1919" i="12"/>
  <c r="C1784" i="12"/>
  <c r="B1833" i="12"/>
  <c r="C1698" i="12"/>
  <c r="B1543" i="12"/>
  <c r="C1408" i="12"/>
  <c r="C2449" i="12"/>
  <c r="B2584" i="12"/>
  <c r="B1985" i="12"/>
  <c r="C1850" i="12"/>
  <c r="B1679" i="12"/>
  <c r="C1544" i="12"/>
  <c r="A1918" i="12"/>
  <c r="C1783" i="12"/>
  <c r="B1585" i="12"/>
  <c r="C1450" i="12"/>
  <c r="B1509" i="12"/>
  <c r="C1374" i="12"/>
  <c r="B2358" i="12"/>
  <c r="C2223" i="12"/>
  <c r="B1923" i="12"/>
  <c r="C1788" i="12"/>
  <c r="B2056" i="12"/>
  <c r="C1921" i="12"/>
  <c r="C2545" i="12"/>
  <c r="A2680" i="12"/>
  <c r="C2129" i="12"/>
  <c r="B2264" i="12"/>
  <c r="B2642" i="12"/>
  <c r="C2507" i="12"/>
  <c r="B1942" i="12"/>
  <c r="C1807" i="12"/>
  <c r="A2256" i="12"/>
  <c r="C2121" i="12"/>
  <c r="B2161" i="12"/>
  <c r="C2026" i="12"/>
  <c r="B2057" i="12"/>
  <c r="C1922" i="12"/>
  <c r="B1978" i="12"/>
  <c r="C1843" i="12"/>
  <c r="B2654" i="12"/>
  <c r="C2519" i="12"/>
  <c r="B1981" i="12"/>
  <c r="C1846" i="12"/>
  <c r="C1358" i="12"/>
  <c r="B1493" i="12"/>
  <c r="C1629" i="12"/>
  <c r="B1764" i="12"/>
  <c r="B2638" i="12"/>
  <c r="C2503" i="12"/>
  <c r="B1520" i="12"/>
  <c r="C1385" i="12"/>
  <c r="B1820" i="12"/>
  <c r="C1685" i="12"/>
  <c r="C1542" i="12"/>
  <c r="B1677" i="12"/>
  <c r="C2045" i="12"/>
  <c r="B2180" i="12"/>
  <c r="B2405" i="12"/>
  <c r="B1782" i="12"/>
  <c r="C1647" i="12"/>
  <c r="C1682" i="12"/>
  <c r="B1817" i="12"/>
  <c r="C2252" i="12"/>
  <c r="B2387" i="12"/>
  <c r="C1755" i="12"/>
  <c r="B1890" i="12"/>
  <c r="B1882" i="12"/>
  <c r="C1747" i="12"/>
  <c r="C1429" i="12"/>
  <c r="B1564" i="12"/>
  <c r="A1980" i="12"/>
  <c r="C1845" i="12"/>
  <c r="C1613" i="12"/>
  <c r="B1748" i="12"/>
  <c r="C1929" i="12"/>
  <c r="B2064" i="12"/>
  <c r="B2845" i="12"/>
  <c r="B2016" i="12"/>
  <c r="C1881" i="12"/>
  <c r="B2158" i="12"/>
  <c r="C2023" i="12"/>
  <c r="B1539" i="12"/>
  <c r="C1404" i="12"/>
  <c r="C2126" i="12"/>
  <c r="B2261" i="12"/>
  <c r="B1928" i="12"/>
  <c r="C1793" i="12"/>
  <c r="B1858" i="12"/>
  <c r="C1723" i="12"/>
  <c r="C1867" i="12"/>
  <c r="B2002" i="12"/>
  <c r="B1530" i="12"/>
  <c r="C1395" i="12"/>
  <c r="B1538" i="12"/>
  <c r="C1403" i="12"/>
  <c r="B2031" i="12"/>
  <c r="C1896" i="12"/>
  <c r="B1641" i="12"/>
  <c r="C1506" i="12"/>
  <c r="B1773" i="12"/>
  <c r="C1638" i="12"/>
  <c r="B1751" i="12"/>
  <c r="C1616" i="12"/>
  <c r="B1989" i="12"/>
  <c r="C1854" i="12"/>
  <c r="B2186" i="12"/>
  <c r="C2051" i="12"/>
  <c r="B1941" i="12"/>
  <c r="C1806" i="12"/>
  <c r="B2176" i="12"/>
  <c r="C2041" i="12"/>
  <c r="A1861" i="12"/>
  <c r="C1726" i="12"/>
  <c r="B1623" i="12"/>
  <c r="C1488" i="12"/>
  <c r="B1492" i="12"/>
  <c r="C1357" i="12"/>
  <c r="B1657" i="12"/>
  <c r="C1522" i="12"/>
  <c r="C1704" i="12"/>
  <c r="B1839" i="12"/>
  <c r="C2498" i="12"/>
  <c r="B2633" i="12"/>
  <c r="B1992" i="12"/>
  <c r="C1857" i="12"/>
  <c r="B2097" i="12"/>
  <c r="C1962" i="12"/>
  <c r="B1822" i="12"/>
  <c r="C1687" i="12"/>
  <c r="B1789" i="12"/>
  <c r="C1654" i="12"/>
  <c r="C2257" i="12"/>
  <c r="B2392" i="12"/>
  <c r="C1560" i="12"/>
  <c r="B1695" i="12"/>
  <c r="B1510" i="12"/>
  <c r="C1375" i="12"/>
  <c r="C1533" i="12"/>
  <c r="B1668" i="12"/>
  <c r="B2606" i="12"/>
  <c r="C2471" i="12"/>
  <c r="B1594" i="12"/>
  <c r="C1459" i="12"/>
  <c r="C1352" i="12"/>
  <c r="B1487" i="12"/>
  <c r="B2250" i="12"/>
  <c r="B2022" i="12"/>
  <c r="C1887" i="12"/>
  <c r="C1525" i="12"/>
  <c r="B1660" i="12"/>
  <c r="A2035" i="12"/>
  <c r="C1900" i="12"/>
  <c r="B1940" i="12"/>
  <c r="C1805" i="12"/>
  <c r="C1839" i="12" l="1"/>
  <c r="B1974" i="12"/>
  <c r="B2144" i="12"/>
  <c r="C2009" i="12"/>
  <c r="A2170" i="12"/>
  <c r="C2035" i="12"/>
  <c r="C1510" i="12"/>
  <c r="B1645" i="12"/>
  <c r="C1989" i="12"/>
  <c r="B2124" i="12"/>
  <c r="C2358" i="12"/>
  <c r="B2493" i="12"/>
  <c r="B1795" i="12"/>
  <c r="C1660" i="12"/>
  <c r="C1695" i="12"/>
  <c r="B1830" i="12"/>
  <c r="B2522" i="12"/>
  <c r="C2387" i="12"/>
  <c r="C2180" i="12"/>
  <c r="B2315" i="12"/>
  <c r="A2815" i="12"/>
  <c r="C2680" i="12"/>
  <c r="C1534" i="12"/>
  <c r="B1669" i="12"/>
  <c r="B1729" i="12"/>
  <c r="C1594" i="12"/>
  <c r="B2232" i="12"/>
  <c r="C2097" i="12"/>
  <c r="B1792" i="12"/>
  <c r="C1657" i="12"/>
  <c r="B2311" i="12"/>
  <c r="C2176" i="12"/>
  <c r="B1886" i="12"/>
  <c r="C1751" i="12"/>
  <c r="B1673" i="12"/>
  <c r="C1538" i="12"/>
  <c r="B2063" i="12"/>
  <c r="C1928" i="12"/>
  <c r="B2151" i="12"/>
  <c r="C2016" i="12"/>
  <c r="A2115" i="12"/>
  <c r="C1980" i="12"/>
  <c r="B2773" i="12"/>
  <c r="C2638" i="12"/>
  <c r="B2789" i="12"/>
  <c r="C2654" i="12"/>
  <c r="A2391" i="12"/>
  <c r="C2256" i="12"/>
  <c r="B1644" i="12"/>
  <c r="C1509" i="12"/>
  <c r="B2120" i="12"/>
  <c r="C1985" i="12"/>
  <c r="B2054" i="12"/>
  <c r="C1919" i="12"/>
  <c r="C1725" i="12"/>
  <c r="B1860" i="12"/>
  <c r="B2494" i="12"/>
  <c r="C2359" i="12"/>
  <c r="B3591" i="12"/>
  <c r="B2548" i="12"/>
  <c r="C2413" i="12"/>
  <c r="B2246" i="12"/>
  <c r="C2111" i="12"/>
  <c r="A2013" i="12"/>
  <c r="C1878" i="12"/>
  <c r="B1904" i="12"/>
  <c r="C1769" i="12"/>
  <c r="B1767" i="12"/>
  <c r="C1632" i="12"/>
  <c r="B1798" i="12"/>
  <c r="C1663" i="12"/>
  <c r="A2000" i="12"/>
  <c r="C1865" i="12"/>
  <c r="B1835" i="12"/>
  <c r="C1700" i="12"/>
  <c r="B1801" i="12"/>
  <c r="C1666" i="12"/>
  <c r="B2150" i="12"/>
  <c r="C2015" i="12"/>
  <c r="B2274" i="12"/>
  <c r="C2139" i="12"/>
  <c r="C2388" i="12"/>
  <c r="B2523" i="12"/>
  <c r="B2527" i="12"/>
  <c r="C2392" i="12"/>
  <c r="C2261" i="12"/>
  <c r="B2396" i="12"/>
  <c r="B2980" i="12"/>
  <c r="C1564" i="12"/>
  <c r="B1699" i="12"/>
  <c r="C1817" i="12"/>
  <c r="B1952" i="12"/>
  <c r="C1677" i="12"/>
  <c r="B1812" i="12"/>
  <c r="C1764" i="12"/>
  <c r="B1899" i="12"/>
  <c r="B2719" i="12"/>
  <c r="C2584" i="12"/>
  <c r="C1496" i="12"/>
  <c r="B1631" i="12"/>
  <c r="B2231" i="12"/>
  <c r="C2096" i="12"/>
  <c r="B2010" i="12"/>
  <c r="C1875" i="12"/>
  <c r="C2681" i="12"/>
  <c r="B2816" i="12"/>
  <c r="B2166" i="12"/>
  <c r="C2031" i="12"/>
  <c r="B2293" i="12"/>
  <c r="C2158" i="12"/>
  <c r="B1968" i="12"/>
  <c r="C1833" i="12"/>
  <c r="B2355" i="12"/>
  <c r="C2220" i="12"/>
  <c r="B2230" i="12"/>
  <c r="C2095" i="12"/>
  <c r="B2406" i="12"/>
  <c r="C2271" i="12"/>
  <c r="A1971" i="12"/>
  <c r="C1836" i="12"/>
  <c r="C1932" i="12"/>
  <c r="B2067" i="12"/>
  <c r="B2554" i="12"/>
  <c r="C2419" i="12"/>
  <c r="B3876" i="12"/>
  <c r="B1622" i="12"/>
  <c r="C1487" i="12"/>
  <c r="B1883" i="12"/>
  <c r="C1748" i="12"/>
  <c r="B2025" i="12"/>
  <c r="C1890" i="12"/>
  <c r="B2540" i="12"/>
  <c r="C2264" i="12"/>
  <c r="B2399" i="12"/>
  <c r="B1957" i="12"/>
  <c r="C1822" i="12"/>
  <c r="A1996" i="12"/>
  <c r="C1861" i="12"/>
  <c r="C1858" i="12"/>
  <c r="B1993" i="12"/>
  <c r="B1655" i="12"/>
  <c r="C1520" i="12"/>
  <c r="C1981" i="12"/>
  <c r="B2116" i="12"/>
  <c r="B2296" i="12"/>
  <c r="C2161" i="12"/>
  <c r="B1814" i="12"/>
  <c r="C1679" i="12"/>
  <c r="B2909" i="12"/>
  <c r="C2774" i="12"/>
  <c r="B1959" i="12"/>
  <c r="C1824" i="12"/>
  <c r="B1975" i="12"/>
  <c r="C1840" i="12"/>
  <c r="C1733" i="12"/>
  <c r="B1868" i="12"/>
  <c r="B1728" i="12"/>
  <c r="C1593" i="12"/>
  <c r="C3122" i="12"/>
  <c r="B3257" i="12"/>
  <c r="B2536" i="12"/>
  <c r="B1770" i="12"/>
  <c r="C1635" i="12"/>
  <c r="C2022" i="12"/>
  <c r="B2157" i="12"/>
  <c r="B2741" i="12"/>
  <c r="C2606" i="12"/>
  <c r="B2127" i="12"/>
  <c r="C1992" i="12"/>
  <c r="B1627" i="12"/>
  <c r="C1492" i="12"/>
  <c r="B2076" i="12"/>
  <c r="C1941" i="12"/>
  <c r="C1773" i="12"/>
  <c r="B1908" i="12"/>
  <c r="B1665" i="12"/>
  <c r="C1530" i="12"/>
  <c r="B2113" i="12"/>
  <c r="C1978" i="12"/>
  <c r="C1942" i="12"/>
  <c r="B2077" i="12"/>
  <c r="B2191" i="12"/>
  <c r="C2056" i="12"/>
  <c r="B1720" i="12"/>
  <c r="C1585" i="12"/>
  <c r="B2055" i="12"/>
  <c r="C1920" i="12"/>
  <c r="B2147" i="12"/>
  <c r="C2012" i="12"/>
  <c r="B2863" i="12"/>
  <c r="C2393" i="12"/>
  <c r="B2528" i="12"/>
  <c r="C1768" i="12"/>
  <c r="B1903" i="12"/>
  <c r="B1791" i="12"/>
  <c r="C1656" i="12"/>
  <c r="B1934" i="12"/>
  <c r="C1799" i="12"/>
  <c r="B2112" i="12"/>
  <c r="C1977" i="12"/>
  <c r="C1681" i="12"/>
  <c r="B1816" i="12"/>
  <c r="B2553" i="12"/>
  <c r="B2011" i="12"/>
  <c r="C1876" i="12"/>
  <c r="B4435" i="12"/>
  <c r="B2290" i="12"/>
  <c r="C2155" i="12"/>
  <c r="C1668" i="12"/>
  <c r="B1803" i="12"/>
  <c r="C2633" i="12"/>
  <c r="B2768" i="12"/>
  <c r="B2137" i="12"/>
  <c r="C2002" i="12"/>
  <c r="B2199" i="12"/>
  <c r="C2064" i="12"/>
  <c r="B1628" i="12"/>
  <c r="C1493" i="12"/>
  <c r="B2351" i="12"/>
  <c r="C2216" i="12"/>
  <c r="B2142" i="12"/>
  <c r="C2007" i="12"/>
  <c r="B1972" i="12"/>
  <c r="C1837" i="12"/>
  <c r="B2029" i="12"/>
  <c r="C1894" i="12"/>
  <c r="B2075" i="12"/>
  <c r="C1940" i="12"/>
  <c r="B2385" i="12"/>
  <c r="C1789" i="12"/>
  <c r="B1924" i="12"/>
  <c r="B1758" i="12"/>
  <c r="C1623" i="12"/>
  <c r="C2186" i="12"/>
  <c r="B2321" i="12"/>
  <c r="C1641" i="12"/>
  <c r="B1776" i="12"/>
  <c r="B1674" i="12"/>
  <c r="C1539" i="12"/>
  <c r="C1882" i="12"/>
  <c r="B2017" i="12"/>
  <c r="C1782" i="12"/>
  <c r="B1917" i="12"/>
  <c r="C1820" i="12"/>
  <c r="B1955" i="12"/>
  <c r="B2192" i="12"/>
  <c r="C2057" i="12"/>
  <c r="B2777" i="12"/>
  <c r="C2642" i="12"/>
  <c r="C1923" i="12"/>
  <c r="B2058" i="12"/>
  <c r="A2053" i="12"/>
  <c r="C1918" i="12"/>
  <c r="C1543" i="12"/>
  <c r="B1678" i="12"/>
  <c r="B2159" i="12"/>
  <c r="C2024" i="12"/>
  <c r="B1831" i="12"/>
  <c r="C1696" i="12"/>
  <c r="B2300" i="12"/>
  <c r="C1714" i="12"/>
  <c r="B1849" i="12"/>
  <c r="B1686" i="12"/>
  <c r="C1551" i="12"/>
  <c r="B2048" i="12"/>
  <c r="C1913" i="12"/>
  <c r="B2019" i="12"/>
  <c r="C1884" i="12"/>
  <c r="B2243" i="12"/>
  <c r="C2108" i="12"/>
  <c r="C1802" i="12"/>
  <c r="B1937" i="12"/>
  <c r="B1777" i="12"/>
  <c r="C1642" i="12"/>
  <c r="B1675" i="12"/>
  <c r="C1540" i="12"/>
  <c r="C1862" i="12"/>
  <c r="B1997" i="12"/>
  <c r="A1895" i="12"/>
  <c r="C1760" i="12"/>
  <c r="C1669" i="12" l="1"/>
  <c r="B1804" i="12"/>
  <c r="C2243" i="12"/>
  <c r="B2378" i="12"/>
  <c r="C2199" i="12"/>
  <c r="B2334" i="12"/>
  <c r="C2055" i="12"/>
  <c r="B2190" i="12"/>
  <c r="B2248" i="12"/>
  <c r="C2113" i="12"/>
  <c r="B1762" i="12"/>
  <c r="C1627" i="12"/>
  <c r="B1905" i="12"/>
  <c r="C1770" i="12"/>
  <c r="C1814" i="12"/>
  <c r="B1949" i="12"/>
  <c r="B2541" i="12"/>
  <c r="C2406" i="12"/>
  <c r="C2150" i="12"/>
  <c r="B2285" i="12"/>
  <c r="C2246" i="12"/>
  <c r="B2381" i="12"/>
  <c r="B2435" i="12"/>
  <c r="C1675" i="12"/>
  <c r="B1810" i="12"/>
  <c r="B2154" i="12"/>
  <c r="C2019" i="12"/>
  <c r="A2188" i="12"/>
  <c r="C2053" i="12"/>
  <c r="B2520" i="12"/>
  <c r="B2277" i="12"/>
  <c r="C2142" i="12"/>
  <c r="B2272" i="12"/>
  <c r="C2137" i="12"/>
  <c r="B4570" i="12"/>
  <c r="C2112" i="12"/>
  <c r="B2247" i="12"/>
  <c r="B1855" i="12"/>
  <c r="C1720" i="12"/>
  <c r="B1800" i="12"/>
  <c r="C1665" i="12"/>
  <c r="B2262" i="12"/>
  <c r="C2127" i="12"/>
  <c r="B2110" i="12"/>
  <c r="C1975" i="12"/>
  <c r="C2296" i="12"/>
  <c r="B2431" i="12"/>
  <c r="A2131" i="12"/>
  <c r="C1996" i="12"/>
  <c r="B2160" i="12"/>
  <c r="C2025" i="12"/>
  <c r="B2689" i="12"/>
  <c r="C2554" i="12"/>
  <c r="B2365" i="12"/>
  <c r="C2230" i="12"/>
  <c r="B2301" i="12"/>
  <c r="C2166" i="12"/>
  <c r="C2527" i="12"/>
  <c r="B2662" i="12"/>
  <c r="C1801" i="12"/>
  <c r="B1936" i="12"/>
  <c r="B1902" i="12"/>
  <c r="C1767" i="12"/>
  <c r="B2683" i="12"/>
  <c r="C2548" i="12"/>
  <c r="C2054" i="12"/>
  <c r="B2189" i="12"/>
  <c r="C2789" i="12"/>
  <c r="B2924" i="12"/>
  <c r="B2198" i="12"/>
  <c r="C2063" i="12"/>
  <c r="B1927" i="12"/>
  <c r="C1792" i="12"/>
  <c r="A2950" i="12"/>
  <c r="C2815" i="12"/>
  <c r="B1930" i="12"/>
  <c r="C1795" i="12"/>
  <c r="A2305" i="12"/>
  <c r="C2170" i="12"/>
  <c r="B2193" i="12"/>
  <c r="C2058" i="12"/>
  <c r="B2052" i="12"/>
  <c r="C1917" i="12"/>
  <c r="B2456" i="12"/>
  <c r="C2321" i="12"/>
  <c r="C2768" i="12"/>
  <c r="B2903" i="12"/>
  <c r="C1908" i="12"/>
  <c r="B2043" i="12"/>
  <c r="B3392" i="12"/>
  <c r="C3257" i="12"/>
  <c r="C2116" i="12"/>
  <c r="B2251" i="12"/>
  <c r="B2202" i="12"/>
  <c r="C2067" i="12"/>
  <c r="B2951" i="12"/>
  <c r="C2816" i="12"/>
  <c r="B1834" i="12"/>
  <c r="C1699" i="12"/>
  <c r="B2658" i="12"/>
  <c r="C2523" i="12"/>
  <c r="B2450" i="12"/>
  <c r="C2315" i="12"/>
  <c r="B2628" i="12"/>
  <c r="C2493" i="12"/>
  <c r="B2132" i="12"/>
  <c r="C1997" i="12"/>
  <c r="B2059" i="12"/>
  <c r="C1924" i="12"/>
  <c r="C1816" i="12"/>
  <c r="B1951" i="12"/>
  <c r="C1903" i="12"/>
  <c r="B2038" i="12"/>
  <c r="B2003" i="12"/>
  <c r="C1868" i="12"/>
  <c r="B1965" i="12"/>
  <c r="C1830" i="12"/>
  <c r="B2327" i="12"/>
  <c r="C2192" i="12"/>
  <c r="C1674" i="12"/>
  <c r="B1809" i="12"/>
  <c r="C1972" i="12"/>
  <c r="B2107" i="12"/>
  <c r="C2290" i="12"/>
  <c r="B2425" i="12"/>
  <c r="B1933" i="12"/>
  <c r="C1798" i="12"/>
  <c r="B2090" i="12"/>
  <c r="C1955" i="12"/>
  <c r="C1776" i="12"/>
  <c r="B1911" i="12"/>
  <c r="B2663" i="12"/>
  <c r="C2528" i="12"/>
  <c r="B2671" i="12"/>
  <c r="C1631" i="12"/>
  <c r="B1766" i="12"/>
  <c r="B2087" i="12"/>
  <c r="C1952" i="12"/>
  <c r="B2183" i="12"/>
  <c r="C2048" i="12"/>
  <c r="B2210" i="12"/>
  <c r="C2075" i="12"/>
  <c r="B2486" i="12"/>
  <c r="C2351" i="12"/>
  <c r="C1959" i="12"/>
  <c r="B2094" i="12"/>
  <c r="B3726" i="12"/>
  <c r="B2908" i="12"/>
  <c r="C2773" i="12"/>
  <c r="B2367" i="12"/>
  <c r="C2232" i="12"/>
  <c r="B2072" i="12"/>
  <c r="C1937" i="12"/>
  <c r="B2152" i="12"/>
  <c r="C2017" i="12"/>
  <c r="B1938" i="12"/>
  <c r="C1803" i="12"/>
  <c r="C2077" i="12"/>
  <c r="B2212" i="12"/>
  <c r="C2157" i="12"/>
  <c r="B2292" i="12"/>
  <c r="B2534" i="12"/>
  <c r="C2399" i="12"/>
  <c r="B2034" i="12"/>
  <c r="C1899" i="12"/>
  <c r="B2259" i="12"/>
  <c r="C2124" i="12"/>
  <c r="C1974" i="12"/>
  <c r="B2109" i="12"/>
  <c r="C1849" i="12"/>
  <c r="B1984" i="12"/>
  <c r="B1813" i="12"/>
  <c r="C1678" i="12"/>
  <c r="B2128" i="12"/>
  <c r="C1993" i="12"/>
  <c r="B4011" i="12"/>
  <c r="C1812" i="12"/>
  <c r="B1947" i="12"/>
  <c r="B2531" i="12"/>
  <c r="C2396" i="12"/>
  <c r="C1860" i="12"/>
  <c r="B1995" i="12"/>
  <c r="B1780" i="12"/>
  <c r="C1645" i="12"/>
  <c r="B2675" i="12"/>
  <c r="C2293" i="12"/>
  <c r="B2428" i="12"/>
  <c r="B2366" i="12"/>
  <c r="C2231" i="12"/>
  <c r="A2526" i="12"/>
  <c r="C2391" i="12"/>
  <c r="C2151" i="12"/>
  <c r="B2286" i="12"/>
  <c r="C2311" i="12"/>
  <c r="B2446" i="12"/>
  <c r="B1912" i="12"/>
  <c r="C1777" i="12"/>
  <c r="B1966" i="12"/>
  <c r="C1831" i="12"/>
  <c r="C2011" i="12"/>
  <c r="B2146" i="12"/>
  <c r="C1934" i="12"/>
  <c r="B2069" i="12"/>
  <c r="B2998" i="12"/>
  <c r="C2191" i="12"/>
  <c r="B2326" i="12"/>
  <c r="C2741" i="12"/>
  <c r="B2876" i="12"/>
  <c r="B2092" i="12"/>
  <c r="C1957" i="12"/>
  <c r="C1883" i="12"/>
  <c r="B2018" i="12"/>
  <c r="B2490" i="12"/>
  <c r="C2355" i="12"/>
  <c r="B2854" i="12"/>
  <c r="C2719" i="12"/>
  <c r="B1970" i="12"/>
  <c r="C1835" i="12"/>
  <c r="B2039" i="12"/>
  <c r="C1904" i="12"/>
  <c r="B2255" i="12"/>
  <c r="C2120" i="12"/>
  <c r="B1808" i="12"/>
  <c r="C1673" i="12"/>
  <c r="C2144" i="12"/>
  <c r="B2279" i="12"/>
  <c r="A2030" i="12"/>
  <c r="C1895" i="12"/>
  <c r="B1821" i="12"/>
  <c r="C1686" i="12"/>
  <c r="B2294" i="12"/>
  <c r="C2159" i="12"/>
  <c r="C2777" i="12"/>
  <c r="B2912" i="12"/>
  <c r="B1893" i="12"/>
  <c r="C1758" i="12"/>
  <c r="B2164" i="12"/>
  <c r="C2029" i="12"/>
  <c r="B1763" i="12"/>
  <c r="C1628" i="12"/>
  <c r="B2688" i="12"/>
  <c r="C1791" i="12"/>
  <c r="B1926" i="12"/>
  <c r="B2282" i="12"/>
  <c r="C2147" i="12"/>
  <c r="B2211" i="12"/>
  <c r="C2076" i="12"/>
  <c r="C1728" i="12"/>
  <c r="B1863" i="12"/>
  <c r="C2909" i="12"/>
  <c r="B3044" i="12"/>
  <c r="C1655" i="12"/>
  <c r="B1790" i="12"/>
  <c r="C1622" i="12"/>
  <c r="B1757" i="12"/>
  <c r="A2106" i="12"/>
  <c r="C1971" i="12"/>
  <c r="B2103" i="12"/>
  <c r="C1968" i="12"/>
  <c r="B2145" i="12"/>
  <c r="C2010" i="12"/>
  <c r="B3115" i="12"/>
  <c r="C2274" i="12"/>
  <c r="B2409" i="12"/>
  <c r="A2135" i="12"/>
  <c r="C2000" i="12"/>
  <c r="A2148" i="12"/>
  <c r="C2013" i="12"/>
  <c r="B2629" i="12"/>
  <c r="C2494" i="12"/>
  <c r="C1644" i="12"/>
  <c r="B1779" i="12"/>
  <c r="A2250" i="12"/>
  <c r="C2115" i="12"/>
  <c r="C1886" i="12"/>
  <c r="B2021" i="12"/>
  <c r="B1864" i="12"/>
  <c r="C1729" i="12"/>
  <c r="B2657" i="12"/>
  <c r="C2522" i="12"/>
  <c r="B1892" i="12" l="1"/>
  <c r="C1757" i="12"/>
  <c r="B2560" i="12"/>
  <c r="C2425" i="12"/>
  <c r="B3059" i="12"/>
  <c r="C2924" i="12"/>
  <c r="B2429" i="12"/>
  <c r="C2294" i="12"/>
  <c r="B1943" i="12"/>
  <c r="C1808" i="12"/>
  <c r="B2810" i="12"/>
  <c r="B2793" i="12"/>
  <c r="C2658" i="12"/>
  <c r="B2824" i="12"/>
  <c r="C2689" i="12"/>
  <c r="C2110" i="12"/>
  <c r="B2245" i="12"/>
  <c r="B2655" i="12"/>
  <c r="B2570" i="12"/>
  <c r="B2242" i="12"/>
  <c r="C2107" i="12"/>
  <c r="A2283" i="12"/>
  <c r="C2148" i="12"/>
  <c r="B2280" i="12"/>
  <c r="C2145" i="12"/>
  <c r="B2417" i="12"/>
  <c r="C2282" i="12"/>
  <c r="C2164" i="12"/>
  <c r="B2299" i="12"/>
  <c r="C1821" i="12"/>
  <c r="B1956" i="12"/>
  <c r="B2390" i="12"/>
  <c r="C2255" i="12"/>
  <c r="B2625" i="12"/>
  <c r="C2490" i="12"/>
  <c r="B2101" i="12"/>
  <c r="C1966" i="12"/>
  <c r="A2661" i="12"/>
  <c r="C2526" i="12"/>
  <c r="C1780" i="12"/>
  <c r="B1915" i="12"/>
  <c r="C2072" i="12"/>
  <c r="B2207" i="12"/>
  <c r="B2222" i="12"/>
  <c r="C2087" i="12"/>
  <c r="B2138" i="12"/>
  <c r="C2003" i="12"/>
  <c r="B2267" i="12"/>
  <c r="C2132" i="12"/>
  <c r="B1969" i="12"/>
  <c r="C1834" i="12"/>
  <c r="B3527" i="12"/>
  <c r="C3392" i="12"/>
  <c r="C2052" i="12"/>
  <c r="B2187" i="12"/>
  <c r="A3085" i="12"/>
  <c r="C2950" i="12"/>
  <c r="B2295" i="12"/>
  <c r="C2160" i="12"/>
  <c r="B2397" i="12"/>
  <c r="C2262" i="12"/>
  <c r="B4705" i="12"/>
  <c r="A2323" i="12"/>
  <c r="C2188" i="12"/>
  <c r="B2040" i="12"/>
  <c r="C1905" i="12"/>
  <c r="C3044" i="12"/>
  <c r="B3179" i="12"/>
  <c r="B2061" i="12"/>
  <c r="C1926" i="12"/>
  <c r="C2018" i="12"/>
  <c r="B2153" i="12"/>
  <c r="B2130" i="12"/>
  <c r="C1995" i="12"/>
  <c r="B2347" i="12"/>
  <c r="C2212" i="12"/>
  <c r="B1901" i="12"/>
  <c r="C1766" i="12"/>
  <c r="B1944" i="12"/>
  <c r="C1809" i="12"/>
  <c r="C2038" i="12"/>
  <c r="B2173" i="12"/>
  <c r="B2178" i="12"/>
  <c r="C2043" i="12"/>
  <c r="B2420" i="12"/>
  <c r="C2285" i="12"/>
  <c r="B2513" i="12"/>
  <c r="C2378" i="12"/>
  <c r="B3011" i="12"/>
  <c r="C2876" i="12"/>
  <c r="B2281" i="12"/>
  <c r="C2146" i="12"/>
  <c r="B2421" i="12"/>
  <c r="C2286" i="12"/>
  <c r="B2082" i="12"/>
  <c r="C1947" i="12"/>
  <c r="C1984" i="12"/>
  <c r="B2119" i="12"/>
  <c r="B3861" i="12"/>
  <c r="B2071" i="12"/>
  <c r="C1936" i="12"/>
  <c r="C2247" i="12"/>
  <c r="B2382" i="12"/>
  <c r="B2325" i="12"/>
  <c r="C2190" i="12"/>
  <c r="B1999" i="12"/>
  <c r="C1864" i="12"/>
  <c r="B2764" i="12"/>
  <c r="C2629" i="12"/>
  <c r="B2346" i="12"/>
  <c r="C2211" i="12"/>
  <c r="B2065" i="12"/>
  <c r="C1930" i="12"/>
  <c r="B2156" i="12"/>
  <c r="C2021" i="12"/>
  <c r="B2046" i="12"/>
  <c r="C1911" i="12"/>
  <c r="B2469" i="12"/>
  <c r="C2334" i="12"/>
  <c r="B3133" i="12"/>
  <c r="B2047" i="12"/>
  <c r="C1912" i="12"/>
  <c r="C2366" i="12"/>
  <c r="B2501" i="12"/>
  <c r="B2502" i="12"/>
  <c r="C2367" i="12"/>
  <c r="C2486" i="12"/>
  <c r="B2621" i="12"/>
  <c r="C2090" i="12"/>
  <c r="B2225" i="12"/>
  <c r="C2951" i="12"/>
  <c r="B3086" i="12"/>
  <c r="C2193" i="12"/>
  <c r="B2328" i="12"/>
  <c r="B2062" i="12"/>
  <c r="C1927" i="12"/>
  <c r="B2818" i="12"/>
  <c r="C2683" i="12"/>
  <c r="B2436" i="12"/>
  <c r="C2301" i="12"/>
  <c r="A2266" i="12"/>
  <c r="C2131" i="12"/>
  <c r="B1935" i="12"/>
  <c r="C1800" i="12"/>
  <c r="B2289" i="12"/>
  <c r="C2154" i="12"/>
  <c r="B1897" i="12"/>
  <c r="C1762" i="12"/>
  <c r="C1779" i="12"/>
  <c r="B1914" i="12"/>
  <c r="C2409" i="12"/>
  <c r="B2544" i="12"/>
  <c r="B1998" i="12"/>
  <c r="C1863" i="12"/>
  <c r="B3047" i="12"/>
  <c r="C2912" i="12"/>
  <c r="B2414" i="12"/>
  <c r="C2279" i="12"/>
  <c r="C2069" i="12"/>
  <c r="B2204" i="12"/>
  <c r="B2581" i="12"/>
  <c r="C2446" i="12"/>
  <c r="C2428" i="12"/>
  <c r="B2563" i="12"/>
  <c r="B2806" i="12"/>
  <c r="B2086" i="12"/>
  <c r="C1951" i="12"/>
  <c r="B3038" i="12"/>
  <c r="C2903" i="12"/>
  <c r="C2431" i="12"/>
  <c r="B2566" i="12"/>
  <c r="C1810" i="12"/>
  <c r="B1945" i="12"/>
  <c r="C1804" i="12"/>
  <c r="B1939" i="12"/>
  <c r="C2251" i="12"/>
  <c r="B2386" i="12"/>
  <c r="B2084" i="12"/>
  <c r="C1949" i="12"/>
  <c r="B3250" i="12"/>
  <c r="B1898" i="12"/>
  <c r="C1763" i="12"/>
  <c r="C2854" i="12"/>
  <c r="B2989" i="12"/>
  <c r="B2669" i="12"/>
  <c r="C2534" i="12"/>
  <c r="C2152" i="12"/>
  <c r="B2287" i="12"/>
  <c r="C2183" i="12"/>
  <c r="B2318" i="12"/>
  <c r="B2798" i="12"/>
  <c r="C2663" i="12"/>
  <c r="B2100" i="12"/>
  <c r="C1965" i="12"/>
  <c r="C2059" i="12"/>
  <c r="B2194" i="12"/>
  <c r="B2591" i="12"/>
  <c r="C2456" i="12"/>
  <c r="B1925" i="12"/>
  <c r="C1790" i="12"/>
  <c r="B2461" i="12"/>
  <c r="C2326" i="12"/>
  <c r="B4146" i="12"/>
  <c r="C2109" i="12"/>
  <c r="B2244" i="12"/>
  <c r="B2427" i="12"/>
  <c r="C2292" i="12"/>
  <c r="B2229" i="12"/>
  <c r="C2094" i="12"/>
  <c r="C2189" i="12"/>
  <c r="B2324" i="12"/>
  <c r="B2797" i="12"/>
  <c r="C2662" i="12"/>
  <c r="B2516" i="12"/>
  <c r="C2381" i="12"/>
  <c r="A2385" i="12"/>
  <c r="C2250" i="12"/>
  <c r="A2270" i="12"/>
  <c r="C2135" i="12"/>
  <c r="B2238" i="12"/>
  <c r="C2103" i="12"/>
  <c r="B2028" i="12"/>
  <c r="C1893" i="12"/>
  <c r="A2165" i="12"/>
  <c r="C2030" i="12"/>
  <c r="B2174" i="12"/>
  <c r="C2039" i="12"/>
  <c r="B2263" i="12"/>
  <c r="C2128" i="12"/>
  <c r="B2394" i="12"/>
  <c r="C2259" i="12"/>
  <c r="C2628" i="12"/>
  <c r="B2763" i="12"/>
  <c r="B2407" i="12"/>
  <c r="C2272" i="12"/>
  <c r="C2657" i="12"/>
  <c r="B2792" i="12"/>
  <c r="A2241" i="12"/>
  <c r="C2106" i="12"/>
  <c r="B2823" i="12"/>
  <c r="B2105" i="12"/>
  <c r="C1970" i="12"/>
  <c r="C2092" i="12"/>
  <c r="B2227" i="12"/>
  <c r="C2531" i="12"/>
  <c r="B2666" i="12"/>
  <c r="B1948" i="12"/>
  <c r="C1813" i="12"/>
  <c r="B2169" i="12"/>
  <c r="C2034" i="12"/>
  <c r="B2073" i="12"/>
  <c r="C1938" i="12"/>
  <c r="C2908" i="12"/>
  <c r="B3043" i="12"/>
  <c r="B2345" i="12"/>
  <c r="C2210" i="12"/>
  <c r="B2068" i="12"/>
  <c r="C1933" i="12"/>
  <c r="B2462" i="12"/>
  <c r="C2327" i="12"/>
  <c r="B2585" i="12"/>
  <c r="C2450" i="12"/>
  <c r="C2202" i="12"/>
  <c r="B2337" i="12"/>
  <c r="A2440" i="12"/>
  <c r="C2305" i="12"/>
  <c r="C2198" i="12"/>
  <c r="B2333" i="12"/>
  <c r="B2037" i="12"/>
  <c r="C1902" i="12"/>
  <c r="B2500" i="12"/>
  <c r="C2365" i="12"/>
  <c r="C1855" i="12"/>
  <c r="B1990" i="12"/>
  <c r="B2412" i="12"/>
  <c r="C2277" i="12"/>
  <c r="B2676" i="12"/>
  <c r="C2541" i="12"/>
  <c r="B2383" i="12"/>
  <c r="C2248" i="12"/>
  <c r="C2989" i="12" l="1"/>
  <c r="B3124" i="12"/>
  <c r="C2386" i="12"/>
  <c r="B2521" i="12"/>
  <c r="B3314" i="12"/>
  <c r="C3179" i="12"/>
  <c r="B2434" i="12"/>
  <c r="C2299" i="12"/>
  <c r="B2529" i="12"/>
  <c r="C2394" i="12"/>
  <c r="B2163" i="12"/>
  <c r="C2028" i="12"/>
  <c r="B2562" i="12"/>
  <c r="C2427" i="12"/>
  <c r="C1925" i="12"/>
  <c r="B2060" i="12"/>
  <c r="C2798" i="12"/>
  <c r="B2933" i="12"/>
  <c r="C3038" i="12"/>
  <c r="B3173" i="12"/>
  <c r="B2716" i="12"/>
  <c r="C2581" i="12"/>
  <c r="B2133" i="12"/>
  <c r="C1998" i="12"/>
  <c r="C2289" i="12"/>
  <c r="B2424" i="12"/>
  <c r="C2047" i="12"/>
  <c r="B2182" i="12"/>
  <c r="B2291" i="12"/>
  <c r="C2156" i="12"/>
  <c r="B2134" i="12"/>
  <c r="C1999" i="12"/>
  <c r="C2178" i="12"/>
  <c r="B2313" i="12"/>
  <c r="B2532" i="12"/>
  <c r="C2397" i="12"/>
  <c r="C2824" i="12"/>
  <c r="B2959" i="12"/>
  <c r="B2468" i="12"/>
  <c r="C2333" i="12"/>
  <c r="B2074" i="12"/>
  <c r="C1939" i="12"/>
  <c r="B2756" i="12"/>
  <c r="C2621" i="12"/>
  <c r="B2342" i="12"/>
  <c r="C2207" i="12"/>
  <c r="C2412" i="12"/>
  <c r="B2547" i="12"/>
  <c r="C2462" i="12"/>
  <c r="B2597" i="12"/>
  <c r="C2073" i="12"/>
  <c r="B2208" i="12"/>
  <c r="C2263" i="12"/>
  <c r="B2398" i="12"/>
  <c r="C2238" i="12"/>
  <c r="B2373" i="12"/>
  <c r="C2797" i="12"/>
  <c r="B2932" i="12"/>
  <c r="B2726" i="12"/>
  <c r="C2591" i="12"/>
  <c r="C1898" i="12"/>
  <c r="B2033" i="12"/>
  <c r="C2086" i="12"/>
  <c r="B2221" i="12"/>
  <c r="C1935" i="12"/>
  <c r="B2070" i="12"/>
  <c r="B2197" i="12"/>
  <c r="C2062" i="12"/>
  <c r="B3268" i="12"/>
  <c r="C2065" i="12"/>
  <c r="B2200" i="12"/>
  <c r="B2460" i="12"/>
  <c r="C2325" i="12"/>
  <c r="B3146" i="12"/>
  <c r="C3011" i="12"/>
  <c r="B2265" i="12"/>
  <c r="C2130" i="12"/>
  <c r="C2040" i="12"/>
  <c r="B2175" i="12"/>
  <c r="B2430" i="12"/>
  <c r="C2295" i="12"/>
  <c r="C1969" i="12"/>
  <c r="B2104" i="12"/>
  <c r="C2625" i="12"/>
  <c r="B2760" i="12"/>
  <c r="B2552" i="12"/>
  <c r="C2417" i="12"/>
  <c r="B2705" i="12"/>
  <c r="C2793" i="12"/>
  <c r="B2928" i="12"/>
  <c r="B3194" i="12"/>
  <c r="C3059" i="12"/>
  <c r="B2125" i="12"/>
  <c r="C1990" i="12"/>
  <c r="B2459" i="12"/>
  <c r="C2324" i="12"/>
  <c r="B2329" i="12"/>
  <c r="C2194" i="12"/>
  <c r="C2287" i="12"/>
  <c r="B2422" i="12"/>
  <c r="B3385" i="12"/>
  <c r="B2080" i="12"/>
  <c r="C1945" i="12"/>
  <c r="B2049" i="12"/>
  <c r="C1914" i="12"/>
  <c r="C2328" i="12"/>
  <c r="B2463" i="12"/>
  <c r="C2382" i="12"/>
  <c r="B2517" i="12"/>
  <c r="B2288" i="12"/>
  <c r="C2153" i="12"/>
  <c r="B2050" i="12"/>
  <c r="C1915" i="12"/>
  <c r="B2790" i="12"/>
  <c r="C2666" i="12"/>
  <c r="B2801" i="12"/>
  <c r="C2676" i="12"/>
  <c r="B2811" i="12"/>
  <c r="B2172" i="12"/>
  <c r="C2037" i="12"/>
  <c r="C2585" i="12"/>
  <c r="B2720" i="12"/>
  <c r="A2376" i="12"/>
  <c r="C2241" i="12"/>
  <c r="B2651" i="12"/>
  <c r="C2516" i="12"/>
  <c r="B3996" i="12"/>
  <c r="C2281" i="12"/>
  <c r="B2416" i="12"/>
  <c r="B2482" i="12"/>
  <c r="C2347" i="12"/>
  <c r="C2429" i="12"/>
  <c r="B2564" i="12"/>
  <c r="C2792" i="12"/>
  <c r="B2927" i="12"/>
  <c r="C2244" i="12"/>
  <c r="B2379" i="12"/>
  <c r="B2453" i="12"/>
  <c r="C2318" i="12"/>
  <c r="C2119" i="12"/>
  <c r="B2254" i="12"/>
  <c r="C2173" i="12"/>
  <c r="B2308" i="12"/>
  <c r="A2575" i="12"/>
  <c r="C2440" i="12"/>
  <c r="B2203" i="12"/>
  <c r="C2068" i="12"/>
  <c r="B2304" i="12"/>
  <c r="C2169" i="12"/>
  <c r="C2105" i="12"/>
  <c r="B2240" i="12"/>
  <c r="C2407" i="12"/>
  <c r="B2542" i="12"/>
  <c r="B2309" i="12"/>
  <c r="C2174" i="12"/>
  <c r="A2405" i="12"/>
  <c r="C2270" i="12"/>
  <c r="B2941" i="12"/>
  <c r="C2082" i="12"/>
  <c r="B2217" i="12"/>
  <c r="C2513" i="12"/>
  <c r="B2648" i="12"/>
  <c r="B2079" i="12"/>
  <c r="C1944" i="12"/>
  <c r="B2525" i="12"/>
  <c r="C2390" i="12"/>
  <c r="B2415" i="12"/>
  <c r="C2280" i="12"/>
  <c r="C2560" i="12"/>
  <c r="B2695" i="12"/>
  <c r="B2472" i="12"/>
  <c r="C2337" i="12"/>
  <c r="B2898" i="12"/>
  <c r="C2763" i="12"/>
  <c r="B2701" i="12"/>
  <c r="C2566" i="12"/>
  <c r="C2563" i="12"/>
  <c r="B2698" i="12"/>
  <c r="C3086" i="12"/>
  <c r="B3221" i="12"/>
  <c r="B2636" i="12"/>
  <c r="C2501" i="12"/>
  <c r="B4840" i="12"/>
  <c r="B2322" i="12"/>
  <c r="C2187" i="12"/>
  <c r="B2091" i="12"/>
  <c r="C1956" i="12"/>
  <c r="C2245" i="12"/>
  <c r="B2380" i="12"/>
  <c r="B3178" i="12"/>
  <c r="C3043" i="12"/>
  <c r="B2360" i="12"/>
  <c r="C2225" i="12"/>
  <c r="C2818" i="12"/>
  <c r="B2953" i="12"/>
  <c r="C3527" i="12"/>
  <c r="B3662" i="12"/>
  <c r="B2357" i="12"/>
  <c r="C2222" i="12"/>
  <c r="C2101" i="12"/>
  <c r="B2236" i="12"/>
  <c r="B2377" i="12"/>
  <c r="C2242" i="12"/>
  <c r="B2362" i="12"/>
  <c r="C2227" i="12"/>
  <c r="B2339" i="12"/>
  <c r="C2204" i="12"/>
  <c r="C2544" i="12"/>
  <c r="B2679" i="12"/>
  <c r="B4281" i="12"/>
  <c r="C2414" i="12"/>
  <c r="B2549" i="12"/>
  <c r="A2401" i="12"/>
  <c r="C2266" i="12"/>
  <c r="B2637" i="12"/>
  <c r="C2502" i="12"/>
  <c r="B2604" i="12"/>
  <c r="C2469" i="12"/>
  <c r="B2481" i="12"/>
  <c r="C2346" i="12"/>
  <c r="A2458" i="12"/>
  <c r="C2323" i="12"/>
  <c r="A3220" i="12"/>
  <c r="C3085" i="12"/>
  <c r="B2402" i="12"/>
  <c r="C2267" i="12"/>
  <c r="B2945" i="12"/>
  <c r="B2518" i="12"/>
  <c r="C2383" i="12"/>
  <c r="C2500" i="12"/>
  <c r="B2635" i="12"/>
  <c r="B2480" i="12"/>
  <c r="C2345" i="12"/>
  <c r="C1948" i="12"/>
  <c r="B2083" i="12"/>
  <c r="B2958" i="12"/>
  <c r="A2300" i="12"/>
  <c r="C2165" i="12"/>
  <c r="A2520" i="12"/>
  <c r="C2385" i="12"/>
  <c r="B2364" i="12"/>
  <c r="C2229" i="12"/>
  <c r="C2461" i="12"/>
  <c r="B2596" i="12"/>
  <c r="C2100" i="12"/>
  <c r="B2235" i="12"/>
  <c r="C2669" i="12"/>
  <c r="B2804" i="12"/>
  <c r="C2084" i="12"/>
  <c r="B2219" i="12"/>
  <c r="B3182" i="12"/>
  <c r="C3047" i="12"/>
  <c r="C1897" i="12"/>
  <c r="B2032" i="12"/>
  <c r="B2571" i="12"/>
  <c r="C2436" i="12"/>
  <c r="B2181" i="12"/>
  <c r="C2046" i="12"/>
  <c r="C2764" i="12"/>
  <c r="B2899" i="12"/>
  <c r="B2206" i="12"/>
  <c r="C2071" i="12"/>
  <c r="B2556" i="12"/>
  <c r="C2421" i="12"/>
  <c r="B2555" i="12"/>
  <c r="C2420" i="12"/>
  <c r="C1901" i="12"/>
  <c r="B2036" i="12"/>
  <c r="C2061" i="12"/>
  <c r="B2196" i="12"/>
  <c r="B2273" i="12"/>
  <c r="C2138" i="12"/>
  <c r="A2796" i="12"/>
  <c r="C2661" i="12"/>
  <c r="A2418" i="12"/>
  <c r="C2283" i="12"/>
  <c r="B2078" i="12"/>
  <c r="C1943" i="12"/>
  <c r="C1892" i="12"/>
  <c r="B2027" i="12"/>
  <c r="C2032" i="12" l="1"/>
  <c r="B2167" i="12"/>
  <c r="B2371" i="12"/>
  <c r="C2236" i="12"/>
  <c r="C2801" i="12"/>
  <c r="B2936" i="12"/>
  <c r="B3520" i="12"/>
  <c r="B2310" i="12"/>
  <c r="C2175" i="12"/>
  <c r="C2221" i="12"/>
  <c r="B2356" i="12"/>
  <c r="C2060" i="12"/>
  <c r="B2195" i="12"/>
  <c r="B2213" i="12"/>
  <c r="C2078" i="12"/>
  <c r="B2341" i="12"/>
  <c r="C2206" i="12"/>
  <c r="A2435" i="12"/>
  <c r="C2300" i="12"/>
  <c r="A3355" i="12"/>
  <c r="C3220" i="12"/>
  <c r="C2637" i="12"/>
  <c r="B2772" i="12"/>
  <c r="C2360" i="12"/>
  <c r="B2495" i="12"/>
  <c r="B2457" i="12"/>
  <c r="C2322" i="12"/>
  <c r="C2309" i="12"/>
  <c r="B2444" i="12"/>
  <c r="C2203" i="12"/>
  <c r="B2338" i="12"/>
  <c r="B2588" i="12"/>
  <c r="C2453" i="12"/>
  <c r="C2482" i="12"/>
  <c r="B2617" i="12"/>
  <c r="A2511" i="12"/>
  <c r="C2376" i="12"/>
  <c r="B2260" i="12"/>
  <c r="C2125" i="12"/>
  <c r="B2687" i="12"/>
  <c r="C2552" i="12"/>
  <c r="C2468" i="12"/>
  <c r="B2603" i="12"/>
  <c r="B2269" i="12"/>
  <c r="C2134" i="12"/>
  <c r="B2268" i="12"/>
  <c r="C2133" i="12"/>
  <c r="B2569" i="12"/>
  <c r="C2434" i="12"/>
  <c r="B2171" i="12"/>
  <c r="C2036" i="12"/>
  <c r="C2899" i="12"/>
  <c r="B3034" i="12"/>
  <c r="B2731" i="12"/>
  <c r="C2596" i="12"/>
  <c r="C2217" i="12"/>
  <c r="B2352" i="12"/>
  <c r="B2677" i="12"/>
  <c r="C2542" i="12"/>
  <c r="C2379" i="12"/>
  <c r="B2514" i="12"/>
  <c r="B2551" i="12"/>
  <c r="C2416" i="12"/>
  <c r="B2855" i="12"/>
  <c r="C2720" i="12"/>
  <c r="B2925" i="12"/>
  <c r="B2598" i="12"/>
  <c r="C2463" i="12"/>
  <c r="C2422" i="12"/>
  <c r="B2557" i="12"/>
  <c r="B2895" i="12"/>
  <c r="C2760" i="12"/>
  <c r="B3403" i="12"/>
  <c r="B2168" i="12"/>
  <c r="C2033" i="12"/>
  <c r="C2398" i="12"/>
  <c r="B2533" i="12"/>
  <c r="B3094" i="12"/>
  <c r="C2959" i="12"/>
  <c r="B2331" i="12"/>
  <c r="C2196" i="12"/>
  <c r="C2235" i="12"/>
  <c r="B2370" i="12"/>
  <c r="B2335" i="12"/>
  <c r="C2200" i="12"/>
  <c r="B2508" i="12"/>
  <c r="C2373" i="12"/>
  <c r="B2682" i="12"/>
  <c r="C2547" i="12"/>
  <c r="B3093" i="12"/>
  <c r="A2536" i="12"/>
  <c r="C2401" i="12"/>
  <c r="B2492" i="12"/>
  <c r="C2357" i="12"/>
  <c r="B4975" i="12"/>
  <c r="C2701" i="12"/>
  <c r="B2836" i="12"/>
  <c r="C2415" i="12"/>
  <c r="B2550" i="12"/>
  <c r="A2710" i="12"/>
  <c r="C2575" i="12"/>
  <c r="B2851" i="12"/>
  <c r="C2716" i="12"/>
  <c r="B3076" i="12"/>
  <c r="C2927" i="12"/>
  <c r="B3062" i="12"/>
  <c r="B2317" i="12"/>
  <c r="C2182" i="12"/>
  <c r="C2521" i="12"/>
  <c r="B2656" i="12"/>
  <c r="A2931" i="12"/>
  <c r="C2796" i="12"/>
  <c r="B2690" i="12"/>
  <c r="C2555" i="12"/>
  <c r="B2316" i="12"/>
  <c r="C2181" i="12"/>
  <c r="B2499" i="12"/>
  <c r="C2364" i="12"/>
  <c r="B3080" i="12"/>
  <c r="B2616" i="12"/>
  <c r="C2481" i="12"/>
  <c r="B2497" i="12"/>
  <c r="C2362" i="12"/>
  <c r="B2771" i="12"/>
  <c r="C2636" i="12"/>
  <c r="B3033" i="12"/>
  <c r="C2898" i="12"/>
  <c r="B2660" i="12"/>
  <c r="C2525" i="12"/>
  <c r="B4131" i="12"/>
  <c r="C2172" i="12"/>
  <c r="B2307" i="12"/>
  <c r="C2050" i="12"/>
  <c r="B2185" i="12"/>
  <c r="B2184" i="12"/>
  <c r="C2049" i="12"/>
  <c r="C2329" i="12"/>
  <c r="B2464" i="12"/>
  <c r="C3146" i="12"/>
  <c r="B3281" i="12"/>
  <c r="B2332" i="12"/>
  <c r="C2197" i="12"/>
  <c r="C2726" i="12"/>
  <c r="B2861" i="12"/>
  <c r="B2891" i="12"/>
  <c r="C2756" i="12"/>
  <c r="B2667" i="12"/>
  <c r="C2532" i="12"/>
  <c r="C2163" i="12"/>
  <c r="B2298" i="12"/>
  <c r="C2679" i="12"/>
  <c r="B2814" i="12"/>
  <c r="B3317" i="12"/>
  <c r="C3182" i="12"/>
  <c r="B2653" i="12"/>
  <c r="C2518" i="12"/>
  <c r="C2339" i="12"/>
  <c r="B2474" i="12"/>
  <c r="B2477" i="12"/>
  <c r="C2342" i="12"/>
  <c r="C2562" i="12"/>
  <c r="B2697" i="12"/>
  <c r="C2083" i="12"/>
  <c r="B2218" i="12"/>
  <c r="B3797" i="12"/>
  <c r="C3662" i="12"/>
  <c r="B2443" i="12"/>
  <c r="C2308" i="12"/>
  <c r="C2928" i="12"/>
  <c r="B3063" i="12"/>
  <c r="C2027" i="12"/>
  <c r="B2162" i="12"/>
  <c r="C2804" i="12"/>
  <c r="B2939" i="12"/>
  <c r="B3088" i="12"/>
  <c r="C2953" i="12"/>
  <c r="C3221" i="12"/>
  <c r="B3356" i="12"/>
  <c r="B2389" i="12"/>
  <c r="C2254" i="12"/>
  <c r="C2564" i="12"/>
  <c r="B2699" i="12"/>
  <c r="B2946" i="12"/>
  <c r="C2811" i="12"/>
  <c r="B2840" i="12"/>
  <c r="B2205" i="12"/>
  <c r="C2070" i="12"/>
  <c r="C2932" i="12"/>
  <c r="B3067" i="12"/>
  <c r="B2732" i="12"/>
  <c r="C2597" i="12"/>
  <c r="B2448" i="12"/>
  <c r="C2313" i="12"/>
  <c r="C2424" i="12"/>
  <c r="B2559" i="12"/>
  <c r="B3068" i="12"/>
  <c r="C2933" i="12"/>
  <c r="B3259" i="12"/>
  <c r="C3124" i="12"/>
  <c r="C2635" i="12"/>
  <c r="B2770" i="12"/>
  <c r="C2698" i="12"/>
  <c r="B2833" i="12"/>
  <c r="C2695" i="12"/>
  <c r="B2830" i="12"/>
  <c r="B2783" i="12"/>
  <c r="C2648" i="12"/>
  <c r="C2517" i="12"/>
  <c r="B2652" i="12"/>
  <c r="A2553" i="12"/>
  <c r="C2418" i="12"/>
  <c r="A2593" i="12"/>
  <c r="C2458" i="12"/>
  <c r="B3313" i="12"/>
  <c r="C3178" i="12"/>
  <c r="C3194" i="12"/>
  <c r="B3329" i="12"/>
  <c r="C2265" i="12"/>
  <c r="B2400" i="12"/>
  <c r="C2291" i="12"/>
  <c r="B2426" i="12"/>
  <c r="B3449" i="12"/>
  <c r="C3314" i="12"/>
  <c r="B2354" i="12"/>
  <c r="C2219" i="12"/>
  <c r="C2549" i="12"/>
  <c r="B2684" i="12"/>
  <c r="C2380" i="12"/>
  <c r="B2515" i="12"/>
  <c r="C2240" i="12"/>
  <c r="B2375" i="12"/>
  <c r="C2104" i="12"/>
  <c r="B2239" i="12"/>
  <c r="C2208" i="12"/>
  <c r="B2343" i="12"/>
  <c r="B3308" i="12"/>
  <c r="C3173" i="12"/>
  <c r="B2408" i="12"/>
  <c r="C2273" i="12"/>
  <c r="B2691" i="12"/>
  <c r="C2556" i="12"/>
  <c r="B2706" i="12"/>
  <c r="C2571" i="12"/>
  <c r="A2655" i="12"/>
  <c r="C2520" i="12"/>
  <c r="C2480" i="12"/>
  <c r="B2615" i="12"/>
  <c r="C2402" i="12"/>
  <c r="B2537" i="12"/>
  <c r="B2739" i="12"/>
  <c r="C2604" i="12"/>
  <c r="B4416" i="12"/>
  <c r="B2512" i="12"/>
  <c r="C2377" i="12"/>
  <c r="B2226" i="12"/>
  <c r="C2091" i="12"/>
  <c r="C2472" i="12"/>
  <c r="B2607" i="12"/>
  <c r="C2079" i="12"/>
  <c r="B2214" i="12"/>
  <c r="A2540" i="12"/>
  <c r="C2405" i="12"/>
  <c r="C2304" i="12"/>
  <c r="B2439" i="12"/>
  <c r="C2651" i="12"/>
  <c r="B2786" i="12"/>
  <c r="B2423" i="12"/>
  <c r="C2288" i="12"/>
  <c r="B2215" i="12"/>
  <c r="C2080" i="12"/>
  <c r="C2459" i="12"/>
  <c r="B2594" i="12"/>
  <c r="B2565" i="12"/>
  <c r="C2430" i="12"/>
  <c r="B2595" i="12"/>
  <c r="C2460" i="12"/>
  <c r="C2074" i="12"/>
  <c r="B2209" i="12"/>
  <c r="B2664" i="12"/>
  <c r="C2529" i="12"/>
  <c r="C2209" i="12" l="1"/>
  <c r="B2344" i="12"/>
  <c r="C2375" i="12"/>
  <c r="B2510" i="12"/>
  <c r="C2533" i="12"/>
  <c r="B2668" i="12"/>
  <c r="B2907" i="12"/>
  <c r="C2772" i="12"/>
  <c r="A2675" i="12"/>
  <c r="C2540" i="12"/>
  <c r="B3584" i="12"/>
  <c r="C3449" i="12"/>
  <c r="B2319" i="12"/>
  <c r="C2184" i="12"/>
  <c r="B2795" i="12"/>
  <c r="C2660" i="12"/>
  <c r="B2825" i="12"/>
  <c r="C2690" i="12"/>
  <c r="C2551" i="12"/>
  <c r="B2686" i="12"/>
  <c r="C2268" i="12"/>
  <c r="B2403" i="12"/>
  <c r="B3655" i="12"/>
  <c r="B2349" i="12"/>
  <c r="C2214" i="12"/>
  <c r="B3074" i="12"/>
  <c r="C2939" i="12"/>
  <c r="B3211" i="12"/>
  <c r="B2971" i="12"/>
  <c r="C2836" i="12"/>
  <c r="C2370" i="12"/>
  <c r="B2505" i="12"/>
  <c r="C2936" i="12"/>
  <c r="B3071" i="12"/>
  <c r="A2728" i="12"/>
  <c r="C2593" i="12"/>
  <c r="C2332" i="12"/>
  <c r="B2467" i="12"/>
  <c r="C3033" i="12"/>
  <c r="B3168" i="12"/>
  <c r="B3215" i="12"/>
  <c r="A3066" i="12"/>
  <c r="C2931" i="12"/>
  <c r="A3490" i="12"/>
  <c r="C3355" i="12"/>
  <c r="B2921" i="12"/>
  <c r="C2786" i="12"/>
  <c r="C2607" i="12"/>
  <c r="B2742" i="12"/>
  <c r="B2478" i="12"/>
  <c r="C2343" i="12"/>
  <c r="B2819" i="12"/>
  <c r="C2684" i="12"/>
  <c r="B2535" i="12"/>
  <c r="C2400" i="12"/>
  <c r="B2968" i="12"/>
  <c r="C2833" i="12"/>
  <c r="B2694" i="12"/>
  <c r="C2559" i="12"/>
  <c r="B2297" i="12"/>
  <c r="C2162" i="12"/>
  <c r="B2353" i="12"/>
  <c r="C2218" i="12"/>
  <c r="B3416" i="12"/>
  <c r="C3281" i="12"/>
  <c r="B2442" i="12"/>
  <c r="C2307" i="12"/>
  <c r="B2791" i="12"/>
  <c r="C2656" i="12"/>
  <c r="B5110" i="12"/>
  <c r="B2738" i="12"/>
  <c r="C2603" i="12"/>
  <c r="C2617" i="12"/>
  <c r="B2752" i="12"/>
  <c r="B2491" i="12"/>
  <c r="C2356" i="12"/>
  <c r="B2692" i="12"/>
  <c r="C2557" i="12"/>
  <c r="B3394" i="12"/>
  <c r="C3259" i="12"/>
  <c r="B3081" i="12"/>
  <c r="C2946" i="12"/>
  <c r="C2477" i="12"/>
  <c r="B2612" i="12"/>
  <c r="C2335" i="12"/>
  <c r="B2470" i="12"/>
  <c r="C2474" i="12"/>
  <c r="B2609" i="12"/>
  <c r="C2298" i="12"/>
  <c r="B2433" i="12"/>
  <c r="B2320" i="12"/>
  <c r="C2185" i="12"/>
  <c r="C2195" i="12"/>
  <c r="B2330" i="12"/>
  <c r="B2303" i="12"/>
  <c r="C2168" i="12"/>
  <c r="A2646" i="12"/>
  <c r="C2511" i="12"/>
  <c r="C2565" i="12"/>
  <c r="B2700" i="12"/>
  <c r="B2874" i="12"/>
  <c r="C2739" i="12"/>
  <c r="C2706" i="12"/>
  <c r="B2841" i="12"/>
  <c r="A2688" i="12"/>
  <c r="C2553" i="12"/>
  <c r="B2340" i="12"/>
  <c r="C2205" i="12"/>
  <c r="B2524" i="12"/>
  <c r="C2389" i="12"/>
  <c r="B2788" i="12"/>
  <c r="C2653" i="12"/>
  <c r="B2802" i="12"/>
  <c r="C2667" i="12"/>
  <c r="B2906" i="12"/>
  <c r="C2771" i="12"/>
  <c r="B2634" i="12"/>
  <c r="C2499" i="12"/>
  <c r="B2986" i="12"/>
  <c r="C2851" i="12"/>
  <c r="B2817" i="12"/>
  <c r="C2682" i="12"/>
  <c r="B2466" i="12"/>
  <c r="C2331" i="12"/>
  <c r="B3538" i="12"/>
  <c r="B3060" i="12"/>
  <c r="B2812" i="12"/>
  <c r="C2677" i="12"/>
  <c r="C2171" i="12"/>
  <c r="B2306" i="12"/>
  <c r="B2592" i="12"/>
  <c r="C2457" i="12"/>
  <c r="A2570" i="12"/>
  <c r="C2435" i="12"/>
  <c r="C2371" i="12"/>
  <c r="B2506" i="12"/>
  <c r="C2615" i="12"/>
  <c r="B2750" i="12"/>
  <c r="B2949" i="12"/>
  <c r="C2814" i="12"/>
  <c r="C2215" i="12"/>
  <c r="B2350" i="12"/>
  <c r="C2512" i="12"/>
  <c r="B2647" i="12"/>
  <c r="C2408" i="12"/>
  <c r="B2543" i="12"/>
  <c r="B3448" i="12"/>
  <c r="C3313" i="12"/>
  <c r="C2732" i="12"/>
  <c r="B2867" i="12"/>
  <c r="C2443" i="12"/>
  <c r="B2578" i="12"/>
  <c r="A2671" i="12"/>
  <c r="C2536" i="12"/>
  <c r="B3202" i="12"/>
  <c r="C3067" i="12"/>
  <c r="B2649" i="12"/>
  <c r="C2514" i="12"/>
  <c r="B3169" i="12"/>
  <c r="C3034" i="12"/>
  <c r="B2579" i="12"/>
  <c r="C2444" i="12"/>
  <c r="B2730" i="12"/>
  <c r="C2595" i="12"/>
  <c r="B2558" i="12"/>
  <c r="C2423" i="12"/>
  <c r="B4551" i="12"/>
  <c r="A2790" i="12"/>
  <c r="C2655" i="12"/>
  <c r="C3308" i="12"/>
  <c r="B3443" i="12"/>
  <c r="C3797" i="12"/>
  <c r="B3932" i="12"/>
  <c r="B2404" i="12"/>
  <c r="C2269" i="12"/>
  <c r="B2729" i="12"/>
  <c r="C2594" i="12"/>
  <c r="C2439" i="12"/>
  <c r="B2574" i="12"/>
  <c r="B2672" i="12"/>
  <c r="C2537" i="12"/>
  <c r="B2374" i="12"/>
  <c r="C2239" i="12"/>
  <c r="B3464" i="12"/>
  <c r="C3329" i="12"/>
  <c r="B2787" i="12"/>
  <c r="C2652" i="12"/>
  <c r="B2905" i="12"/>
  <c r="C2770" i="12"/>
  <c r="B2975" i="12"/>
  <c r="B3491" i="12"/>
  <c r="C3356" i="12"/>
  <c r="C3063" i="12"/>
  <c r="B3198" i="12"/>
  <c r="B2832" i="12"/>
  <c r="C2697" i="12"/>
  <c r="B2599" i="12"/>
  <c r="C2464" i="12"/>
  <c r="C2352" i="12"/>
  <c r="B2487" i="12"/>
  <c r="C2495" i="12"/>
  <c r="B2630" i="12"/>
  <c r="C2167" i="12"/>
  <c r="B2302" i="12"/>
  <c r="C2861" i="12"/>
  <c r="B2996" i="12"/>
  <c r="C3062" i="12"/>
  <c r="B3197" i="12"/>
  <c r="C2550" i="12"/>
  <c r="B2685" i="12"/>
  <c r="B2473" i="12"/>
  <c r="C2338" i="12"/>
  <c r="B2918" i="12"/>
  <c r="C2783" i="12"/>
  <c r="C3088" i="12"/>
  <c r="B3223" i="12"/>
  <c r="B2751" i="12"/>
  <c r="C2616" i="12"/>
  <c r="B2866" i="12"/>
  <c r="C2731" i="12"/>
  <c r="B2395" i="12"/>
  <c r="C2260" i="12"/>
  <c r="C2213" i="12"/>
  <c r="B2348" i="12"/>
  <c r="C2515" i="12"/>
  <c r="B2650" i="12"/>
  <c r="B2561" i="12"/>
  <c r="C2426" i="12"/>
  <c r="B2965" i="12"/>
  <c r="C2830" i="12"/>
  <c r="B2834" i="12"/>
  <c r="C2699" i="12"/>
  <c r="B3228" i="12"/>
  <c r="B3203" i="12"/>
  <c r="C3068" i="12"/>
  <c r="C2598" i="12"/>
  <c r="B2733" i="12"/>
  <c r="B2799" i="12"/>
  <c r="C2664" i="12"/>
  <c r="B2361" i="12"/>
  <c r="C2226" i="12"/>
  <c r="B2826" i="12"/>
  <c r="C2691" i="12"/>
  <c r="B2489" i="12"/>
  <c r="C2354" i="12"/>
  <c r="C2448" i="12"/>
  <c r="B2583" i="12"/>
  <c r="B3452" i="12"/>
  <c r="C3317" i="12"/>
  <c r="B3026" i="12"/>
  <c r="C2891" i="12"/>
  <c r="B4266" i="12"/>
  <c r="B2632" i="12"/>
  <c r="C2497" i="12"/>
  <c r="B2451" i="12"/>
  <c r="C2316" i="12"/>
  <c r="C2317" i="12"/>
  <c r="B2452" i="12"/>
  <c r="A2845" i="12"/>
  <c r="C2710" i="12"/>
  <c r="B2627" i="12"/>
  <c r="C2492" i="12"/>
  <c r="B2643" i="12"/>
  <c r="C2508" i="12"/>
  <c r="C3094" i="12"/>
  <c r="B3229" i="12"/>
  <c r="C2895" i="12"/>
  <c r="B3030" i="12"/>
  <c r="B2990" i="12"/>
  <c r="C2855" i="12"/>
  <c r="B2704" i="12"/>
  <c r="C2569" i="12"/>
  <c r="B2822" i="12"/>
  <c r="C2687" i="12"/>
  <c r="B2723" i="12"/>
  <c r="C2588" i="12"/>
  <c r="B2476" i="12"/>
  <c r="C2341" i="12"/>
  <c r="B2445" i="12"/>
  <c r="C2310" i="12"/>
  <c r="B2483" i="12" l="1"/>
  <c r="C2348" i="12"/>
  <c r="B3332" i="12"/>
  <c r="C3197" i="12"/>
  <c r="B2622" i="12"/>
  <c r="C2487" i="12"/>
  <c r="C2467" i="12"/>
  <c r="B2602" i="12"/>
  <c r="C3491" i="12"/>
  <c r="B3626" i="12"/>
  <c r="C2791" i="12"/>
  <c r="B2926" i="12"/>
  <c r="C2297" i="12"/>
  <c r="B2432" i="12"/>
  <c r="C2819" i="12"/>
  <c r="B2954" i="12"/>
  <c r="B3790" i="12"/>
  <c r="C2403" i="12"/>
  <c r="B2538" i="12"/>
  <c r="A2980" i="12"/>
  <c r="C2845" i="12"/>
  <c r="C2965" i="12"/>
  <c r="B3100" i="12"/>
  <c r="B3053" i="12"/>
  <c r="C2918" i="12"/>
  <c r="C2374" i="12"/>
  <c r="B2509" i="12"/>
  <c r="B2577" i="12"/>
  <c r="C2442" i="12"/>
  <c r="B2829" i="12"/>
  <c r="C2694" i="12"/>
  <c r="A3201" i="12"/>
  <c r="C3066" i="12"/>
  <c r="A2863" i="12"/>
  <c r="C2728" i="12"/>
  <c r="B2454" i="12"/>
  <c r="C2319" i="12"/>
  <c r="C3229" i="12"/>
  <c r="B3364" i="12"/>
  <c r="B2587" i="12"/>
  <c r="C2452" i="12"/>
  <c r="C2302" i="12"/>
  <c r="B2437" i="12"/>
  <c r="B4067" i="12"/>
  <c r="C3932" i="12"/>
  <c r="B3002" i="12"/>
  <c r="C2867" i="12"/>
  <c r="C2350" i="12"/>
  <c r="B2485" i="12"/>
  <c r="B3195" i="12"/>
  <c r="C2841" i="12"/>
  <c r="B2976" i="12"/>
  <c r="B2744" i="12"/>
  <c r="C2609" i="12"/>
  <c r="B2877" i="12"/>
  <c r="C2742" i="12"/>
  <c r="B3350" i="12"/>
  <c r="C3071" i="12"/>
  <c r="B3206" i="12"/>
  <c r="B2821" i="12"/>
  <c r="C2686" i="12"/>
  <c r="B2645" i="12"/>
  <c r="C2510" i="12"/>
  <c r="C2543" i="12"/>
  <c r="B2678" i="12"/>
  <c r="B2885" i="12"/>
  <c r="C2750" i="12"/>
  <c r="C2306" i="12"/>
  <c r="B2441" i="12"/>
  <c r="C2612" i="12"/>
  <c r="B2747" i="12"/>
  <c r="B2611" i="12"/>
  <c r="C2476" i="12"/>
  <c r="C2990" i="12"/>
  <c r="B3125" i="12"/>
  <c r="B2767" i="12"/>
  <c r="C2632" i="12"/>
  <c r="C2834" i="12"/>
  <c r="B2969" i="12"/>
  <c r="B2714" i="12"/>
  <c r="C2579" i="12"/>
  <c r="C2320" i="12"/>
  <c r="B2455" i="12"/>
  <c r="C2491" i="12"/>
  <c r="B2626" i="12"/>
  <c r="A3625" i="12"/>
  <c r="C3490" i="12"/>
  <c r="B2930" i="12"/>
  <c r="C2795" i="12"/>
  <c r="B4401" i="12"/>
  <c r="C2996" i="12"/>
  <c r="B3131" i="12"/>
  <c r="B3110" i="12"/>
  <c r="C2433" i="12"/>
  <c r="B2568" i="12"/>
  <c r="C2752" i="12"/>
  <c r="B2887" i="12"/>
  <c r="C2599" i="12"/>
  <c r="B2734" i="12"/>
  <c r="B2947" i="12"/>
  <c r="C2812" i="12"/>
  <c r="B2952" i="12"/>
  <c r="C2817" i="12"/>
  <c r="A2823" i="12"/>
  <c r="C2688" i="12"/>
  <c r="B3346" i="12"/>
  <c r="B2957" i="12"/>
  <c r="C2822" i="12"/>
  <c r="C3026" i="12"/>
  <c r="B3161" i="12"/>
  <c r="B2961" i="12"/>
  <c r="C2826" i="12"/>
  <c r="B3338" i="12"/>
  <c r="C3203" i="12"/>
  <c r="B2696" i="12"/>
  <c r="C2561" i="12"/>
  <c r="C2866" i="12"/>
  <c r="B3001" i="12"/>
  <c r="B2608" i="12"/>
  <c r="C2473" i="12"/>
  <c r="C2832" i="12"/>
  <c r="B2967" i="12"/>
  <c r="C2905" i="12"/>
  <c r="B3040" i="12"/>
  <c r="B2807" i="12"/>
  <c r="C2672" i="12"/>
  <c r="B2693" i="12"/>
  <c r="C2558" i="12"/>
  <c r="B2784" i="12"/>
  <c r="C2649" i="12"/>
  <c r="A2705" i="12"/>
  <c r="C2570" i="12"/>
  <c r="B3121" i="12"/>
  <c r="C2986" i="12"/>
  <c r="C2788" i="12"/>
  <c r="B2923" i="12"/>
  <c r="B2438" i="12"/>
  <c r="C2303" i="12"/>
  <c r="B3529" i="12"/>
  <c r="C3394" i="12"/>
  <c r="C2738" i="12"/>
  <c r="B2873" i="12"/>
  <c r="B3551" i="12"/>
  <c r="C3416" i="12"/>
  <c r="B3103" i="12"/>
  <c r="C2968" i="12"/>
  <c r="C3074" i="12"/>
  <c r="B3209" i="12"/>
  <c r="B3719" i="12"/>
  <c r="C3584" i="12"/>
  <c r="B2835" i="12"/>
  <c r="C2700" i="12"/>
  <c r="C2466" i="12"/>
  <c r="B2601" i="12"/>
  <c r="B3042" i="12"/>
  <c r="C2907" i="12"/>
  <c r="B3165" i="12"/>
  <c r="C3030" i="12"/>
  <c r="B4686" i="12"/>
  <c r="B2782" i="12"/>
  <c r="C2647" i="12"/>
  <c r="B2803" i="12"/>
  <c r="C2668" i="12"/>
  <c r="C2404" i="12"/>
  <c r="B2539" i="12"/>
  <c r="B2937" i="12"/>
  <c r="C2802" i="12"/>
  <c r="A2781" i="12"/>
  <c r="C2646" i="12"/>
  <c r="B2613" i="12"/>
  <c r="C2478" i="12"/>
  <c r="B3363" i="12"/>
  <c r="C2650" i="12"/>
  <c r="B2785" i="12"/>
  <c r="C2685" i="12"/>
  <c r="B2820" i="12"/>
  <c r="C2630" i="12"/>
  <c r="B2765" i="12"/>
  <c r="C3198" i="12"/>
  <c r="B3333" i="12"/>
  <c r="B2709" i="12"/>
  <c r="C2574" i="12"/>
  <c r="C3443" i="12"/>
  <c r="B3578" i="12"/>
  <c r="B2465" i="12"/>
  <c r="C2330" i="12"/>
  <c r="B2605" i="12"/>
  <c r="C2470" i="12"/>
  <c r="C3168" i="12"/>
  <c r="B3303" i="12"/>
  <c r="C2505" i="12"/>
  <c r="B2640" i="12"/>
  <c r="B2479" i="12"/>
  <c r="C2344" i="12"/>
  <c r="C2583" i="12"/>
  <c r="B2718" i="12"/>
  <c r="C3223" i="12"/>
  <c r="B3358" i="12"/>
  <c r="B2762" i="12"/>
  <c r="C2627" i="12"/>
  <c r="B2934" i="12"/>
  <c r="C2799" i="12"/>
  <c r="C3464" i="12"/>
  <c r="B3599" i="12"/>
  <c r="B2864" i="12"/>
  <c r="C2729" i="12"/>
  <c r="A2925" i="12"/>
  <c r="C2790" i="12"/>
  <c r="A2806" i="12"/>
  <c r="C2671" i="12"/>
  <c r="C2906" i="12"/>
  <c r="B3041" i="12"/>
  <c r="B2475" i="12"/>
  <c r="C2340" i="12"/>
  <c r="B3106" i="12"/>
  <c r="C2971" i="12"/>
  <c r="B2868" i="12"/>
  <c r="C2733" i="12"/>
  <c r="B2713" i="12"/>
  <c r="C2578" i="12"/>
  <c r="C2506" i="12"/>
  <c r="B2641" i="12"/>
  <c r="B2858" i="12"/>
  <c r="C2723" i="12"/>
  <c r="B2624" i="12"/>
  <c r="C2489" i="12"/>
  <c r="B2530" i="12"/>
  <c r="C2395" i="12"/>
  <c r="C3169" i="12"/>
  <c r="B3304" i="12"/>
  <c r="C3081" i="12"/>
  <c r="B3216" i="12"/>
  <c r="C2445" i="12"/>
  <c r="B2580" i="12"/>
  <c r="B2839" i="12"/>
  <c r="C2704" i="12"/>
  <c r="C2643" i="12"/>
  <c r="B2778" i="12"/>
  <c r="B2586" i="12"/>
  <c r="C2451" i="12"/>
  <c r="B3587" i="12"/>
  <c r="C3452" i="12"/>
  <c r="C2361" i="12"/>
  <c r="B2496" i="12"/>
  <c r="B2886" i="12"/>
  <c r="C2751" i="12"/>
  <c r="C2787" i="12"/>
  <c r="B2922" i="12"/>
  <c r="B2865" i="12"/>
  <c r="C2730" i="12"/>
  <c r="C3202" i="12"/>
  <c r="B3337" i="12"/>
  <c r="C3448" i="12"/>
  <c r="B3583" i="12"/>
  <c r="B3084" i="12"/>
  <c r="C2949" i="12"/>
  <c r="C2592" i="12"/>
  <c r="B2727" i="12"/>
  <c r="B3673" i="12"/>
  <c r="B2769" i="12"/>
  <c r="C2634" i="12"/>
  <c r="C2524" i="12"/>
  <c r="B2659" i="12"/>
  <c r="B3009" i="12"/>
  <c r="C2874" i="12"/>
  <c r="B2827" i="12"/>
  <c r="C2692" i="12"/>
  <c r="B5245" i="12"/>
  <c r="B2488" i="12"/>
  <c r="C2353" i="12"/>
  <c r="C2535" i="12"/>
  <c r="B2670" i="12"/>
  <c r="C2921" i="12"/>
  <c r="B3056" i="12"/>
  <c r="B2484" i="12"/>
  <c r="C2349" i="12"/>
  <c r="B2960" i="12"/>
  <c r="C2825" i="12"/>
  <c r="A2810" i="12"/>
  <c r="C2675" i="12"/>
  <c r="B3351" i="12" l="1"/>
  <c r="C3216" i="12"/>
  <c r="B2775" i="12"/>
  <c r="C2640" i="12"/>
  <c r="B3713" i="12"/>
  <c r="C3578" i="12"/>
  <c r="C2820" i="12"/>
  <c r="B2955" i="12"/>
  <c r="B2576" i="12"/>
  <c r="C2441" i="12"/>
  <c r="C3364" i="12"/>
  <c r="B3499" i="12"/>
  <c r="C2602" i="12"/>
  <c r="B2737" i="12"/>
  <c r="C2858" i="12"/>
  <c r="B2993" i="12"/>
  <c r="B2917" i="12"/>
  <c r="C2782" i="12"/>
  <c r="B2919" i="12"/>
  <c r="C2784" i="12"/>
  <c r="C2829" i="12"/>
  <c r="B2964" i="12"/>
  <c r="C3304" i="12"/>
  <c r="B3439" i="12"/>
  <c r="B3341" i="12"/>
  <c r="C3206" i="12"/>
  <c r="C2432" i="12"/>
  <c r="B2567" i="12"/>
  <c r="B3021" i="12"/>
  <c r="C2886" i="12"/>
  <c r="C2885" i="12"/>
  <c r="B3020" i="12"/>
  <c r="C4067" i="12"/>
  <c r="B4202" i="12"/>
  <c r="B2589" i="12"/>
  <c r="C2454" i="12"/>
  <c r="B2712" i="12"/>
  <c r="C2577" i="12"/>
  <c r="A3115" i="12"/>
  <c r="C2980" i="12"/>
  <c r="C2622" i="12"/>
  <c r="B2757" i="12"/>
  <c r="B3191" i="12"/>
  <c r="C3056" i="12"/>
  <c r="B3472" i="12"/>
  <c r="C3337" i="12"/>
  <c r="B2631" i="12"/>
  <c r="C2496" i="12"/>
  <c r="C3041" i="12"/>
  <c r="B3176" i="12"/>
  <c r="B3734" i="12"/>
  <c r="C3599" i="12"/>
  <c r="C2718" i="12"/>
  <c r="B2853" i="12"/>
  <c r="C3333" i="12"/>
  <c r="B3468" i="12"/>
  <c r="B2674" i="12"/>
  <c r="C2539" i="12"/>
  <c r="C2873" i="12"/>
  <c r="B3008" i="12"/>
  <c r="B3136" i="12"/>
  <c r="C3001" i="12"/>
  <c r="B3296" i="12"/>
  <c r="C3161" i="12"/>
  <c r="B2703" i="12"/>
  <c r="C2568" i="12"/>
  <c r="B2813" i="12"/>
  <c r="C2678" i="12"/>
  <c r="C2437" i="12"/>
  <c r="B2572" i="12"/>
  <c r="C2509" i="12"/>
  <c r="B2644" i="12"/>
  <c r="C2538" i="12"/>
  <c r="B2673" i="12"/>
  <c r="C2926" i="12"/>
  <c r="B3061" i="12"/>
  <c r="C2922" i="12"/>
  <c r="B3057" i="12"/>
  <c r="B3102" i="12"/>
  <c r="C2967" i="12"/>
  <c r="A3060" i="12"/>
  <c r="C2925" i="12"/>
  <c r="B2897" i="12"/>
  <c r="C2762" i="12"/>
  <c r="C3583" i="12"/>
  <c r="B3718" i="12"/>
  <c r="B2913" i="12"/>
  <c r="C2778" i="12"/>
  <c r="B2776" i="12"/>
  <c r="C2641" i="12"/>
  <c r="C2887" i="12"/>
  <c r="B3022" i="12"/>
  <c r="B4536" i="12"/>
  <c r="B2590" i="12"/>
  <c r="C2455" i="12"/>
  <c r="B3260" i="12"/>
  <c r="C3125" i="12"/>
  <c r="B3111" i="12"/>
  <c r="C2976" i="12"/>
  <c r="C2475" i="12"/>
  <c r="B2610" i="12"/>
  <c r="B4821" i="12"/>
  <c r="C3551" i="12"/>
  <c r="B3686" i="12"/>
  <c r="B2828" i="12"/>
  <c r="C2693" i="12"/>
  <c r="B2743" i="12"/>
  <c r="C2608" i="12"/>
  <c r="B3096" i="12"/>
  <c r="C2961" i="12"/>
  <c r="B2962" i="12"/>
  <c r="C2827" i="12"/>
  <c r="B3808" i="12"/>
  <c r="C2839" i="12"/>
  <c r="B2974" i="12"/>
  <c r="C2530" i="12"/>
  <c r="B2665" i="12"/>
  <c r="B2848" i="12"/>
  <c r="C2713" i="12"/>
  <c r="C2605" i="12"/>
  <c r="B2740" i="12"/>
  <c r="B3498" i="12"/>
  <c r="C3165" i="12"/>
  <c r="B3300" i="12"/>
  <c r="B3854" i="12"/>
  <c r="C3719" i="12"/>
  <c r="C3121" i="12"/>
  <c r="B3256" i="12"/>
  <c r="B2942" i="12"/>
  <c r="C2807" i="12"/>
  <c r="B3087" i="12"/>
  <c r="C2952" i="12"/>
  <c r="B3065" i="12"/>
  <c r="C2930" i="12"/>
  <c r="C2714" i="12"/>
  <c r="B2849" i="12"/>
  <c r="C2611" i="12"/>
  <c r="B2746" i="12"/>
  <c r="B3485" i="12"/>
  <c r="B3330" i="12"/>
  <c r="A2998" i="12"/>
  <c r="C2863" i="12"/>
  <c r="B3467" i="12"/>
  <c r="C3332" i="12"/>
  <c r="B2794" i="12"/>
  <c r="C2659" i="12"/>
  <c r="C2601" i="12"/>
  <c r="B2736" i="12"/>
  <c r="C3131" i="12"/>
  <c r="B3266" i="12"/>
  <c r="C2626" i="12"/>
  <c r="B2761" i="12"/>
  <c r="B3089" i="12"/>
  <c r="C2954" i="12"/>
  <c r="B3219" i="12"/>
  <c r="C3084" i="12"/>
  <c r="B2721" i="12"/>
  <c r="C2586" i="12"/>
  <c r="B3241" i="12"/>
  <c r="C3106" i="12"/>
  <c r="A2916" i="12"/>
  <c r="C2781" i="12"/>
  <c r="C3103" i="12"/>
  <c r="B3238" i="12"/>
  <c r="B2573" i="12"/>
  <c r="C2438" i="12"/>
  <c r="C3338" i="12"/>
  <c r="B3473" i="12"/>
  <c r="B2902" i="12"/>
  <c r="C2767" i="12"/>
  <c r="B2956" i="12"/>
  <c r="C2821" i="12"/>
  <c r="B2879" i="12"/>
  <c r="C2744" i="12"/>
  <c r="B3137" i="12"/>
  <c r="C3002" i="12"/>
  <c r="C2785" i="12"/>
  <c r="B2920" i="12"/>
  <c r="B2844" i="12"/>
  <c r="C2709" i="12"/>
  <c r="C2937" i="12"/>
  <c r="B3072" i="12"/>
  <c r="A2958" i="12"/>
  <c r="C2823" i="12"/>
  <c r="B2805" i="12"/>
  <c r="C2670" i="12"/>
  <c r="C2727" i="12"/>
  <c r="B2862" i="12"/>
  <c r="B2715" i="12"/>
  <c r="C2580" i="12"/>
  <c r="C2765" i="12"/>
  <c r="B2900" i="12"/>
  <c r="C3209" i="12"/>
  <c r="B3344" i="12"/>
  <c r="B3175" i="12"/>
  <c r="C3040" i="12"/>
  <c r="B3245" i="12"/>
  <c r="B3104" i="12"/>
  <c r="C2969" i="12"/>
  <c r="C2747" i="12"/>
  <c r="B2882" i="12"/>
  <c r="B2620" i="12"/>
  <c r="C2485" i="12"/>
  <c r="C3626" i="12"/>
  <c r="B3761" i="12"/>
  <c r="B2869" i="12"/>
  <c r="C2734" i="12"/>
  <c r="C3100" i="12"/>
  <c r="B3235" i="12"/>
  <c r="B3095" i="12"/>
  <c r="C2960" i="12"/>
  <c r="B2623" i="12"/>
  <c r="C2488" i="12"/>
  <c r="B3481" i="12"/>
  <c r="B3493" i="12"/>
  <c r="C3358" i="12"/>
  <c r="B3438" i="12"/>
  <c r="C3303" i="12"/>
  <c r="B3058" i="12"/>
  <c r="C2923" i="12"/>
  <c r="B2619" i="12"/>
  <c r="C2484" i="12"/>
  <c r="B2904" i="12"/>
  <c r="C2769" i="12"/>
  <c r="B2999" i="12"/>
  <c r="C2864" i="12"/>
  <c r="B2970" i="12"/>
  <c r="C2835" i="12"/>
  <c r="A2945" i="12"/>
  <c r="C2810" i="12"/>
  <c r="C3009" i="12"/>
  <c r="B3144" i="12"/>
  <c r="B3000" i="12"/>
  <c r="C2865" i="12"/>
  <c r="B3722" i="12"/>
  <c r="C3587" i="12"/>
  <c r="B2759" i="12"/>
  <c r="C2624" i="12"/>
  <c r="C2868" i="12"/>
  <c r="B3003" i="12"/>
  <c r="A2941" i="12"/>
  <c r="C2806" i="12"/>
  <c r="C2934" i="12"/>
  <c r="B3069" i="12"/>
  <c r="B2614" i="12"/>
  <c r="C2479" i="12"/>
  <c r="C2465" i="12"/>
  <c r="B2600" i="12"/>
  <c r="B2748" i="12"/>
  <c r="C2613" i="12"/>
  <c r="B2938" i="12"/>
  <c r="C2803" i="12"/>
  <c r="B3177" i="12"/>
  <c r="C3042" i="12"/>
  <c r="B3664" i="12"/>
  <c r="C3529" i="12"/>
  <c r="A2840" i="12"/>
  <c r="C2705" i="12"/>
  <c r="B2831" i="12"/>
  <c r="C2696" i="12"/>
  <c r="B3092" i="12"/>
  <c r="C2957" i="12"/>
  <c r="C2947" i="12"/>
  <c r="B3082" i="12"/>
  <c r="A3760" i="12"/>
  <c r="C3625" i="12"/>
  <c r="C2645" i="12"/>
  <c r="B2780" i="12"/>
  <c r="B3012" i="12"/>
  <c r="C2877" i="12"/>
  <c r="C2587" i="12"/>
  <c r="B2722" i="12"/>
  <c r="A3336" i="12"/>
  <c r="C3201" i="12"/>
  <c r="B3188" i="12"/>
  <c r="C3053" i="12"/>
  <c r="B3925" i="12"/>
  <c r="C2483" i="12"/>
  <c r="B2618" i="12"/>
  <c r="B3628" i="12" l="1"/>
  <c r="C3493" i="12"/>
  <c r="B3037" i="12"/>
  <c r="C2902" i="12"/>
  <c r="B3224" i="12"/>
  <c r="C3089" i="12"/>
  <c r="B3222" i="12"/>
  <c r="C3087" i="12"/>
  <c r="B3128" i="12"/>
  <c r="C2993" i="12"/>
  <c r="B4060" i="12"/>
  <c r="B3608" i="12"/>
  <c r="C3473" i="12"/>
  <c r="B2896" i="12"/>
  <c r="C2761" i="12"/>
  <c r="B4671" i="12"/>
  <c r="B3853" i="12"/>
  <c r="C3718" i="12"/>
  <c r="B2707" i="12"/>
  <c r="C2572" i="12"/>
  <c r="C2853" i="12"/>
  <c r="B2988" i="12"/>
  <c r="B3633" i="12"/>
  <c r="B3156" i="12"/>
  <c r="C3021" i="12"/>
  <c r="B2984" i="12"/>
  <c r="C2849" i="12"/>
  <c r="B3391" i="12"/>
  <c r="C3256" i="12"/>
  <c r="B2875" i="12"/>
  <c r="C2740" i="12"/>
  <c r="B3196" i="12"/>
  <c r="C3061" i="12"/>
  <c r="B3143" i="12"/>
  <c r="C3008" i="12"/>
  <c r="B3848" i="12"/>
  <c r="C3713" i="12"/>
  <c r="B3323" i="12"/>
  <c r="C3188" i="12"/>
  <c r="B2966" i="12"/>
  <c r="C2831" i="12"/>
  <c r="B3073" i="12"/>
  <c r="C2938" i="12"/>
  <c r="B3857" i="12"/>
  <c r="C3722" i="12"/>
  <c r="B3105" i="12"/>
  <c r="C2970" i="12"/>
  <c r="C3058" i="12"/>
  <c r="B3193" i="12"/>
  <c r="B2758" i="12"/>
  <c r="C2623" i="12"/>
  <c r="B3380" i="12"/>
  <c r="B2850" i="12"/>
  <c r="C2715" i="12"/>
  <c r="B3014" i="12"/>
  <c r="C2879" i="12"/>
  <c r="B2708" i="12"/>
  <c r="C2573" i="12"/>
  <c r="C2721" i="12"/>
  <c r="B2856" i="12"/>
  <c r="A3133" i="12"/>
  <c r="C2998" i="12"/>
  <c r="B3943" i="12"/>
  <c r="C2828" i="12"/>
  <c r="B2963" i="12"/>
  <c r="B3246" i="12"/>
  <c r="C3111" i="12"/>
  <c r="C2897" i="12"/>
  <c r="B3032" i="12"/>
  <c r="B2948" i="12"/>
  <c r="C2813" i="12"/>
  <c r="B3869" i="12"/>
  <c r="C3734" i="12"/>
  <c r="B3326" i="12"/>
  <c r="C3191" i="12"/>
  <c r="C2589" i="12"/>
  <c r="B2724" i="12"/>
  <c r="B2702" i="12"/>
  <c r="C2567" i="12"/>
  <c r="C3499" i="12"/>
  <c r="B3634" i="12"/>
  <c r="B2940" i="12"/>
  <c r="C2805" i="12"/>
  <c r="A3051" i="12"/>
  <c r="C2916" i="12"/>
  <c r="B2929" i="12"/>
  <c r="C2794" i="12"/>
  <c r="B3620" i="12"/>
  <c r="B2766" i="12"/>
  <c r="C2631" i="12"/>
  <c r="B3574" i="12"/>
  <c r="C3439" i="12"/>
  <c r="B3035" i="12"/>
  <c r="C2900" i="12"/>
  <c r="C3092" i="12"/>
  <c r="B3227" i="12"/>
  <c r="C3467" i="12"/>
  <c r="B3602" i="12"/>
  <c r="C3136" i="12"/>
  <c r="B3271" i="12"/>
  <c r="B3099" i="12"/>
  <c r="C2964" i="12"/>
  <c r="C2780" i="12"/>
  <c r="B2915" i="12"/>
  <c r="C2862" i="12"/>
  <c r="B2997" i="12"/>
  <c r="C3238" i="12"/>
  <c r="B3373" i="12"/>
  <c r="B2871" i="12"/>
  <c r="C2736" i="12"/>
  <c r="B3465" i="12"/>
  <c r="B3821" i="12"/>
  <c r="C3686" i="12"/>
  <c r="C2673" i="12"/>
  <c r="B2808" i="12"/>
  <c r="B3311" i="12"/>
  <c r="C3176" i="12"/>
  <c r="B2892" i="12"/>
  <c r="C2757" i="12"/>
  <c r="C4202" i="12"/>
  <c r="B4337" i="12"/>
  <c r="C2919" i="12"/>
  <c r="B3054" i="12"/>
  <c r="B2910" i="12"/>
  <c r="C2775" i="12"/>
  <c r="B3799" i="12"/>
  <c r="C3664" i="12"/>
  <c r="B4956" i="12"/>
  <c r="C2590" i="12"/>
  <c r="B2725" i="12"/>
  <c r="B3048" i="12"/>
  <c r="C2913" i="12"/>
  <c r="C3102" i="12"/>
  <c r="B3237" i="12"/>
  <c r="C3296" i="12"/>
  <c r="B3431" i="12"/>
  <c r="A3250" i="12"/>
  <c r="C3115" i="12"/>
  <c r="B3090" i="12"/>
  <c r="C2955" i="12"/>
  <c r="B3616" i="12"/>
  <c r="C2746" i="12"/>
  <c r="B2881" i="12"/>
  <c r="B3312" i="12"/>
  <c r="C3177" i="12"/>
  <c r="C2619" i="12"/>
  <c r="B2754" i="12"/>
  <c r="C2743" i="12"/>
  <c r="B2878" i="12"/>
  <c r="C3472" i="12"/>
  <c r="B3607" i="12"/>
  <c r="B2847" i="12"/>
  <c r="C2712" i="12"/>
  <c r="C2737" i="12"/>
  <c r="B2872" i="12"/>
  <c r="B3204" i="12"/>
  <c r="C3069" i="12"/>
  <c r="B3896" i="12"/>
  <c r="C3761" i="12"/>
  <c r="B3207" i="12"/>
  <c r="C3072" i="12"/>
  <c r="C3266" i="12"/>
  <c r="B3401" i="12"/>
  <c r="B3157" i="12"/>
  <c r="C3022" i="12"/>
  <c r="A3471" i="12"/>
  <c r="C3336" i="12"/>
  <c r="A3895" i="12"/>
  <c r="C3760" i="12"/>
  <c r="A2975" i="12"/>
  <c r="C2840" i="12"/>
  <c r="C2748" i="12"/>
  <c r="B2883" i="12"/>
  <c r="A3076" i="12"/>
  <c r="C2941" i="12"/>
  <c r="C3000" i="12"/>
  <c r="B3135" i="12"/>
  <c r="C2999" i="12"/>
  <c r="B3134" i="12"/>
  <c r="C3438" i="12"/>
  <c r="B3573" i="12"/>
  <c r="B3230" i="12"/>
  <c r="C3095" i="12"/>
  <c r="C2620" i="12"/>
  <c r="B2755" i="12"/>
  <c r="B3310" i="12"/>
  <c r="C3175" i="12"/>
  <c r="B2979" i="12"/>
  <c r="C2844" i="12"/>
  <c r="B3091" i="12"/>
  <c r="C2956" i="12"/>
  <c r="B3354" i="12"/>
  <c r="C3219" i="12"/>
  <c r="B3200" i="12"/>
  <c r="C3065" i="12"/>
  <c r="B3989" i="12"/>
  <c r="C3854" i="12"/>
  <c r="B2983" i="12"/>
  <c r="C2848" i="12"/>
  <c r="B3097" i="12"/>
  <c r="C2962" i="12"/>
  <c r="C3260" i="12"/>
  <c r="B3395" i="12"/>
  <c r="C2776" i="12"/>
  <c r="B2911" i="12"/>
  <c r="A3195" i="12"/>
  <c r="C3060" i="12"/>
  <c r="C2703" i="12"/>
  <c r="B2838" i="12"/>
  <c r="B2809" i="12"/>
  <c r="C2674" i="12"/>
  <c r="B3039" i="12"/>
  <c r="C2904" i="12"/>
  <c r="B3231" i="12"/>
  <c r="C3096" i="12"/>
  <c r="C2974" i="12"/>
  <c r="B3109" i="12"/>
  <c r="C2610" i="12"/>
  <c r="B2745" i="12"/>
  <c r="C3057" i="12"/>
  <c r="B3192" i="12"/>
  <c r="B3147" i="12"/>
  <c r="C3012" i="12"/>
  <c r="C2614" i="12"/>
  <c r="B2749" i="12"/>
  <c r="B2894" i="12"/>
  <c r="C2759" i="12"/>
  <c r="A3080" i="12"/>
  <c r="C2945" i="12"/>
  <c r="B3004" i="12"/>
  <c r="C2869" i="12"/>
  <c r="B3239" i="12"/>
  <c r="C3104" i="12"/>
  <c r="A3093" i="12"/>
  <c r="C2958" i="12"/>
  <c r="B3272" i="12"/>
  <c r="C3137" i="12"/>
  <c r="C3241" i="12"/>
  <c r="B3376" i="12"/>
  <c r="B3077" i="12"/>
  <c r="C2942" i="12"/>
  <c r="B2753" i="12"/>
  <c r="C2618" i="12"/>
  <c r="C2722" i="12"/>
  <c r="B2857" i="12"/>
  <c r="C3082" i="12"/>
  <c r="B3217" i="12"/>
  <c r="B2735" i="12"/>
  <c r="C2600" i="12"/>
  <c r="B3138" i="12"/>
  <c r="C3003" i="12"/>
  <c r="C3144" i="12"/>
  <c r="B3279" i="12"/>
  <c r="B3370" i="12"/>
  <c r="C3235" i="12"/>
  <c r="B3017" i="12"/>
  <c r="C2882" i="12"/>
  <c r="B3479" i="12"/>
  <c r="C3344" i="12"/>
  <c r="B3055" i="12"/>
  <c r="C2920" i="12"/>
  <c r="C3300" i="12"/>
  <c r="B3435" i="12"/>
  <c r="C2665" i="12"/>
  <c r="B2800" i="12"/>
  <c r="C2644" i="12"/>
  <c r="B2779" i="12"/>
  <c r="C3468" i="12"/>
  <c r="B3603" i="12"/>
  <c r="C3020" i="12"/>
  <c r="B3155" i="12"/>
  <c r="C3341" i="12"/>
  <c r="B3476" i="12"/>
  <c r="B3052" i="12"/>
  <c r="C2917" i="12"/>
  <c r="C2576" i="12"/>
  <c r="B2711" i="12"/>
  <c r="C3351" i="12"/>
  <c r="B3486" i="12"/>
  <c r="B3621" i="12" l="1"/>
  <c r="C3486" i="12"/>
  <c r="B3570" i="12"/>
  <c r="C3435" i="12"/>
  <c r="C3217" i="12"/>
  <c r="B3352" i="12"/>
  <c r="B3132" i="12"/>
  <c r="C2997" i="12"/>
  <c r="B2991" i="12"/>
  <c r="C2856" i="12"/>
  <c r="B3515" i="12"/>
  <c r="B3282" i="12"/>
  <c r="C3147" i="12"/>
  <c r="A3330" i="12"/>
  <c r="C3195" i="12"/>
  <c r="C3091" i="12"/>
  <c r="B3226" i="12"/>
  <c r="B3365" i="12"/>
  <c r="C3230" i="12"/>
  <c r="C3896" i="12"/>
  <c r="B4031" i="12"/>
  <c r="B3031" i="12"/>
  <c r="C2896" i="12"/>
  <c r="B3018" i="12"/>
  <c r="C2883" i="12"/>
  <c r="B3050" i="12"/>
  <c r="C2915" i="12"/>
  <c r="B3769" i="12"/>
  <c r="C3634" i="12"/>
  <c r="C3055" i="12"/>
  <c r="B3190" i="12"/>
  <c r="B3407" i="12"/>
  <c r="C3272" i="12"/>
  <c r="B3174" i="12"/>
  <c r="C3039" i="12"/>
  <c r="B4124" i="12"/>
  <c r="C3989" i="12"/>
  <c r="B3114" i="12"/>
  <c r="C2979" i="12"/>
  <c r="B3027" i="12"/>
  <c r="C2892" i="12"/>
  <c r="C2708" i="12"/>
  <c r="B2843" i="12"/>
  <c r="B3278" i="12"/>
  <c r="C3143" i="12"/>
  <c r="B2842" i="12"/>
  <c r="C2707" i="12"/>
  <c r="C2779" i="12"/>
  <c r="B2914" i="12"/>
  <c r="C2745" i="12"/>
  <c r="B2880" i="12"/>
  <c r="B3530" i="12"/>
  <c r="C3395" i="12"/>
  <c r="B3269" i="12"/>
  <c r="C3134" i="12"/>
  <c r="C3401" i="12"/>
  <c r="B3536" i="12"/>
  <c r="B3007" i="12"/>
  <c r="C2872" i="12"/>
  <c r="C2754" i="12"/>
  <c r="B2889" i="12"/>
  <c r="C3193" i="12"/>
  <c r="B3328" i="12"/>
  <c r="B4195" i="12"/>
  <c r="B3290" i="12"/>
  <c r="C3155" i="12"/>
  <c r="B3511" i="12"/>
  <c r="C3376" i="12"/>
  <c r="C3607" i="12"/>
  <c r="B3742" i="12"/>
  <c r="C3431" i="12"/>
  <c r="B3566" i="12"/>
  <c r="B4472" i="12"/>
  <c r="C4337" i="12"/>
  <c r="B3737" i="12"/>
  <c r="C3602" i="12"/>
  <c r="B3118" i="12"/>
  <c r="C2983" i="12"/>
  <c r="A3606" i="12"/>
  <c r="C3471" i="12"/>
  <c r="B5091" i="12"/>
  <c r="B3956" i="12"/>
  <c r="C3821" i="12"/>
  <c r="B3046" i="12"/>
  <c r="C2911" i="12"/>
  <c r="C2878" i="12"/>
  <c r="B3013" i="12"/>
  <c r="C3237" i="12"/>
  <c r="B3372" i="12"/>
  <c r="B3755" i="12"/>
  <c r="C2963" i="12"/>
  <c r="B3098" i="12"/>
  <c r="B3751" i="12"/>
  <c r="C2758" i="12"/>
  <c r="B2893" i="12"/>
  <c r="B3359" i="12"/>
  <c r="C3224" i="12"/>
  <c r="C3052" i="12"/>
  <c r="B3187" i="12"/>
  <c r="C3479" i="12"/>
  <c r="B3614" i="12"/>
  <c r="B3273" i="12"/>
  <c r="C3138" i="12"/>
  <c r="B2888" i="12"/>
  <c r="C2753" i="12"/>
  <c r="A3228" i="12"/>
  <c r="C3093" i="12"/>
  <c r="B3029" i="12"/>
  <c r="C2894" i="12"/>
  <c r="B2944" i="12"/>
  <c r="C2809" i="12"/>
  <c r="B3335" i="12"/>
  <c r="C3200" i="12"/>
  <c r="C3310" i="12"/>
  <c r="B3445" i="12"/>
  <c r="A3110" i="12"/>
  <c r="C2975" i="12"/>
  <c r="B3225" i="12"/>
  <c r="C3090" i="12"/>
  <c r="C3048" i="12"/>
  <c r="B3183" i="12"/>
  <c r="C2910" i="12"/>
  <c r="B3045" i="12"/>
  <c r="B3446" i="12"/>
  <c r="C3311" i="12"/>
  <c r="C2871" i="12"/>
  <c r="B3006" i="12"/>
  <c r="C3099" i="12"/>
  <c r="B3234" i="12"/>
  <c r="B3170" i="12"/>
  <c r="C3035" i="12"/>
  <c r="C2929" i="12"/>
  <c r="B3064" i="12"/>
  <c r="C2702" i="12"/>
  <c r="B2837" i="12"/>
  <c r="C2948" i="12"/>
  <c r="B3083" i="12"/>
  <c r="B4078" i="12"/>
  <c r="B3149" i="12"/>
  <c r="C3014" i="12"/>
  <c r="C2966" i="12"/>
  <c r="B3101" i="12"/>
  <c r="C3196" i="12"/>
  <c r="B3331" i="12"/>
  <c r="B3291" i="12"/>
  <c r="C3156" i="12"/>
  <c r="B3988" i="12"/>
  <c r="C3853" i="12"/>
  <c r="C3037" i="12"/>
  <c r="B3172" i="12"/>
  <c r="B3505" i="12"/>
  <c r="C3370" i="12"/>
  <c r="B3461" i="12"/>
  <c r="C3326" i="12"/>
  <c r="C3391" i="12"/>
  <c r="B3526" i="12"/>
  <c r="B3327" i="12"/>
  <c r="C3192" i="12"/>
  <c r="A3215" i="12"/>
  <c r="C3080" i="12"/>
  <c r="B3292" i="12"/>
  <c r="C3157" i="12"/>
  <c r="B3339" i="12"/>
  <c r="C3204" i="12"/>
  <c r="C3799" i="12"/>
  <c r="B3934" i="12"/>
  <c r="B4004" i="12"/>
  <c r="C3869" i="12"/>
  <c r="B3208" i="12"/>
  <c r="C3073" i="12"/>
  <c r="C2984" i="12"/>
  <c r="B3119" i="12"/>
  <c r="B3611" i="12"/>
  <c r="C3476" i="12"/>
  <c r="B2935" i="12"/>
  <c r="C2800" i="12"/>
  <c r="B2884" i="12"/>
  <c r="C2749" i="12"/>
  <c r="B3244" i="12"/>
  <c r="C3109" i="12"/>
  <c r="C2838" i="12"/>
  <c r="B2973" i="12"/>
  <c r="B2890" i="12"/>
  <c r="C2755" i="12"/>
  <c r="B3270" i="12"/>
  <c r="C3135" i="12"/>
  <c r="B2860" i="12"/>
  <c r="C2725" i="12"/>
  <c r="B3189" i="12"/>
  <c r="C3054" i="12"/>
  <c r="B2943" i="12"/>
  <c r="C2808" i="12"/>
  <c r="B3508" i="12"/>
  <c r="C3373" i="12"/>
  <c r="C3271" i="12"/>
  <c r="B3406" i="12"/>
  <c r="B2859" i="12"/>
  <c r="C2724" i="12"/>
  <c r="B3167" i="12"/>
  <c r="C3032" i="12"/>
  <c r="B3768" i="12"/>
  <c r="B3016" i="12"/>
  <c r="C2881" i="12"/>
  <c r="B3123" i="12"/>
  <c r="C2988" i="12"/>
  <c r="B3139" i="12"/>
  <c r="C3004" i="12"/>
  <c r="C3231" i="12"/>
  <c r="B3366" i="12"/>
  <c r="A3211" i="12"/>
  <c r="C3076" i="12"/>
  <c r="C2766" i="12"/>
  <c r="B2901" i="12"/>
  <c r="B3075" i="12"/>
  <c r="C2940" i="12"/>
  <c r="B3381" i="12"/>
  <c r="C3246" i="12"/>
  <c r="B3992" i="12"/>
  <c r="C3857" i="12"/>
  <c r="B3983" i="12"/>
  <c r="C3848" i="12"/>
  <c r="B3357" i="12"/>
  <c r="C3222" i="12"/>
  <c r="B2846" i="12"/>
  <c r="C2711" i="12"/>
  <c r="C3603" i="12"/>
  <c r="B3738" i="12"/>
  <c r="B3414" i="12"/>
  <c r="C3279" i="12"/>
  <c r="C2857" i="12"/>
  <c r="B2992" i="12"/>
  <c r="C3573" i="12"/>
  <c r="B3708" i="12"/>
  <c r="B3362" i="12"/>
  <c r="C3227" i="12"/>
  <c r="B3600" i="12"/>
  <c r="B3743" i="12"/>
  <c r="C3608" i="12"/>
  <c r="C3017" i="12"/>
  <c r="B3152" i="12"/>
  <c r="B2870" i="12"/>
  <c r="C2735" i="12"/>
  <c r="C3077" i="12"/>
  <c r="B3212" i="12"/>
  <c r="C3239" i="12"/>
  <c r="B3374" i="12"/>
  <c r="B3232" i="12"/>
  <c r="C3097" i="12"/>
  <c r="C3354" i="12"/>
  <c r="B3489" i="12"/>
  <c r="A4030" i="12"/>
  <c r="C3895" i="12"/>
  <c r="B3342" i="12"/>
  <c r="C3207" i="12"/>
  <c r="B2982" i="12"/>
  <c r="C2847" i="12"/>
  <c r="B3447" i="12"/>
  <c r="C3312" i="12"/>
  <c r="A3385" i="12"/>
  <c r="C3250" i="12"/>
  <c r="B3709" i="12"/>
  <c r="C3574" i="12"/>
  <c r="A3186" i="12"/>
  <c r="C3051" i="12"/>
  <c r="A3268" i="12"/>
  <c r="C3133" i="12"/>
  <c r="B2985" i="12"/>
  <c r="C2850" i="12"/>
  <c r="B3240" i="12"/>
  <c r="C3105" i="12"/>
  <c r="B3458" i="12"/>
  <c r="C3323" i="12"/>
  <c r="C2875" i="12"/>
  <c r="B3010" i="12"/>
  <c r="B4806" i="12"/>
  <c r="B3263" i="12"/>
  <c r="C3128" i="12"/>
  <c r="B3763" i="12"/>
  <c r="C3628" i="12"/>
  <c r="C3742" i="12" l="1"/>
  <c r="B3877" i="12"/>
  <c r="B3463" i="12"/>
  <c r="C3328" i="12"/>
  <c r="C3763" i="12"/>
  <c r="B3898" i="12"/>
  <c r="B3593" i="12"/>
  <c r="C3458" i="12"/>
  <c r="A3321" i="12"/>
  <c r="C3186" i="12"/>
  <c r="B3117" i="12"/>
  <c r="C2982" i="12"/>
  <c r="C3232" i="12"/>
  <c r="B3367" i="12"/>
  <c r="B3343" i="12"/>
  <c r="C3208" i="12"/>
  <c r="A3363" i="12"/>
  <c r="C3228" i="12"/>
  <c r="B3492" i="12"/>
  <c r="C3357" i="12"/>
  <c r="C3139" i="12"/>
  <c r="B3274" i="12"/>
  <c r="B3025" i="12"/>
  <c r="C2890" i="12"/>
  <c r="A3350" i="12"/>
  <c r="C3215" i="12"/>
  <c r="B3494" i="12"/>
  <c r="C3359" i="12"/>
  <c r="C3530" i="12"/>
  <c r="B3665" i="12"/>
  <c r="B3413" i="12"/>
  <c r="C3278" i="12"/>
  <c r="C4124" i="12"/>
  <c r="B4259" i="12"/>
  <c r="B3347" i="12"/>
  <c r="C3212" i="12"/>
  <c r="B3735" i="12"/>
  <c r="B3036" i="12"/>
  <c r="C2901" i="12"/>
  <c r="C2973" i="12"/>
  <c r="B3108" i="12"/>
  <c r="C3934" i="12"/>
  <c r="B4069" i="12"/>
  <c r="C3172" i="12"/>
  <c r="B3307" i="12"/>
  <c r="B3236" i="12"/>
  <c r="C3101" i="12"/>
  <c r="B2972" i="12"/>
  <c r="C2837" i="12"/>
  <c r="B3141" i="12"/>
  <c r="C3006" i="12"/>
  <c r="B3028" i="12"/>
  <c r="C2893" i="12"/>
  <c r="B3507" i="12"/>
  <c r="C3372" i="12"/>
  <c r="C2880" i="12"/>
  <c r="B3015" i="12"/>
  <c r="B2978" i="12"/>
  <c r="C2843" i="12"/>
  <c r="C3152" i="12"/>
  <c r="B3287" i="12"/>
  <c r="C3708" i="12"/>
  <c r="B3843" i="12"/>
  <c r="B3325" i="12"/>
  <c r="C3190" i="12"/>
  <c r="C3381" i="12"/>
  <c r="B3516" i="12"/>
  <c r="B3405" i="12"/>
  <c r="C3270" i="12"/>
  <c r="B4213" i="12"/>
  <c r="B3249" i="12"/>
  <c r="C3114" i="12"/>
  <c r="A3465" i="12"/>
  <c r="C3330" i="12"/>
  <c r="B3218" i="12"/>
  <c r="C3083" i="12"/>
  <c r="C3234" i="12"/>
  <c r="B3369" i="12"/>
  <c r="B3318" i="12"/>
  <c r="C3183" i="12"/>
  <c r="C4031" i="12"/>
  <c r="B4166" i="12"/>
  <c r="C3263" i="12"/>
  <c r="B3398" i="12"/>
  <c r="B3375" i="12"/>
  <c r="C3240" i="12"/>
  <c r="B3477" i="12"/>
  <c r="C3342" i="12"/>
  <c r="C3743" i="12"/>
  <c r="B3878" i="12"/>
  <c r="B3210" i="12"/>
  <c r="C3075" i="12"/>
  <c r="C2943" i="12"/>
  <c r="B3078" i="12"/>
  <c r="C2935" i="12"/>
  <c r="B3070" i="12"/>
  <c r="B3470" i="12"/>
  <c r="C3335" i="12"/>
  <c r="B3890" i="12"/>
  <c r="B3872" i="12"/>
  <c r="C3737" i="12"/>
  <c r="C3282" i="12"/>
  <c r="B3417" i="12"/>
  <c r="B4941" i="12"/>
  <c r="B3120" i="12"/>
  <c r="C2985" i="12"/>
  <c r="A3520" i="12"/>
  <c r="C3385" i="12"/>
  <c r="A4165" i="12"/>
  <c r="C4030" i="12"/>
  <c r="B3549" i="12"/>
  <c r="C3414" i="12"/>
  <c r="C3983" i="12"/>
  <c r="B4118" i="12"/>
  <c r="B3258" i="12"/>
  <c r="C3123" i="12"/>
  <c r="B2994" i="12"/>
  <c r="C2859" i="12"/>
  <c r="B3324" i="12"/>
  <c r="C3189" i="12"/>
  <c r="B3746" i="12"/>
  <c r="C3611" i="12"/>
  <c r="C3327" i="12"/>
  <c r="B3462" i="12"/>
  <c r="B3360" i="12"/>
  <c r="C3225" i="12"/>
  <c r="B3079" i="12"/>
  <c r="C2944" i="12"/>
  <c r="B3408" i="12"/>
  <c r="C3273" i="12"/>
  <c r="B5226" i="12"/>
  <c r="C4472" i="12"/>
  <c r="B4607" i="12"/>
  <c r="C3290" i="12"/>
  <c r="B3425" i="12"/>
  <c r="B3142" i="12"/>
  <c r="C3007" i="12"/>
  <c r="C3174" i="12"/>
  <c r="B3309" i="12"/>
  <c r="C3050" i="12"/>
  <c r="B3185" i="12"/>
  <c r="B3500" i="12"/>
  <c r="C3365" i="12"/>
  <c r="B3650" i="12"/>
  <c r="B3705" i="12"/>
  <c r="C3570" i="12"/>
  <c r="B3501" i="12"/>
  <c r="C3366" i="12"/>
  <c r="B3903" i="12"/>
  <c r="B3180" i="12"/>
  <c r="C3045" i="12"/>
  <c r="B3580" i="12"/>
  <c r="C3445" i="12"/>
  <c r="C3187" i="12"/>
  <c r="B3322" i="12"/>
  <c r="C3098" i="12"/>
  <c r="B3233" i="12"/>
  <c r="B3427" i="12"/>
  <c r="C3292" i="12"/>
  <c r="B2977" i="12"/>
  <c r="C2842" i="12"/>
  <c r="C3132" i="12"/>
  <c r="B3267" i="12"/>
  <c r="C3331" i="12"/>
  <c r="B3466" i="12"/>
  <c r="C3167" i="12"/>
  <c r="B3302" i="12"/>
  <c r="C4004" i="12"/>
  <c r="B4139" i="12"/>
  <c r="C3505" i="12"/>
  <c r="B3640" i="12"/>
  <c r="C2888" i="12"/>
  <c r="B3023" i="12"/>
  <c r="C3956" i="12"/>
  <c r="B4091" i="12"/>
  <c r="B3646" i="12"/>
  <c r="C3511" i="12"/>
  <c r="B3904" i="12"/>
  <c r="C3769" i="12"/>
  <c r="C3010" i="12"/>
  <c r="B3145" i="12"/>
  <c r="C3489" i="12"/>
  <c r="B3624" i="12"/>
  <c r="C3738" i="12"/>
  <c r="B3873" i="12"/>
  <c r="B3541" i="12"/>
  <c r="C3406" i="12"/>
  <c r="B3254" i="12"/>
  <c r="C3119" i="12"/>
  <c r="B3661" i="12"/>
  <c r="C3526" i="12"/>
  <c r="C3064" i="12"/>
  <c r="B3199" i="12"/>
  <c r="B3749" i="12"/>
  <c r="C3614" i="12"/>
  <c r="B3148" i="12"/>
  <c r="C3013" i="12"/>
  <c r="B3701" i="12"/>
  <c r="C3566" i="12"/>
  <c r="B4330" i="12"/>
  <c r="B3671" i="12"/>
  <c r="C3536" i="12"/>
  <c r="B3049" i="12"/>
  <c r="C2914" i="12"/>
  <c r="B3361" i="12"/>
  <c r="C3226" i="12"/>
  <c r="B2981" i="12"/>
  <c r="C2846" i="12"/>
  <c r="C3508" i="12"/>
  <c r="B3643" i="12"/>
  <c r="B3019" i="12"/>
  <c r="C2884" i="12"/>
  <c r="B3596" i="12"/>
  <c r="C3461" i="12"/>
  <c r="B3426" i="12"/>
  <c r="C3291" i="12"/>
  <c r="B3305" i="12"/>
  <c r="C3170" i="12"/>
  <c r="C3046" i="12"/>
  <c r="B3181" i="12"/>
  <c r="B3253" i="12"/>
  <c r="C3118" i="12"/>
  <c r="C3269" i="12"/>
  <c r="B3404" i="12"/>
  <c r="C3031" i="12"/>
  <c r="B3166" i="12"/>
  <c r="B3509" i="12"/>
  <c r="C3374" i="12"/>
  <c r="B3127" i="12"/>
  <c r="C2992" i="12"/>
  <c r="C2889" i="12"/>
  <c r="B3024" i="12"/>
  <c r="C3352" i="12"/>
  <c r="B3487" i="12"/>
  <c r="C3709" i="12"/>
  <c r="B3844" i="12"/>
  <c r="A3403" i="12"/>
  <c r="C3268" i="12"/>
  <c r="C3447" i="12"/>
  <c r="B3582" i="12"/>
  <c r="B3005" i="12"/>
  <c r="C2870" i="12"/>
  <c r="B3497" i="12"/>
  <c r="C3362" i="12"/>
  <c r="B4127" i="12"/>
  <c r="C3992" i="12"/>
  <c r="A3346" i="12"/>
  <c r="C3211" i="12"/>
  <c r="B3151" i="12"/>
  <c r="C3016" i="12"/>
  <c r="C2860" i="12"/>
  <c r="B2995" i="12"/>
  <c r="C3244" i="12"/>
  <c r="B3379" i="12"/>
  <c r="C3339" i="12"/>
  <c r="B3474" i="12"/>
  <c r="B4123" i="12"/>
  <c r="C3988" i="12"/>
  <c r="C3149" i="12"/>
  <c r="B3284" i="12"/>
  <c r="C3446" i="12"/>
  <c r="B3581" i="12"/>
  <c r="A3245" i="12"/>
  <c r="C3110" i="12"/>
  <c r="B3164" i="12"/>
  <c r="C3029" i="12"/>
  <c r="B3886" i="12"/>
  <c r="A3741" i="12"/>
  <c r="C3606" i="12"/>
  <c r="B3162" i="12"/>
  <c r="C3027" i="12"/>
  <c r="B3542" i="12"/>
  <c r="C3407" i="12"/>
  <c r="B3153" i="12"/>
  <c r="C3018" i="12"/>
  <c r="B3126" i="12"/>
  <c r="C2991" i="12"/>
  <c r="B3756" i="12"/>
  <c r="C3621" i="12"/>
  <c r="C3873" i="12" l="1"/>
  <c r="B4008" i="12"/>
  <c r="B3444" i="12"/>
  <c r="C3309" i="12"/>
  <c r="B3213" i="12"/>
  <c r="C3078" i="12"/>
  <c r="A3481" i="12"/>
  <c r="C3346" i="12"/>
  <c r="B3561" i="12"/>
  <c r="C3426" i="12"/>
  <c r="C2977" i="12"/>
  <c r="B3112" i="12"/>
  <c r="B3371" i="12"/>
  <c r="C3236" i="12"/>
  <c r="C3593" i="12"/>
  <c r="B3728" i="12"/>
  <c r="C3379" i="12"/>
  <c r="B3514" i="12"/>
  <c r="C3624" i="12"/>
  <c r="B3759" i="12"/>
  <c r="B3437" i="12"/>
  <c r="C3302" i="12"/>
  <c r="B3422" i="12"/>
  <c r="C3287" i="12"/>
  <c r="B3870" i="12"/>
  <c r="B3502" i="12"/>
  <c r="C3367" i="12"/>
  <c r="B4262" i="12"/>
  <c r="C4127" i="12"/>
  <c r="B3262" i="12"/>
  <c r="C3127" i="12"/>
  <c r="C3253" i="12"/>
  <c r="B3388" i="12"/>
  <c r="B3731" i="12"/>
  <c r="C3596" i="12"/>
  <c r="C3361" i="12"/>
  <c r="B3496" i="12"/>
  <c r="B3836" i="12"/>
  <c r="C3701" i="12"/>
  <c r="C3661" i="12"/>
  <c r="B3796" i="12"/>
  <c r="B3785" i="12"/>
  <c r="B3419" i="12"/>
  <c r="C3284" i="12"/>
  <c r="C2995" i="12"/>
  <c r="B3130" i="12"/>
  <c r="B3979" i="12"/>
  <c r="C3844" i="12"/>
  <c r="B3316" i="12"/>
  <c r="C3181" i="12"/>
  <c r="B3280" i="12"/>
  <c r="C3145" i="12"/>
  <c r="B3158" i="12"/>
  <c r="C3023" i="12"/>
  <c r="B3601" i="12"/>
  <c r="C3466" i="12"/>
  <c r="C3233" i="12"/>
  <c r="B3368" i="12"/>
  <c r="C3425" i="12"/>
  <c r="B3560" i="12"/>
  <c r="C3878" i="12"/>
  <c r="B4013" i="12"/>
  <c r="C4166" i="12"/>
  <c r="B4301" i="12"/>
  <c r="C3516" i="12"/>
  <c r="B3651" i="12"/>
  <c r="C4069" i="12"/>
  <c r="B4204" i="12"/>
  <c r="B3717" i="12"/>
  <c r="C3582" i="12"/>
  <c r="C3024" i="12"/>
  <c r="B3159" i="12"/>
  <c r="B3539" i="12"/>
  <c r="C3404" i="12"/>
  <c r="C3199" i="12"/>
  <c r="B3334" i="12"/>
  <c r="C3646" i="12"/>
  <c r="B3781" i="12"/>
  <c r="C3705" i="12"/>
  <c r="B3840" i="12"/>
  <c r="C3413" i="12"/>
  <c r="B3548" i="12"/>
  <c r="B3716" i="12"/>
  <c r="C3581" i="12"/>
  <c r="B3533" i="12"/>
  <c r="C3398" i="12"/>
  <c r="B3800" i="12"/>
  <c r="C3665" i="12"/>
  <c r="C3126" i="12"/>
  <c r="B3261" i="12"/>
  <c r="A3538" i="12"/>
  <c r="C3403" i="12"/>
  <c r="B3315" i="12"/>
  <c r="C3180" i="12"/>
  <c r="C3408" i="12"/>
  <c r="B3543" i="12"/>
  <c r="B3288" i="12"/>
  <c r="C3153" i="12"/>
  <c r="B4021" i="12"/>
  <c r="C3497" i="12"/>
  <c r="B3632" i="12"/>
  <c r="B3644" i="12"/>
  <c r="C3509" i="12"/>
  <c r="C3019" i="12"/>
  <c r="B3154" i="12"/>
  <c r="C3049" i="12"/>
  <c r="B3184" i="12"/>
  <c r="B3283" i="12"/>
  <c r="C3148" i="12"/>
  <c r="B3389" i="12"/>
  <c r="C3254" i="12"/>
  <c r="B4038" i="12"/>
  <c r="C3500" i="12"/>
  <c r="B3635" i="12"/>
  <c r="B3214" i="12"/>
  <c r="C3079" i="12"/>
  <c r="C3324" i="12"/>
  <c r="B3459" i="12"/>
  <c r="B3684" i="12"/>
  <c r="C3549" i="12"/>
  <c r="B5076" i="12"/>
  <c r="B3605" i="12"/>
  <c r="C3470" i="12"/>
  <c r="A3600" i="12"/>
  <c r="C3465" i="12"/>
  <c r="B3113" i="12"/>
  <c r="C2978" i="12"/>
  <c r="B3276" i="12"/>
  <c r="C3141" i="12"/>
  <c r="C3347" i="12"/>
  <c r="B3482" i="12"/>
  <c r="C3494" i="12"/>
  <c r="B3629" i="12"/>
  <c r="B3627" i="12"/>
  <c r="C3492" i="12"/>
  <c r="B3252" i="12"/>
  <c r="C3117" i="12"/>
  <c r="B3598" i="12"/>
  <c r="C3463" i="12"/>
  <c r="C3462" i="12"/>
  <c r="B3597" i="12"/>
  <c r="C3369" i="12"/>
  <c r="B3504" i="12"/>
  <c r="B3978" i="12"/>
  <c r="C3843" i="12"/>
  <c r="B3891" i="12"/>
  <c r="C3756" i="12"/>
  <c r="B3297" i="12"/>
  <c r="C3162" i="12"/>
  <c r="A3380" i="12"/>
  <c r="C3245" i="12"/>
  <c r="C2981" i="12"/>
  <c r="B3116" i="12"/>
  <c r="B4465" i="12"/>
  <c r="C3507" i="12"/>
  <c r="B3642" i="12"/>
  <c r="C3036" i="12"/>
  <c r="B3171" i="12"/>
  <c r="B3478" i="12"/>
  <c r="C3343" i="12"/>
  <c r="C4118" i="12"/>
  <c r="B4253" i="12"/>
  <c r="B3442" i="12"/>
  <c r="C3307" i="12"/>
  <c r="B3409" i="12"/>
  <c r="C3274" i="12"/>
  <c r="A3876" i="12"/>
  <c r="C3741" i="12"/>
  <c r="B3562" i="12"/>
  <c r="C3427" i="12"/>
  <c r="B3277" i="12"/>
  <c r="C3142" i="12"/>
  <c r="B3881" i="12"/>
  <c r="C3746" i="12"/>
  <c r="C3487" i="12"/>
  <c r="B3622" i="12"/>
  <c r="C3166" i="12"/>
  <c r="B3301" i="12"/>
  <c r="C3643" i="12"/>
  <c r="B3778" i="12"/>
  <c r="B3775" i="12"/>
  <c r="C3640" i="12"/>
  <c r="C3267" i="12"/>
  <c r="B3402" i="12"/>
  <c r="C3322" i="12"/>
  <c r="B3457" i="12"/>
  <c r="B3320" i="12"/>
  <c r="C3185" i="12"/>
  <c r="B4742" i="12"/>
  <c r="C4607" i="12"/>
  <c r="B3552" i="12"/>
  <c r="C3417" i="12"/>
  <c r="B3205" i="12"/>
  <c r="C3070" i="12"/>
  <c r="C3015" i="12"/>
  <c r="B3150" i="12"/>
  <c r="B3243" i="12"/>
  <c r="C3108" i="12"/>
  <c r="C4259" i="12"/>
  <c r="B4394" i="12"/>
  <c r="C3877" i="12"/>
  <c r="B4012" i="12"/>
  <c r="C3474" i="12"/>
  <c r="B3609" i="12"/>
  <c r="B4274" i="12"/>
  <c r="C4139" i="12"/>
  <c r="B3715" i="12"/>
  <c r="C3580" i="12"/>
  <c r="B3393" i="12"/>
  <c r="C3258" i="12"/>
  <c r="A3655" i="12"/>
  <c r="C3520" i="12"/>
  <c r="B4007" i="12"/>
  <c r="C3872" i="12"/>
  <c r="B3510" i="12"/>
  <c r="C3375" i="12"/>
  <c r="B4348" i="12"/>
  <c r="B3160" i="12"/>
  <c r="C3025" i="12"/>
  <c r="B4226" i="12"/>
  <c r="C4091" i="12"/>
  <c r="C3898" i="12"/>
  <c r="B4033" i="12"/>
  <c r="B3255" i="12"/>
  <c r="C3120" i="12"/>
  <c r="B4025" i="12"/>
  <c r="B3345" i="12"/>
  <c r="C3210" i="12"/>
  <c r="C3218" i="12"/>
  <c r="B3353" i="12"/>
  <c r="B3540" i="12"/>
  <c r="C3405" i="12"/>
  <c r="B3163" i="12"/>
  <c r="C3028" i="12"/>
  <c r="B3677" i="12"/>
  <c r="C3542" i="12"/>
  <c r="B3299" i="12"/>
  <c r="C3164" i="12"/>
  <c r="B4258" i="12"/>
  <c r="C4123" i="12"/>
  <c r="C3151" i="12"/>
  <c r="B3286" i="12"/>
  <c r="C3005" i="12"/>
  <c r="B3140" i="12"/>
  <c r="C3305" i="12"/>
  <c r="B3440" i="12"/>
  <c r="B3806" i="12"/>
  <c r="C3671" i="12"/>
  <c r="C3749" i="12"/>
  <c r="B3884" i="12"/>
  <c r="C3541" i="12"/>
  <c r="B3676" i="12"/>
  <c r="B4039" i="12"/>
  <c r="C3904" i="12"/>
  <c r="C3501" i="12"/>
  <c r="B3636" i="12"/>
  <c r="C3360" i="12"/>
  <c r="B3495" i="12"/>
  <c r="B3129" i="12"/>
  <c r="C2994" i="12"/>
  <c r="A4300" i="12"/>
  <c r="C4165" i="12"/>
  <c r="C3477" i="12"/>
  <c r="B3612" i="12"/>
  <c r="B3453" i="12"/>
  <c r="C3318" i="12"/>
  <c r="B3384" i="12"/>
  <c r="C3249" i="12"/>
  <c r="C3325" i="12"/>
  <c r="B3460" i="12"/>
  <c r="C2972" i="12"/>
  <c r="B3107" i="12"/>
  <c r="A3485" i="12"/>
  <c r="C3350" i="12"/>
  <c r="A3498" i="12"/>
  <c r="C3363" i="12"/>
  <c r="A3456" i="12"/>
  <c r="C3321" i="12"/>
  <c r="B3340" i="12" l="1"/>
  <c r="C3205" i="12"/>
  <c r="B3418" i="12"/>
  <c r="C3283" i="12"/>
  <c r="B3293" i="12"/>
  <c r="C3158" i="12"/>
  <c r="B3971" i="12"/>
  <c r="C3836" i="12"/>
  <c r="C3422" i="12"/>
  <c r="B3557" i="12"/>
  <c r="C4394" i="12"/>
  <c r="B4529" i="12"/>
  <c r="C4204" i="12"/>
  <c r="B4339" i="12"/>
  <c r="B3695" i="12"/>
  <c r="C3560" i="12"/>
  <c r="C3496" i="12"/>
  <c r="B3631" i="12"/>
  <c r="A3616" i="12"/>
  <c r="C3481" i="12"/>
  <c r="B3434" i="12"/>
  <c r="C3299" i="12"/>
  <c r="C3478" i="12"/>
  <c r="B3613" i="12"/>
  <c r="A3673" i="12"/>
  <c r="C3538" i="12"/>
  <c r="B3851" i="12"/>
  <c r="C3716" i="12"/>
  <c r="B3506" i="12"/>
  <c r="C3371" i="12"/>
  <c r="C3171" i="12"/>
  <c r="B3306" i="12"/>
  <c r="B3289" i="12"/>
  <c r="C3154" i="12"/>
  <c r="C3261" i="12"/>
  <c r="B3396" i="12"/>
  <c r="C3548" i="12"/>
  <c r="B3683" i="12"/>
  <c r="C3651" i="12"/>
  <c r="B3786" i="12"/>
  <c r="B3503" i="12"/>
  <c r="C3368" i="12"/>
  <c r="B3894" i="12"/>
  <c r="C3759" i="12"/>
  <c r="C3213" i="12"/>
  <c r="B3348" i="12"/>
  <c r="A3633" i="12"/>
  <c r="C3498" i="12"/>
  <c r="B3519" i="12"/>
  <c r="C3384" i="12"/>
  <c r="B3264" i="12"/>
  <c r="C3129" i="12"/>
  <c r="B3812" i="12"/>
  <c r="C3677" i="12"/>
  <c r="B3480" i="12"/>
  <c r="C3345" i="12"/>
  <c r="C4226" i="12"/>
  <c r="B4361" i="12"/>
  <c r="B4142" i="12"/>
  <c r="C4007" i="12"/>
  <c r="B4409" i="12"/>
  <c r="C4274" i="12"/>
  <c r="C3243" i="12"/>
  <c r="B3378" i="12"/>
  <c r="B4877" i="12"/>
  <c r="C4742" i="12"/>
  <c r="C3775" i="12"/>
  <c r="B3910" i="12"/>
  <c r="C3881" i="12"/>
  <c r="B4016" i="12"/>
  <c r="C3409" i="12"/>
  <c r="B3544" i="12"/>
  <c r="A3515" i="12"/>
  <c r="C3380" i="12"/>
  <c r="C3627" i="12"/>
  <c r="B3762" i="12"/>
  <c r="C3113" i="12"/>
  <c r="B3248" i="12"/>
  <c r="C3684" i="12"/>
  <c r="B3819" i="12"/>
  <c r="B4173" i="12"/>
  <c r="C3288" i="12"/>
  <c r="B3423" i="12"/>
  <c r="B3674" i="12"/>
  <c r="C3539" i="12"/>
  <c r="C3316" i="12"/>
  <c r="B3451" i="12"/>
  <c r="B3920" i="12"/>
  <c r="C3731" i="12"/>
  <c r="B3866" i="12"/>
  <c r="B3637" i="12"/>
  <c r="C3502" i="12"/>
  <c r="C3112" i="12"/>
  <c r="B3247" i="12"/>
  <c r="B3941" i="12"/>
  <c r="C3806" i="12"/>
  <c r="B3675" i="12"/>
  <c r="C3540" i="12"/>
  <c r="B4483" i="12"/>
  <c r="C3393" i="12"/>
  <c r="B3528" i="12"/>
  <c r="B3697" i="12"/>
  <c r="C3562" i="12"/>
  <c r="B4026" i="12"/>
  <c r="C3891" i="12"/>
  <c r="B3733" i="12"/>
  <c r="C3598" i="12"/>
  <c r="B3740" i="12"/>
  <c r="C3605" i="12"/>
  <c r="C3214" i="12"/>
  <c r="B3349" i="12"/>
  <c r="B3450" i="12"/>
  <c r="C3315" i="12"/>
  <c r="C3262" i="12"/>
  <c r="B3397" i="12"/>
  <c r="B3595" i="12"/>
  <c r="C3460" i="12"/>
  <c r="C3116" i="12"/>
  <c r="B3251" i="12"/>
  <c r="B3645" i="12"/>
  <c r="C3510" i="12"/>
  <c r="B3850" i="12"/>
  <c r="C3715" i="12"/>
  <c r="B3687" i="12"/>
  <c r="C3552" i="12"/>
  <c r="B4397" i="12"/>
  <c r="C4262" i="12"/>
  <c r="C3676" i="12"/>
  <c r="B3811" i="12"/>
  <c r="B3275" i="12"/>
  <c r="C3140" i="12"/>
  <c r="C3504" i="12"/>
  <c r="B3639" i="12"/>
  <c r="C3495" i="12"/>
  <c r="B3630" i="12"/>
  <c r="C3884" i="12"/>
  <c r="B4019" i="12"/>
  <c r="B3421" i="12"/>
  <c r="C3286" i="12"/>
  <c r="B4160" i="12"/>
  <c r="B3744" i="12"/>
  <c r="C3609" i="12"/>
  <c r="B3285" i="12"/>
  <c r="C3150" i="12"/>
  <c r="B3913" i="12"/>
  <c r="C3778" i="12"/>
  <c r="B3777" i="12"/>
  <c r="C3642" i="12"/>
  <c r="B3732" i="12"/>
  <c r="C3597" i="12"/>
  <c r="C3629" i="12"/>
  <c r="B3764" i="12"/>
  <c r="B3594" i="12"/>
  <c r="C3459" i="12"/>
  <c r="C3543" i="12"/>
  <c r="B3678" i="12"/>
  <c r="C3840" i="12"/>
  <c r="B3975" i="12"/>
  <c r="B3294" i="12"/>
  <c r="C3159" i="12"/>
  <c r="B4436" i="12"/>
  <c r="C4301" i="12"/>
  <c r="B3931" i="12"/>
  <c r="C3796" i="12"/>
  <c r="B3523" i="12"/>
  <c r="C3388" i="12"/>
  <c r="B4005" i="12"/>
  <c r="C3514" i="12"/>
  <c r="B3649" i="12"/>
  <c r="B3579" i="12"/>
  <c r="C3444" i="12"/>
  <c r="C4258" i="12"/>
  <c r="B4393" i="12"/>
  <c r="C3533" i="12"/>
  <c r="B3668" i="12"/>
  <c r="C3717" i="12"/>
  <c r="B3852" i="12"/>
  <c r="C4033" i="12"/>
  <c r="B4168" i="12"/>
  <c r="B3770" i="12"/>
  <c r="C3635" i="12"/>
  <c r="B3319" i="12"/>
  <c r="C3184" i="12"/>
  <c r="B4156" i="12"/>
  <c r="C3334" i="12"/>
  <c r="B3469" i="12"/>
  <c r="A3591" i="12"/>
  <c r="C3456" i="12"/>
  <c r="A4435" i="12"/>
  <c r="C4300" i="12"/>
  <c r="B4174" i="12"/>
  <c r="C4039" i="12"/>
  <c r="B3387" i="12"/>
  <c r="C3252" i="12"/>
  <c r="B3411" i="12"/>
  <c r="C3276" i="12"/>
  <c r="B3415" i="12"/>
  <c r="C3280" i="12"/>
  <c r="C3419" i="12"/>
  <c r="B3554" i="12"/>
  <c r="B3572" i="12"/>
  <c r="C3437" i="12"/>
  <c r="A3620" i="12"/>
  <c r="C3485" i="12"/>
  <c r="B3588" i="12"/>
  <c r="C3453" i="12"/>
  <c r="B3298" i="12"/>
  <c r="C3163" i="12"/>
  <c r="B3295" i="12"/>
  <c r="C3160" i="12"/>
  <c r="A3790" i="12"/>
  <c r="C3655" i="12"/>
  <c r="B3455" i="12"/>
  <c r="C3320" i="12"/>
  <c r="B3412" i="12"/>
  <c r="C3277" i="12"/>
  <c r="B3577" i="12"/>
  <c r="C3442" i="12"/>
  <c r="C3297" i="12"/>
  <c r="B3432" i="12"/>
  <c r="A3735" i="12"/>
  <c r="C3600" i="12"/>
  <c r="C3389" i="12"/>
  <c r="B3524" i="12"/>
  <c r="C3644" i="12"/>
  <c r="B3779" i="12"/>
  <c r="C3800" i="12"/>
  <c r="B3935" i="12"/>
  <c r="B3736" i="12"/>
  <c r="C3601" i="12"/>
  <c r="B4114" i="12"/>
  <c r="C3979" i="12"/>
  <c r="B4143" i="12"/>
  <c r="C4008" i="12"/>
  <c r="B3390" i="12"/>
  <c r="C3255" i="12"/>
  <c r="C3440" i="12"/>
  <c r="B3575" i="12"/>
  <c r="B3488" i="12"/>
  <c r="C3353" i="12"/>
  <c r="B3537" i="12"/>
  <c r="C3402" i="12"/>
  <c r="C3622" i="12"/>
  <c r="B3757" i="12"/>
  <c r="B5211" i="12"/>
  <c r="A4011" i="12"/>
  <c r="C3876" i="12"/>
  <c r="B4113" i="12"/>
  <c r="C3978" i="12"/>
  <c r="B3242" i="12"/>
  <c r="C3107" i="12"/>
  <c r="B3747" i="12"/>
  <c r="C3612" i="12"/>
  <c r="B3771" i="12"/>
  <c r="C3636" i="12"/>
  <c r="B4147" i="12"/>
  <c r="C4012" i="12"/>
  <c r="B3592" i="12"/>
  <c r="C3457" i="12"/>
  <c r="C3301" i="12"/>
  <c r="B3436" i="12"/>
  <c r="B4388" i="12"/>
  <c r="C4253" i="12"/>
  <c r="B4600" i="12"/>
  <c r="B3617" i="12"/>
  <c r="C3482" i="12"/>
  <c r="C3632" i="12"/>
  <c r="B3767" i="12"/>
  <c r="C3781" i="12"/>
  <c r="B3916" i="12"/>
  <c r="C4013" i="12"/>
  <c r="B4148" i="12"/>
  <c r="B3265" i="12"/>
  <c r="C3130" i="12"/>
  <c r="B3863" i="12"/>
  <c r="C3728" i="12"/>
  <c r="C3561" i="12"/>
  <c r="B3696" i="12"/>
  <c r="C4148" i="12" l="1"/>
  <c r="B4283" i="12"/>
  <c r="B3813" i="12"/>
  <c r="C3678" i="12"/>
  <c r="B3774" i="12"/>
  <c r="C3639" i="12"/>
  <c r="B3441" i="12"/>
  <c r="C3306" i="12"/>
  <c r="C3577" i="12"/>
  <c r="B3712" i="12"/>
  <c r="C3295" i="12"/>
  <c r="B3430" i="12"/>
  <c r="B3522" i="12"/>
  <c r="C3387" i="12"/>
  <c r="B3875" i="12"/>
  <c r="C3740" i="12"/>
  <c r="B3831" i="12"/>
  <c r="C3696" i="12"/>
  <c r="C3852" i="12"/>
  <c r="B3987" i="12"/>
  <c r="B3784" i="12"/>
  <c r="C3649" i="12"/>
  <c r="B3383" i="12"/>
  <c r="C3248" i="12"/>
  <c r="B4523" i="12"/>
  <c r="C4388" i="12"/>
  <c r="A4146" i="12"/>
  <c r="C4011" i="12"/>
  <c r="C3488" i="12"/>
  <c r="B3623" i="12"/>
  <c r="B4249" i="12"/>
  <c r="C4114" i="12"/>
  <c r="C3412" i="12"/>
  <c r="B3547" i="12"/>
  <c r="B3433" i="12"/>
  <c r="C3298" i="12"/>
  <c r="C4174" i="12"/>
  <c r="B4309" i="12"/>
  <c r="C3594" i="12"/>
  <c r="B3729" i="12"/>
  <c r="B3868" i="12"/>
  <c r="C3733" i="12"/>
  <c r="B4618" i="12"/>
  <c r="C3637" i="12"/>
  <c r="B3772" i="12"/>
  <c r="B3809" i="12"/>
  <c r="C3674" i="12"/>
  <c r="B4544" i="12"/>
  <c r="C4409" i="12"/>
  <c r="C3506" i="12"/>
  <c r="B3641" i="12"/>
  <c r="C3293" i="12"/>
  <c r="B3428" i="12"/>
  <c r="B3902" i="12"/>
  <c r="C3767" i="12"/>
  <c r="C3436" i="12"/>
  <c r="B3571" i="12"/>
  <c r="C3575" i="12"/>
  <c r="B3710" i="12"/>
  <c r="B3803" i="12"/>
  <c r="C3668" i="12"/>
  <c r="C3764" i="12"/>
  <c r="B3899" i="12"/>
  <c r="B4154" i="12"/>
  <c r="C4019" i="12"/>
  <c r="C3811" i="12"/>
  <c r="B3946" i="12"/>
  <c r="C3866" i="12"/>
  <c r="B4001" i="12"/>
  <c r="C3423" i="12"/>
  <c r="B3558" i="12"/>
  <c r="B3897" i="12"/>
  <c r="C3762" i="12"/>
  <c r="C3910" i="12"/>
  <c r="B4045" i="12"/>
  <c r="B3531" i="12"/>
  <c r="C3396" i="12"/>
  <c r="B4664" i="12"/>
  <c r="C4529" i="12"/>
  <c r="B3663" i="12"/>
  <c r="C3528" i="12"/>
  <c r="C3451" i="12"/>
  <c r="B3586" i="12"/>
  <c r="B3679" i="12"/>
  <c r="C3544" i="12"/>
  <c r="B3672" i="12"/>
  <c r="C3537" i="12"/>
  <c r="C3777" i="12"/>
  <c r="B3912" i="12"/>
  <c r="C3971" i="12"/>
  <c r="B4106" i="12"/>
  <c r="B4051" i="12"/>
  <c r="C3916" i="12"/>
  <c r="C3554" i="12"/>
  <c r="B3689" i="12"/>
  <c r="B4048" i="12"/>
  <c r="C3913" i="12"/>
  <c r="B3985" i="12"/>
  <c r="C3850" i="12"/>
  <c r="C3863" i="12"/>
  <c r="B3998" i="12"/>
  <c r="B3882" i="12"/>
  <c r="C3747" i="12"/>
  <c r="B3871" i="12"/>
  <c r="C3736" i="12"/>
  <c r="A3870" i="12"/>
  <c r="C3735" i="12"/>
  <c r="B3590" i="12"/>
  <c r="C3455" i="12"/>
  <c r="C3588" i="12"/>
  <c r="B3723" i="12"/>
  <c r="B3550" i="12"/>
  <c r="C3415" i="12"/>
  <c r="A4570" i="12"/>
  <c r="C4435" i="12"/>
  <c r="C3319" i="12"/>
  <c r="B3454" i="12"/>
  <c r="B4140" i="12"/>
  <c r="B3429" i="12"/>
  <c r="C3294" i="12"/>
  <c r="B3420" i="12"/>
  <c r="C3285" i="12"/>
  <c r="B3780" i="12"/>
  <c r="C3645" i="12"/>
  <c r="C3450" i="12"/>
  <c r="B3585" i="12"/>
  <c r="B4161" i="12"/>
  <c r="C4026" i="12"/>
  <c r="B3810" i="12"/>
  <c r="C3675" i="12"/>
  <c r="C4142" i="12"/>
  <c r="B4277" i="12"/>
  <c r="B3399" i="12"/>
  <c r="C3264" i="12"/>
  <c r="B4029" i="12"/>
  <c r="C3894" i="12"/>
  <c r="B3986" i="12"/>
  <c r="C3851" i="12"/>
  <c r="A3751" i="12"/>
  <c r="C3616" i="12"/>
  <c r="B3553" i="12"/>
  <c r="C3418" i="12"/>
  <c r="B4735" i="12"/>
  <c r="C3779" i="12"/>
  <c r="B3914" i="12"/>
  <c r="C3469" i="12"/>
  <c r="B3604" i="12"/>
  <c r="B4303" i="12"/>
  <c r="C4168" i="12"/>
  <c r="C3786" i="12"/>
  <c r="B3921" i="12"/>
  <c r="C3613" i="12"/>
  <c r="B3748" i="12"/>
  <c r="C4113" i="12"/>
  <c r="B4248" i="12"/>
  <c r="B3714" i="12"/>
  <c r="C3579" i="12"/>
  <c r="C3931" i="12"/>
  <c r="B4066" i="12"/>
  <c r="B4295" i="12"/>
  <c r="C3595" i="12"/>
  <c r="B3730" i="12"/>
  <c r="B3615" i="12"/>
  <c r="C3480" i="12"/>
  <c r="A3768" i="12"/>
  <c r="C3633" i="12"/>
  <c r="B3830" i="12"/>
  <c r="C3695" i="12"/>
  <c r="B3532" i="12"/>
  <c r="C3397" i="12"/>
  <c r="B3483" i="12"/>
  <c r="C3348" i="12"/>
  <c r="B4474" i="12"/>
  <c r="C4339" i="12"/>
  <c r="B4291" i="12"/>
  <c r="B4571" i="12"/>
  <c r="C4436" i="12"/>
  <c r="C3275" i="12"/>
  <c r="B3410" i="12"/>
  <c r="B3947" i="12"/>
  <c r="C3812" i="12"/>
  <c r="B3569" i="12"/>
  <c r="C3434" i="12"/>
  <c r="B3892" i="12"/>
  <c r="C3757" i="12"/>
  <c r="C3935" i="12"/>
  <c r="B4070" i="12"/>
  <c r="B3567" i="12"/>
  <c r="C3432" i="12"/>
  <c r="B4528" i="12"/>
  <c r="C4393" i="12"/>
  <c r="C3975" i="12"/>
  <c r="B4110" i="12"/>
  <c r="C3630" i="12"/>
  <c r="B3765" i="12"/>
  <c r="C3251" i="12"/>
  <c r="B3386" i="12"/>
  <c r="C3349" i="12"/>
  <c r="B3484" i="12"/>
  <c r="B4308" i="12"/>
  <c r="C4361" i="12"/>
  <c r="B4496" i="12"/>
  <c r="C3631" i="12"/>
  <c r="B3766" i="12"/>
  <c r="B3692" i="12"/>
  <c r="C3557" i="12"/>
  <c r="B3382" i="12"/>
  <c r="C3247" i="12"/>
  <c r="C3819" i="12"/>
  <c r="B3954" i="12"/>
  <c r="C3378" i="12"/>
  <c r="B3513" i="12"/>
  <c r="B4282" i="12"/>
  <c r="C4147" i="12"/>
  <c r="C4143" i="12"/>
  <c r="B4278" i="12"/>
  <c r="C3572" i="12"/>
  <c r="B3707" i="12"/>
  <c r="C3687" i="12"/>
  <c r="B3822" i="12"/>
  <c r="C3524" i="12"/>
  <c r="B3659" i="12"/>
  <c r="B4151" i="12"/>
  <c r="C4016" i="12"/>
  <c r="B3818" i="12"/>
  <c r="C3683" i="12"/>
  <c r="C3771" i="12"/>
  <c r="B3906" i="12"/>
  <c r="C3421" i="12"/>
  <c r="B3556" i="12"/>
  <c r="C3265" i="12"/>
  <c r="B3400" i="12"/>
  <c r="B3752" i="12"/>
  <c r="C3617" i="12"/>
  <c r="C3592" i="12"/>
  <c r="B3727" i="12"/>
  <c r="B3377" i="12"/>
  <c r="C3242" i="12"/>
  <c r="C3390" i="12"/>
  <c r="B3525" i="12"/>
  <c r="A3925" i="12"/>
  <c r="C3790" i="12"/>
  <c r="A3755" i="12"/>
  <c r="C3620" i="12"/>
  <c r="B3546" i="12"/>
  <c r="C3411" i="12"/>
  <c r="A3726" i="12"/>
  <c r="C3591" i="12"/>
  <c r="B3905" i="12"/>
  <c r="C3770" i="12"/>
  <c r="C3523" i="12"/>
  <c r="B3658" i="12"/>
  <c r="C3732" i="12"/>
  <c r="B3867" i="12"/>
  <c r="B3879" i="12"/>
  <c r="C3744" i="12"/>
  <c r="B4532" i="12"/>
  <c r="C4397" i="12"/>
  <c r="B3832" i="12"/>
  <c r="C3697" i="12"/>
  <c r="C3941" i="12"/>
  <c r="B4076" i="12"/>
  <c r="B4055" i="12"/>
  <c r="A3650" i="12"/>
  <c r="C3515" i="12"/>
  <c r="B5012" i="12"/>
  <c r="C4877" i="12"/>
  <c r="C3519" i="12"/>
  <c r="B3654" i="12"/>
  <c r="B3638" i="12"/>
  <c r="C3503" i="12"/>
  <c r="B3424" i="12"/>
  <c r="C3289" i="12"/>
  <c r="A3808" i="12"/>
  <c r="C3673" i="12"/>
  <c r="C3340" i="12"/>
  <c r="B3475" i="12"/>
  <c r="A3785" i="12" l="1"/>
  <c r="C3650" i="12"/>
  <c r="C3905" i="12"/>
  <c r="B4040" i="12"/>
  <c r="B3953" i="12"/>
  <c r="C3818" i="12"/>
  <c r="B3660" i="12"/>
  <c r="C3525" i="12"/>
  <c r="B3535" i="12"/>
  <c r="C3400" i="12"/>
  <c r="B4443" i="12"/>
  <c r="B3865" i="12"/>
  <c r="C3730" i="12"/>
  <c r="B4383" i="12"/>
  <c r="C4248" i="12"/>
  <c r="C3604" i="12"/>
  <c r="B3739" i="12"/>
  <c r="C4277" i="12"/>
  <c r="B4412" i="12"/>
  <c r="B3807" i="12"/>
  <c r="C3672" i="12"/>
  <c r="B4799" i="12"/>
  <c r="C4664" i="12"/>
  <c r="B4384" i="12"/>
  <c r="C4249" i="12"/>
  <c r="B4014" i="12"/>
  <c r="C3879" i="12"/>
  <c r="B4286" i="12"/>
  <c r="C4151" i="12"/>
  <c r="B3725" i="12"/>
  <c r="C3590" i="12"/>
  <c r="C3998" i="12"/>
  <c r="B4133" i="12"/>
  <c r="B3563" i="12"/>
  <c r="C3428" i="12"/>
  <c r="B3907" i="12"/>
  <c r="C3772" i="12"/>
  <c r="B4444" i="12"/>
  <c r="C4309" i="12"/>
  <c r="B3758" i="12"/>
  <c r="C3623" i="12"/>
  <c r="B3883" i="12"/>
  <c r="C3748" i="12"/>
  <c r="C3774" i="12"/>
  <c r="B3909" i="12"/>
  <c r="C3546" i="12"/>
  <c r="B3681" i="12"/>
  <c r="B3512" i="12"/>
  <c r="C3377" i="12"/>
  <c r="C4282" i="12"/>
  <c r="B4417" i="12"/>
  <c r="C3692" i="12"/>
  <c r="B3827" i="12"/>
  <c r="B4663" i="12"/>
  <c r="C4528" i="12"/>
  <c r="C3569" i="12"/>
  <c r="B3704" i="12"/>
  <c r="C3830" i="12"/>
  <c r="B3965" i="12"/>
  <c r="B4430" i="12"/>
  <c r="B4121" i="12"/>
  <c r="C3986" i="12"/>
  <c r="B3945" i="12"/>
  <c r="C3810" i="12"/>
  <c r="B3555" i="12"/>
  <c r="C3420" i="12"/>
  <c r="A4705" i="12"/>
  <c r="C4570" i="12"/>
  <c r="A4005" i="12"/>
  <c r="C3870" i="12"/>
  <c r="B4241" i="12"/>
  <c r="C4106" i="12"/>
  <c r="B3721" i="12"/>
  <c r="C3586" i="12"/>
  <c r="B4180" i="12"/>
  <c r="C4045" i="12"/>
  <c r="B4081" i="12"/>
  <c r="C3946" i="12"/>
  <c r="B3845" i="12"/>
  <c r="C3710" i="12"/>
  <c r="C3641" i="12"/>
  <c r="B3776" i="12"/>
  <c r="C3987" i="12"/>
  <c r="B4122" i="12"/>
  <c r="B3565" i="12"/>
  <c r="C3430" i="12"/>
  <c r="B4667" i="12"/>
  <c r="C4532" i="12"/>
  <c r="C3752" i="12"/>
  <c r="B3887" i="12"/>
  <c r="C3729" i="12"/>
  <c r="B3864" i="12"/>
  <c r="C3882" i="12"/>
  <c r="B4017" i="12"/>
  <c r="B3576" i="12"/>
  <c r="C3441" i="12"/>
  <c r="A3886" i="12"/>
  <c r="C3751" i="12"/>
  <c r="B3610" i="12"/>
  <c r="C3475" i="12"/>
  <c r="B3789" i="12"/>
  <c r="C3654" i="12"/>
  <c r="B4211" i="12"/>
  <c r="C4076" i="12"/>
  <c r="C3867" i="12"/>
  <c r="B4002" i="12"/>
  <c r="C3556" i="12"/>
  <c r="B3691" i="12"/>
  <c r="B4426" i="12"/>
  <c r="B4049" i="12"/>
  <c r="C3914" i="12"/>
  <c r="B4186" i="12"/>
  <c r="C4051" i="12"/>
  <c r="B3793" i="12"/>
  <c r="C3658" i="12"/>
  <c r="B3862" i="12"/>
  <c r="C3727" i="12"/>
  <c r="B4041" i="12"/>
  <c r="C3906" i="12"/>
  <c r="C3822" i="12"/>
  <c r="B3957" i="12"/>
  <c r="B3648" i="12"/>
  <c r="C3513" i="12"/>
  <c r="B3901" i="12"/>
  <c r="C3766" i="12"/>
  <c r="B3521" i="12"/>
  <c r="C3386" i="12"/>
  <c r="B4201" i="12"/>
  <c r="C4066" i="12"/>
  <c r="B4056" i="12"/>
  <c r="C3921" i="12"/>
  <c r="B4870" i="12"/>
  <c r="C3985" i="12"/>
  <c r="B4120" i="12"/>
  <c r="B4753" i="12"/>
  <c r="B3568" i="12"/>
  <c r="C3433" i="12"/>
  <c r="A4281" i="12"/>
  <c r="C4146" i="12"/>
  <c r="C3813" i="12"/>
  <c r="B3948" i="12"/>
  <c r="C3689" i="12"/>
  <c r="B3824" i="12"/>
  <c r="B3518" i="12"/>
  <c r="C3383" i="12"/>
  <c r="B3773" i="12"/>
  <c r="C3638" i="12"/>
  <c r="B3517" i="12"/>
  <c r="C3382" i="12"/>
  <c r="C4001" i="12"/>
  <c r="B4136" i="12"/>
  <c r="B3619" i="12"/>
  <c r="C3484" i="12"/>
  <c r="C3531" i="12"/>
  <c r="B3666" i="12"/>
  <c r="B3919" i="12"/>
  <c r="C3784" i="12"/>
  <c r="A3943" i="12"/>
  <c r="C3808" i="12"/>
  <c r="B5147" i="12"/>
  <c r="C5147" i="12" s="1"/>
  <c r="C5012" i="12"/>
  <c r="B3967" i="12"/>
  <c r="C3832" i="12"/>
  <c r="A3890" i="12"/>
  <c r="C3755" i="12"/>
  <c r="B3702" i="12"/>
  <c r="C3567" i="12"/>
  <c r="B4082" i="12"/>
  <c r="C3947" i="12"/>
  <c r="B4609" i="12"/>
  <c r="C4474" i="12"/>
  <c r="A3903" i="12"/>
  <c r="C3768" i="12"/>
  <c r="C4029" i="12"/>
  <c r="B4164" i="12"/>
  <c r="B4296" i="12"/>
  <c r="C4161" i="12"/>
  <c r="B3564" i="12"/>
  <c r="C3429" i="12"/>
  <c r="B3685" i="12"/>
  <c r="C3550" i="12"/>
  <c r="C3871" i="12"/>
  <c r="B4006" i="12"/>
  <c r="B4047" i="12"/>
  <c r="C3912" i="12"/>
  <c r="C3571" i="12"/>
  <c r="B3706" i="12"/>
  <c r="B3682" i="12"/>
  <c r="C3547" i="12"/>
  <c r="B3847" i="12"/>
  <c r="C3712" i="12"/>
  <c r="C4283" i="12"/>
  <c r="B4418" i="12"/>
  <c r="C3424" i="12"/>
  <c r="B3559" i="12"/>
  <c r="A4060" i="12"/>
  <c r="C3925" i="12"/>
  <c r="C3483" i="12"/>
  <c r="B3618" i="12"/>
  <c r="C3615" i="12"/>
  <c r="B3750" i="12"/>
  <c r="B3849" i="12"/>
  <c r="C3714" i="12"/>
  <c r="B4438" i="12"/>
  <c r="C4303" i="12"/>
  <c r="C3553" i="12"/>
  <c r="B3688" i="12"/>
  <c r="B3534" i="12"/>
  <c r="C3399" i="12"/>
  <c r="B4275" i="12"/>
  <c r="B3693" i="12"/>
  <c r="C3558" i="12"/>
  <c r="B4034" i="12"/>
  <c r="C3899" i="12"/>
  <c r="B4413" i="12"/>
  <c r="C4278" i="12"/>
  <c r="B4245" i="12"/>
  <c r="C4110" i="12"/>
  <c r="C3454" i="12"/>
  <c r="B3589" i="12"/>
  <c r="B4037" i="12"/>
  <c r="C3902" i="12"/>
  <c r="C3809" i="12"/>
  <c r="B3944" i="12"/>
  <c r="B4010" i="12"/>
  <c r="C3875" i="12"/>
  <c r="B4190" i="12"/>
  <c r="A3861" i="12"/>
  <c r="C3726" i="12"/>
  <c r="B4027" i="12"/>
  <c r="C3892" i="12"/>
  <c r="B4706" i="12"/>
  <c r="C4571" i="12"/>
  <c r="C3532" i="12"/>
  <c r="B3667" i="12"/>
  <c r="B3915" i="12"/>
  <c r="C3780" i="12"/>
  <c r="B3794" i="12"/>
  <c r="C3659" i="12"/>
  <c r="B3814" i="12"/>
  <c r="C3679" i="12"/>
  <c r="B3938" i="12"/>
  <c r="C3803" i="12"/>
  <c r="C3522" i="12"/>
  <c r="B3657" i="12"/>
  <c r="C3707" i="12"/>
  <c r="B3842" i="12"/>
  <c r="B4089" i="12"/>
  <c r="C3954" i="12"/>
  <c r="B4631" i="12"/>
  <c r="C4496" i="12"/>
  <c r="C3765" i="12"/>
  <c r="B3900" i="12"/>
  <c r="B4205" i="12"/>
  <c r="C4070" i="12"/>
  <c r="B3545" i="12"/>
  <c r="C3410" i="12"/>
  <c r="C3585" i="12"/>
  <c r="B3720" i="12"/>
  <c r="C3723" i="12"/>
  <c r="B3858" i="12"/>
  <c r="C4048" i="12"/>
  <c r="B4183" i="12"/>
  <c r="B3798" i="12"/>
  <c r="C3663" i="12"/>
  <c r="B4032" i="12"/>
  <c r="C3897" i="12"/>
  <c r="C4154" i="12"/>
  <c r="B4289" i="12"/>
  <c r="C4544" i="12"/>
  <c r="B4679" i="12"/>
  <c r="B4003" i="12"/>
  <c r="C3868" i="12"/>
  <c r="C4523" i="12"/>
  <c r="B4658" i="12"/>
  <c r="B3966" i="12"/>
  <c r="C3831" i="12"/>
  <c r="B3680" i="12" l="1"/>
  <c r="C3545" i="12"/>
  <c r="B3949" i="12"/>
  <c r="C3814" i="12"/>
  <c r="C4245" i="12"/>
  <c r="B4380" i="12"/>
  <c r="C3849" i="12"/>
  <c r="B3984" i="12"/>
  <c r="C4081" i="12"/>
  <c r="B4216" i="12"/>
  <c r="A4140" i="12"/>
  <c r="C4005" i="12"/>
  <c r="B4798" i="12"/>
  <c r="C4663" i="12"/>
  <c r="B4518" i="12"/>
  <c r="C4383" i="12"/>
  <c r="C3750" i="12"/>
  <c r="B3885" i="12"/>
  <c r="B4553" i="12"/>
  <c r="C4418" i="12"/>
  <c r="B3999" i="12"/>
  <c r="C3864" i="12"/>
  <c r="C4122" i="12"/>
  <c r="B4257" i="12"/>
  <c r="B3962" i="12"/>
  <c r="C3827" i="12"/>
  <c r="C4047" i="12"/>
  <c r="B4182" i="12"/>
  <c r="B4431" i="12"/>
  <c r="C4296" i="12"/>
  <c r="B4217" i="12"/>
  <c r="C4082" i="12"/>
  <c r="B3754" i="12"/>
  <c r="C3619" i="12"/>
  <c r="C3518" i="12"/>
  <c r="B3653" i="12"/>
  <c r="C4056" i="12"/>
  <c r="B4191" i="12"/>
  <c r="B3783" i="12"/>
  <c r="C3648" i="12"/>
  <c r="B3928" i="12"/>
  <c r="C3793" i="12"/>
  <c r="B4315" i="12"/>
  <c r="C4180" i="12"/>
  <c r="A4840" i="12"/>
  <c r="C4705" i="12"/>
  <c r="C3907" i="12"/>
  <c r="B4042" i="12"/>
  <c r="B4421" i="12"/>
  <c r="C4286" i="12"/>
  <c r="B3942" i="12"/>
  <c r="C3807" i="12"/>
  <c r="B4000" i="12"/>
  <c r="C3865" i="12"/>
  <c r="B4088" i="12"/>
  <c r="C3953" i="12"/>
  <c r="C4289" i="12"/>
  <c r="B4424" i="12"/>
  <c r="B3993" i="12"/>
  <c r="C3858" i="12"/>
  <c r="B4035" i="12"/>
  <c r="C3900" i="12"/>
  <c r="B3792" i="12"/>
  <c r="C3657" i="12"/>
  <c r="B3823" i="12"/>
  <c r="C3688" i="12"/>
  <c r="C3618" i="12"/>
  <c r="B3753" i="12"/>
  <c r="B4141" i="12"/>
  <c r="C4006" i="12"/>
  <c r="C4164" i="12"/>
  <c r="B4299" i="12"/>
  <c r="C4136" i="12"/>
  <c r="B4271" i="12"/>
  <c r="B3959" i="12"/>
  <c r="C3824" i="12"/>
  <c r="C3957" i="12"/>
  <c r="B4092" i="12"/>
  <c r="B4137" i="12"/>
  <c r="C4002" i="12"/>
  <c r="B4022" i="12"/>
  <c r="C3887" i="12"/>
  <c r="B3911" i="12"/>
  <c r="C3776" i="12"/>
  <c r="B4100" i="12"/>
  <c r="C3965" i="12"/>
  <c r="B4552" i="12"/>
  <c r="C4417" i="12"/>
  <c r="B4547" i="12"/>
  <c r="C4412" i="12"/>
  <c r="C4040" i="12"/>
  <c r="B4175" i="12"/>
  <c r="B3841" i="12"/>
  <c r="C3706" i="12"/>
  <c r="B5005" i="12"/>
  <c r="C3681" i="12"/>
  <c r="B3816" i="12"/>
  <c r="C3798" i="12"/>
  <c r="B3933" i="12"/>
  <c r="C4706" i="12"/>
  <c r="B4841" i="12"/>
  <c r="A4416" i="12"/>
  <c r="C4281" i="12"/>
  <c r="C3901" i="12"/>
  <c r="B4036" i="12"/>
  <c r="B4561" i="12"/>
  <c r="B3700" i="12"/>
  <c r="C3565" i="12"/>
  <c r="B4256" i="12"/>
  <c r="C4121" i="12"/>
  <c r="C4799" i="12"/>
  <c r="B4934" i="12"/>
  <c r="B4318" i="12"/>
  <c r="C4183" i="12"/>
  <c r="B4101" i="12"/>
  <c r="C3966" i="12"/>
  <c r="B4050" i="12"/>
  <c r="C3915" i="12"/>
  <c r="A3996" i="12"/>
  <c r="C3861" i="12"/>
  <c r="B4172" i="12"/>
  <c r="C4037" i="12"/>
  <c r="B4169" i="12"/>
  <c r="C4034" i="12"/>
  <c r="B3982" i="12"/>
  <c r="C3847" i="12"/>
  <c r="C3702" i="12"/>
  <c r="B3837" i="12"/>
  <c r="A4078" i="12"/>
  <c r="C3943" i="12"/>
  <c r="B4888" i="12"/>
  <c r="C4201" i="12"/>
  <c r="B4336" i="12"/>
  <c r="B4321" i="12"/>
  <c r="C4186" i="12"/>
  <c r="A4021" i="12"/>
  <c r="C3886" i="12"/>
  <c r="B3856" i="12"/>
  <c r="C3721" i="12"/>
  <c r="C3555" i="12"/>
  <c r="B3690" i="12"/>
  <c r="C3883" i="12"/>
  <c r="B4018" i="12"/>
  <c r="C3563" i="12"/>
  <c r="B3698" i="12"/>
  <c r="C4014" i="12"/>
  <c r="B4149" i="12"/>
  <c r="B4578" i="12"/>
  <c r="B4410" i="12"/>
  <c r="C3559" i="12"/>
  <c r="B3694" i="12"/>
  <c r="B3801" i="12"/>
  <c r="C3666" i="12"/>
  <c r="C4017" i="12"/>
  <c r="B4152" i="12"/>
  <c r="C4003" i="12"/>
  <c r="B4138" i="12"/>
  <c r="B4145" i="12"/>
  <c r="C4010" i="12"/>
  <c r="B3699" i="12"/>
  <c r="C3564" i="12"/>
  <c r="B4102" i="12"/>
  <c r="C3967" i="12"/>
  <c r="C3773" i="12"/>
  <c r="B3908" i="12"/>
  <c r="B3997" i="12"/>
  <c r="C3862" i="12"/>
  <c r="B4579" i="12"/>
  <c r="C4444" i="12"/>
  <c r="C3660" i="12"/>
  <c r="B3795" i="12"/>
  <c r="B4814" i="12"/>
  <c r="C4679" i="12"/>
  <c r="B4079" i="12"/>
  <c r="C3944" i="12"/>
  <c r="B3826" i="12"/>
  <c r="C3691" i="12"/>
  <c r="B4340" i="12"/>
  <c r="C4205" i="12"/>
  <c r="B3929" i="12"/>
  <c r="C3794" i="12"/>
  <c r="C4027" i="12"/>
  <c r="B4162" i="12"/>
  <c r="B4548" i="12"/>
  <c r="C4413" i="12"/>
  <c r="B3669" i="12"/>
  <c r="C3534" i="12"/>
  <c r="C3568" i="12"/>
  <c r="B3703" i="12"/>
  <c r="C4658" i="12"/>
  <c r="B4793" i="12"/>
  <c r="B3855" i="12"/>
  <c r="C3720" i="12"/>
  <c r="B3802" i="12"/>
  <c r="C3667" i="12"/>
  <c r="B3724" i="12"/>
  <c r="C3589" i="12"/>
  <c r="C3948" i="12"/>
  <c r="B4083" i="12"/>
  <c r="C4120" i="12"/>
  <c r="B4255" i="12"/>
  <c r="B3839" i="12"/>
  <c r="C3704" i="12"/>
  <c r="B4268" i="12"/>
  <c r="C4133" i="12"/>
  <c r="C3739" i="12"/>
  <c r="B3874" i="12"/>
  <c r="C4089" i="12"/>
  <c r="B4224" i="12"/>
  <c r="C4609" i="12"/>
  <c r="B4744" i="12"/>
  <c r="C3789" i="12"/>
  <c r="B3924" i="12"/>
  <c r="B3860" i="12"/>
  <c r="C3725" i="12"/>
  <c r="C3842" i="12"/>
  <c r="B3977" i="12"/>
  <c r="B4565" i="12"/>
  <c r="C3909" i="12"/>
  <c r="B4044" i="12"/>
  <c r="B3745" i="12"/>
  <c r="C3610" i="12"/>
  <c r="B4167" i="12"/>
  <c r="C4032" i="12"/>
  <c r="B4766" i="12"/>
  <c r="C4631" i="12"/>
  <c r="C3938" i="12"/>
  <c r="B4073" i="12"/>
  <c r="B4325" i="12"/>
  <c r="B3828" i="12"/>
  <c r="C3693" i="12"/>
  <c r="B4573" i="12"/>
  <c r="C4438" i="12"/>
  <c r="A4195" i="12"/>
  <c r="C4060" i="12"/>
  <c r="B3817" i="12"/>
  <c r="C3682" i="12"/>
  <c r="B3820" i="12"/>
  <c r="C3685" i="12"/>
  <c r="A4038" i="12"/>
  <c r="C3903" i="12"/>
  <c r="A4025" i="12"/>
  <c r="C3890" i="12"/>
  <c r="C3919" i="12"/>
  <c r="B4054" i="12"/>
  <c r="B3652" i="12"/>
  <c r="C3517" i="12"/>
  <c r="B3656" i="12"/>
  <c r="C3521" i="12"/>
  <c r="C4041" i="12"/>
  <c r="B4176" i="12"/>
  <c r="B4184" i="12"/>
  <c r="C4049" i="12"/>
  <c r="C4211" i="12"/>
  <c r="B4346" i="12"/>
  <c r="C3576" i="12"/>
  <c r="B3711" i="12"/>
  <c r="B4802" i="12"/>
  <c r="C4667" i="12"/>
  <c r="C3845" i="12"/>
  <c r="B3980" i="12"/>
  <c r="B4376" i="12"/>
  <c r="C4241" i="12"/>
  <c r="B4080" i="12"/>
  <c r="C3945" i="12"/>
  <c r="B3647" i="12"/>
  <c r="C3512" i="12"/>
  <c r="B3893" i="12"/>
  <c r="C3758" i="12"/>
  <c r="C4384" i="12"/>
  <c r="B4519" i="12"/>
  <c r="B3670" i="12"/>
  <c r="C3535" i="12"/>
  <c r="A3920" i="12"/>
  <c r="C3785" i="12"/>
  <c r="B3930" i="12" l="1"/>
  <c r="C3795" i="12"/>
  <c r="C4152" i="12"/>
  <c r="B4287" i="12"/>
  <c r="B4713" i="12"/>
  <c r="B4471" i="12"/>
  <c r="C4336" i="12"/>
  <c r="B4119" i="12"/>
  <c r="C3984" i="12"/>
  <c r="C3670" i="12"/>
  <c r="B3805" i="12"/>
  <c r="A4173" i="12"/>
  <c r="C4038" i="12"/>
  <c r="B5140" i="12"/>
  <c r="B4359" i="12"/>
  <c r="C4224" i="12"/>
  <c r="C4255" i="12"/>
  <c r="B4390" i="12"/>
  <c r="C4149" i="12"/>
  <c r="B4284" i="12"/>
  <c r="C4841" i="12"/>
  <c r="B4976" i="12"/>
  <c r="B4326" i="12"/>
  <c r="C4191" i="12"/>
  <c r="C4380" i="12"/>
  <c r="B4515" i="12"/>
  <c r="B3787" i="12"/>
  <c r="C3652" i="12"/>
  <c r="C4167" i="12"/>
  <c r="B4302" i="12"/>
  <c r="C3856" i="12"/>
  <c r="B3991" i="12"/>
  <c r="B4304" i="12"/>
  <c r="C4169" i="12"/>
  <c r="C4101" i="12"/>
  <c r="B4236" i="12"/>
  <c r="C4141" i="12"/>
  <c r="B4276" i="12"/>
  <c r="C4000" i="12"/>
  <c r="B4135" i="12"/>
  <c r="A4975" i="12"/>
  <c r="C4840" i="12"/>
  <c r="B4566" i="12"/>
  <c r="C4431" i="12"/>
  <c r="C3980" i="12"/>
  <c r="B4115" i="12"/>
  <c r="B4189" i="12"/>
  <c r="C4054" i="12"/>
  <c r="B4460" i="12"/>
  <c r="B4009" i="12"/>
  <c r="C3874" i="12"/>
  <c r="B4218" i="12"/>
  <c r="C4083" i="12"/>
  <c r="B4928" i="12"/>
  <c r="C4793" i="12"/>
  <c r="B4297" i="12"/>
  <c r="C4162" i="12"/>
  <c r="C3694" i="12"/>
  <c r="B3829" i="12"/>
  <c r="C3698" i="12"/>
  <c r="B3833" i="12"/>
  <c r="B4696" i="12"/>
  <c r="B4068" i="12"/>
  <c r="C3933" i="12"/>
  <c r="B4310" i="12"/>
  <c r="C4175" i="12"/>
  <c r="C3753" i="12"/>
  <c r="B3888" i="12"/>
  <c r="B3788" i="12"/>
  <c r="C3653" i="12"/>
  <c r="C4182" i="12"/>
  <c r="B4317" i="12"/>
  <c r="B4708" i="12"/>
  <c r="C4573" i="12"/>
  <c r="B4185" i="12"/>
  <c r="C4050" i="12"/>
  <c r="C3783" i="12"/>
  <c r="B3918" i="12"/>
  <c r="B4653" i="12"/>
  <c r="C4518" i="12"/>
  <c r="C3828" i="12"/>
  <c r="B3963" i="12"/>
  <c r="C3855" i="12"/>
  <c r="B3990" i="12"/>
  <c r="B3961" i="12"/>
  <c r="C3826" i="12"/>
  <c r="B3834" i="12"/>
  <c r="C3699" i="12"/>
  <c r="B3936" i="12"/>
  <c r="C3801" i="12"/>
  <c r="B5023" i="12"/>
  <c r="C3700" i="12"/>
  <c r="B3835" i="12"/>
  <c r="C3999" i="12"/>
  <c r="B4134" i="12"/>
  <c r="C3893" i="12"/>
  <c r="B4028" i="12"/>
  <c r="C4184" i="12"/>
  <c r="B4319" i="12"/>
  <c r="B3952" i="12"/>
  <c r="C3817" i="12"/>
  <c r="B3880" i="12"/>
  <c r="C3745" i="12"/>
  <c r="B3995" i="12"/>
  <c r="C3860" i="12"/>
  <c r="B4214" i="12"/>
  <c r="C4079" i="12"/>
  <c r="C3997" i="12"/>
  <c r="B4132" i="12"/>
  <c r="C4145" i="12"/>
  <c r="B4280" i="12"/>
  <c r="A4156" i="12"/>
  <c r="C4021" i="12"/>
  <c r="A4213" i="12"/>
  <c r="C4078" i="12"/>
  <c r="C4172" i="12"/>
  <c r="B4307" i="12"/>
  <c r="B4453" i="12"/>
  <c r="C4318" i="12"/>
  <c r="C3911" i="12"/>
  <c r="B4046" i="12"/>
  <c r="C3959" i="12"/>
  <c r="B4094" i="12"/>
  <c r="C3993" i="12"/>
  <c r="B4128" i="12"/>
  <c r="B4077" i="12"/>
  <c r="C3942" i="12"/>
  <c r="B4450" i="12"/>
  <c r="C4315" i="12"/>
  <c r="B4688" i="12"/>
  <c r="C4553" i="12"/>
  <c r="A4275" i="12"/>
  <c r="C4140" i="12"/>
  <c r="B4084" i="12"/>
  <c r="C3949" i="12"/>
  <c r="B3846" i="12"/>
  <c r="C3711" i="12"/>
  <c r="B4700" i="12"/>
  <c r="B4879" i="12"/>
  <c r="C4744" i="12"/>
  <c r="C3690" i="12"/>
  <c r="B3825" i="12"/>
  <c r="C4042" i="12"/>
  <c r="B4177" i="12"/>
  <c r="B4392" i="12"/>
  <c r="C4257" i="12"/>
  <c r="B3791" i="12"/>
  <c r="C3656" i="12"/>
  <c r="B4901" i="12"/>
  <c r="C4766" i="12"/>
  <c r="B3974" i="12"/>
  <c r="C3839" i="12"/>
  <c r="C3669" i="12"/>
  <c r="B3804" i="12"/>
  <c r="B4237" i="12"/>
  <c r="C4102" i="12"/>
  <c r="C3792" i="12"/>
  <c r="B3927" i="12"/>
  <c r="C3820" i="12"/>
  <c r="B3955" i="12"/>
  <c r="B4714" i="12"/>
  <c r="C4579" i="12"/>
  <c r="B3976" i="12"/>
  <c r="C3841" i="12"/>
  <c r="B4235" i="12"/>
  <c r="C4100" i="12"/>
  <c r="B4170" i="12"/>
  <c r="C4035" i="12"/>
  <c r="C4798" i="12"/>
  <c r="B4933" i="12"/>
  <c r="B4311" i="12"/>
  <c r="C4176" i="12"/>
  <c r="C4073" i="12"/>
  <c r="B4208" i="12"/>
  <c r="C4044" i="12"/>
  <c r="B4179" i="12"/>
  <c r="B4059" i="12"/>
  <c r="C3924" i="12"/>
  <c r="B3838" i="12"/>
  <c r="C3703" i="12"/>
  <c r="C3908" i="12"/>
  <c r="B4043" i="12"/>
  <c r="C4138" i="12"/>
  <c r="B4273" i="12"/>
  <c r="C4018" i="12"/>
  <c r="B4153" i="12"/>
  <c r="B3972" i="12"/>
  <c r="C3837" i="12"/>
  <c r="C4934" i="12"/>
  <c r="B5069" i="12"/>
  <c r="C4036" i="12"/>
  <c r="B4171" i="12"/>
  <c r="C3816" i="12"/>
  <c r="B3951" i="12"/>
  <c r="B4406" i="12"/>
  <c r="C4271" i="12"/>
  <c r="C4424" i="12"/>
  <c r="B4559" i="12"/>
  <c r="B4020" i="12"/>
  <c r="C3885" i="12"/>
  <c r="B4351" i="12"/>
  <c r="C4216" i="12"/>
  <c r="B4434" i="12"/>
  <c r="C4299" i="12"/>
  <c r="C4080" i="12"/>
  <c r="B4215" i="12"/>
  <c r="C3802" i="12"/>
  <c r="B3937" i="12"/>
  <c r="B4475" i="12"/>
  <c r="C4340" i="12"/>
  <c r="B4117" i="12"/>
  <c r="C3982" i="12"/>
  <c r="B4391" i="12"/>
  <c r="C4256" i="12"/>
  <c r="A4551" i="12"/>
  <c r="C4416" i="12"/>
  <c r="B4687" i="12"/>
  <c r="C4552" i="12"/>
  <c r="B4272" i="12"/>
  <c r="C4137" i="12"/>
  <c r="B4223" i="12"/>
  <c r="C4088" i="12"/>
  <c r="B4352" i="12"/>
  <c r="C4217" i="12"/>
  <c r="C4519" i="12"/>
  <c r="B4654" i="12"/>
  <c r="C4346" i="12"/>
  <c r="B4481" i="12"/>
  <c r="B4112" i="12"/>
  <c r="C3977" i="12"/>
  <c r="C4092" i="12"/>
  <c r="B4227" i="12"/>
  <c r="C4376" i="12"/>
  <c r="B4511" i="12"/>
  <c r="C4548" i="12"/>
  <c r="B4683" i="12"/>
  <c r="A4055" i="12"/>
  <c r="C3920" i="12"/>
  <c r="C3647" i="12"/>
  <c r="B3782" i="12"/>
  <c r="B4937" i="12"/>
  <c r="C4802" i="12"/>
  <c r="A4160" i="12"/>
  <c r="C4025" i="12"/>
  <c r="A4330" i="12"/>
  <c r="C4195" i="12"/>
  <c r="B4403" i="12"/>
  <c r="C4268" i="12"/>
  <c r="C3724" i="12"/>
  <c r="B3859" i="12"/>
  <c r="B4064" i="12"/>
  <c r="C3929" i="12"/>
  <c r="C4814" i="12"/>
  <c r="B4949" i="12"/>
  <c r="B4545" i="12"/>
  <c r="B4456" i="12"/>
  <c r="C4321" i="12"/>
  <c r="A4131" i="12"/>
  <c r="C3996" i="12"/>
  <c r="C4547" i="12"/>
  <c r="B4682" i="12"/>
  <c r="C4022" i="12"/>
  <c r="B4157" i="12"/>
  <c r="B3958" i="12"/>
  <c r="C3823" i="12"/>
  <c r="C4421" i="12"/>
  <c r="B4556" i="12"/>
  <c r="C3928" i="12"/>
  <c r="B4063" i="12"/>
  <c r="B3889" i="12"/>
  <c r="C3754" i="12"/>
  <c r="B4097" i="12"/>
  <c r="C3962" i="12"/>
  <c r="B3815" i="12"/>
  <c r="C3680" i="12"/>
  <c r="B4288" i="12" l="1"/>
  <c r="C4153" i="12"/>
  <c r="B4023" i="12"/>
  <c r="C3888" i="12"/>
  <c r="B4437" i="12"/>
  <c r="C4302" i="12"/>
  <c r="B5072" i="12"/>
  <c r="C4937" i="12"/>
  <c r="C4059" i="12"/>
  <c r="B4194" i="12"/>
  <c r="A4348" i="12"/>
  <c r="C4213" i="12"/>
  <c r="B4349" i="12"/>
  <c r="C4214" i="12"/>
  <c r="B5158" i="12"/>
  <c r="C4273" i="12"/>
  <c r="B4408" i="12"/>
  <c r="C4179" i="12"/>
  <c r="B4314" i="12"/>
  <c r="B4090" i="12"/>
  <c r="C3955" i="12"/>
  <c r="C3829" i="12"/>
  <c r="B3964" i="12"/>
  <c r="B4371" i="12"/>
  <c r="C4236" i="12"/>
  <c r="B4130" i="12"/>
  <c r="C3995" i="12"/>
  <c r="C4566" i="12"/>
  <c r="B4701" i="12"/>
  <c r="B3922" i="12"/>
  <c r="C3787" i="12"/>
  <c r="A4308" i="12"/>
  <c r="C4173" i="12"/>
  <c r="B4848" i="12"/>
  <c r="B4198" i="12"/>
  <c r="C4063" i="12"/>
  <c r="B4817" i="12"/>
  <c r="C4682" i="12"/>
  <c r="B5084" i="12"/>
  <c r="C4949" i="12"/>
  <c r="B4350" i="12"/>
  <c r="C4215" i="12"/>
  <c r="C4559" i="12"/>
  <c r="B4694" i="12"/>
  <c r="C5069" i="12"/>
  <c r="B5204" i="12"/>
  <c r="C5204" i="12" s="1"/>
  <c r="C4043" i="12"/>
  <c r="B4178" i="12"/>
  <c r="B4343" i="12"/>
  <c r="C4208" i="12"/>
  <c r="B4062" i="12"/>
  <c r="C3927" i="12"/>
  <c r="C3825" i="12"/>
  <c r="B3960" i="12"/>
  <c r="B4415" i="12"/>
  <c r="C4280" i="12"/>
  <c r="C4134" i="12"/>
  <c r="B4269" i="12"/>
  <c r="B4452" i="12"/>
  <c r="C4317" i="12"/>
  <c r="B4595" i="12"/>
  <c r="C4515" i="12"/>
  <c r="B4650" i="12"/>
  <c r="B4525" i="12"/>
  <c r="C4390" i="12"/>
  <c r="B3940" i="12"/>
  <c r="C3805" i="12"/>
  <c r="B4422" i="12"/>
  <c r="C4287" i="12"/>
  <c r="C3951" i="12"/>
  <c r="B4086" i="12"/>
  <c r="B4454" i="12"/>
  <c r="C4319" i="12"/>
  <c r="B4125" i="12"/>
  <c r="C3990" i="12"/>
  <c r="B4849" i="12"/>
  <c r="C4714" i="12"/>
  <c r="C4392" i="12"/>
  <c r="B4527" i="12"/>
  <c r="C4688" i="12"/>
  <c r="B4823" i="12"/>
  <c r="B4353" i="12"/>
  <c r="C4218" i="12"/>
  <c r="C4471" i="12"/>
  <c r="B4606" i="12"/>
  <c r="C3782" i="12"/>
  <c r="B3917" i="12"/>
  <c r="B4362" i="12"/>
  <c r="C4227" i="12"/>
  <c r="C4046" i="12"/>
  <c r="B4181" i="12"/>
  <c r="C4403" i="12"/>
  <c r="B4538" i="12"/>
  <c r="B4487" i="12"/>
  <c r="C4352" i="12"/>
  <c r="C4020" i="12"/>
  <c r="B4155" i="12"/>
  <c r="C3974" i="12"/>
  <c r="B4109" i="12"/>
  <c r="B3981" i="12"/>
  <c r="C3846" i="12"/>
  <c r="C4708" i="12"/>
  <c r="B4843" i="12"/>
  <c r="A4465" i="12"/>
  <c r="C4330" i="12"/>
  <c r="A4190" i="12"/>
  <c r="C4055" i="12"/>
  <c r="C4112" i="12"/>
  <c r="B4247" i="12"/>
  <c r="C4223" i="12"/>
  <c r="B4358" i="12"/>
  <c r="C4391" i="12"/>
  <c r="B4526" i="12"/>
  <c r="C4235" i="12"/>
  <c r="B4370" i="12"/>
  <c r="C4901" i="12"/>
  <c r="B5036" i="12"/>
  <c r="C4084" i="12"/>
  <c r="B4219" i="12"/>
  <c r="B4212" i="12"/>
  <c r="C4077" i="12"/>
  <c r="B4588" i="12"/>
  <c r="C4453" i="12"/>
  <c r="B4015" i="12"/>
  <c r="C3880" i="12"/>
  <c r="B3969" i="12"/>
  <c r="C3834" i="12"/>
  <c r="B4788" i="12"/>
  <c r="C4653" i="12"/>
  <c r="B4203" i="12"/>
  <c r="C4068" i="12"/>
  <c r="C4297" i="12"/>
  <c r="B4432" i="12"/>
  <c r="A5110" i="12"/>
  <c r="C4975" i="12"/>
  <c r="B4439" i="12"/>
  <c r="C4304" i="12"/>
  <c r="B4646" i="12"/>
  <c r="C4511" i="12"/>
  <c r="B4789" i="12"/>
  <c r="C4654" i="12"/>
  <c r="C4094" i="12"/>
  <c r="B4229" i="12"/>
  <c r="B4232" i="12"/>
  <c r="C4097" i="12"/>
  <c r="C4456" i="12"/>
  <c r="B4591" i="12"/>
  <c r="C3937" i="12"/>
  <c r="B4072" i="12"/>
  <c r="C4284" i="12"/>
  <c r="B4419" i="12"/>
  <c r="B4024" i="12"/>
  <c r="C3889" i="12"/>
  <c r="B4680" i="12"/>
  <c r="A4686" i="12"/>
  <c r="C4551" i="12"/>
  <c r="C4170" i="12"/>
  <c r="B4305" i="12"/>
  <c r="B4071" i="12"/>
  <c r="C3936" i="12"/>
  <c r="C4310" i="12"/>
  <c r="B4445" i="12"/>
  <c r="B4691" i="12"/>
  <c r="C4556" i="12"/>
  <c r="B4818" i="12"/>
  <c r="C4683" i="12"/>
  <c r="C4481" i="12"/>
  <c r="B4616" i="12"/>
  <c r="B4263" i="12"/>
  <c r="C4128" i="12"/>
  <c r="C4307" i="12"/>
  <c r="B4442" i="12"/>
  <c r="C4132" i="12"/>
  <c r="B4267" i="12"/>
  <c r="C3835" i="12"/>
  <c r="B3970" i="12"/>
  <c r="C3918" i="12"/>
  <c r="B4053" i="12"/>
  <c r="B4831" i="12"/>
  <c r="B4270" i="12"/>
  <c r="C4135" i="12"/>
  <c r="B4126" i="12"/>
  <c r="C3991" i="12"/>
  <c r="B3994" i="12"/>
  <c r="C3859" i="12"/>
  <c r="B5068" i="12"/>
  <c r="C4933" i="12"/>
  <c r="B3939" i="12"/>
  <c r="C3804" i="12"/>
  <c r="B3968" i="12"/>
  <c r="C3833" i="12"/>
  <c r="C4115" i="12"/>
  <c r="B4250" i="12"/>
  <c r="B4411" i="12"/>
  <c r="C4276" i="12"/>
  <c r="B5111" i="12"/>
  <c r="C4976" i="12"/>
  <c r="B4093" i="12"/>
  <c r="C3958" i="12"/>
  <c r="B4822" i="12"/>
  <c r="C4687" i="12"/>
  <c r="B4610" i="12"/>
  <c r="C4475" i="12"/>
  <c r="B4486" i="12"/>
  <c r="C4351" i="12"/>
  <c r="B4835" i="12"/>
  <c r="B4320" i="12"/>
  <c r="C4185" i="12"/>
  <c r="B4292" i="12"/>
  <c r="C4157" i="12"/>
  <c r="C4171" i="12"/>
  <c r="B4306" i="12"/>
  <c r="C4177" i="12"/>
  <c r="B4312" i="12"/>
  <c r="C4028" i="12"/>
  <c r="B4163" i="12"/>
  <c r="C3963" i="12"/>
  <c r="B4098" i="12"/>
  <c r="B4585" i="12"/>
  <c r="C4450" i="12"/>
  <c r="A4291" i="12"/>
  <c r="C4156" i="12"/>
  <c r="B4144" i="12"/>
  <c r="C4009" i="12"/>
  <c r="B3950" i="12"/>
  <c r="C3815" i="12"/>
  <c r="A4266" i="12"/>
  <c r="C4131" i="12"/>
  <c r="B4199" i="12"/>
  <c r="C4064" i="12"/>
  <c r="A4295" i="12"/>
  <c r="C4160" i="12"/>
  <c r="B4407" i="12"/>
  <c r="C4272" i="12"/>
  <c r="B4252" i="12"/>
  <c r="C4117" i="12"/>
  <c r="B4569" i="12"/>
  <c r="C4434" i="12"/>
  <c r="B4541" i="12"/>
  <c r="C4406" i="12"/>
  <c r="C3972" i="12"/>
  <c r="B4107" i="12"/>
  <c r="B3973" i="12"/>
  <c r="C3838" i="12"/>
  <c r="B4446" i="12"/>
  <c r="C4311" i="12"/>
  <c r="B4111" i="12"/>
  <c r="C3976" i="12"/>
  <c r="C4237" i="12"/>
  <c r="B4372" i="12"/>
  <c r="B3926" i="12"/>
  <c r="C3791" i="12"/>
  <c r="C4879" i="12"/>
  <c r="B5014" i="12"/>
  <c r="A4410" i="12"/>
  <c r="C4275" i="12"/>
  <c r="C3952" i="12"/>
  <c r="B4087" i="12"/>
  <c r="C3961" i="12"/>
  <c r="B4096" i="12"/>
  <c r="B3923" i="12"/>
  <c r="C3788" i="12"/>
  <c r="B5063" i="12"/>
  <c r="C4928" i="12"/>
  <c r="C4189" i="12"/>
  <c r="B4324" i="12"/>
  <c r="B4461" i="12"/>
  <c r="C4326" i="12"/>
  <c r="B4494" i="12"/>
  <c r="C4359" i="12"/>
  <c r="C4119" i="12"/>
  <c r="B4254" i="12"/>
  <c r="B4065" i="12"/>
  <c r="C3930" i="12"/>
  <c r="B5203" i="12" l="1"/>
  <c r="C5203" i="12" s="1"/>
  <c r="C5068" i="12"/>
  <c r="C4015" i="12"/>
  <c r="B4150" i="12"/>
  <c r="C3960" i="12"/>
  <c r="B4095" i="12"/>
  <c r="B4389" i="12"/>
  <c r="C4254" i="12"/>
  <c r="B4246" i="12"/>
  <c r="C4111" i="12"/>
  <c r="A4430" i="12"/>
  <c r="C4295" i="12"/>
  <c r="B4488" i="12"/>
  <c r="C4353" i="12"/>
  <c r="B4829" i="12"/>
  <c r="C4694" i="12"/>
  <c r="B4661" i="12"/>
  <c r="C4526" i="12"/>
  <c r="C4155" i="12"/>
  <c r="B4290" i="12"/>
  <c r="B4958" i="12"/>
  <c r="C4823" i="12"/>
  <c r="B4260" i="12"/>
  <c r="C4125" i="12"/>
  <c r="C3940" i="12"/>
  <c r="B4075" i="12"/>
  <c r="C4452" i="12"/>
  <c r="B4587" i="12"/>
  <c r="C4062" i="12"/>
  <c r="B4197" i="12"/>
  <c r="B4333" i="12"/>
  <c r="C4198" i="12"/>
  <c r="B4225" i="12"/>
  <c r="C4090" i="12"/>
  <c r="B4484" i="12"/>
  <c r="C4349" i="12"/>
  <c r="C4437" i="12"/>
  <c r="B4572" i="12"/>
  <c r="B4629" i="12"/>
  <c r="C4494" i="12"/>
  <c r="B4058" i="12"/>
  <c r="C3923" i="12"/>
  <c r="B4581" i="12"/>
  <c r="C4446" i="12"/>
  <c r="B4704" i="12"/>
  <c r="C4569" i="12"/>
  <c r="C4199" i="12"/>
  <c r="B4334" i="12"/>
  <c r="A4426" i="12"/>
  <c r="C4291" i="12"/>
  <c r="B4228" i="12"/>
  <c r="C4093" i="12"/>
  <c r="C3968" i="12"/>
  <c r="B4103" i="12"/>
  <c r="B4261" i="12"/>
  <c r="C4126" i="12"/>
  <c r="B4206" i="12"/>
  <c r="C4071" i="12"/>
  <c r="B4159" i="12"/>
  <c r="C4024" i="12"/>
  <c r="B4367" i="12"/>
  <c r="C4232" i="12"/>
  <c r="B4574" i="12"/>
  <c r="C4439" i="12"/>
  <c r="C4788" i="12"/>
  <c r="B4923" i="12"/>
  <c r="C4212" i="12"/>
  <c r="B4347" i="12"/>
  <c r="A4600" i="12"/>
  <c r="C4465" i="12"/>
  <c r="C4362" i="12"/>
  <c r="B4497" i="12"/>
  <c r="B4404" i="12"/>
  <c r="C4269" i="12"/>
  <c r="C4314" i="12"/>
  <c r="B4449" i="12"/>
  <c r="B4200" i="12"/>
  <c r="C4065" i="12"/>
  <c r="C4407" i="12"/>
  <c r="B4542" i="12"/>
  <c r="B4427" i="12"/>
  <c r="C4292" i="12"/>
  <c r="B4745" i="12"/>
  <c r="C4610" i="12"/>
  <c r="B4546" i="12"/>
  <c r="C4411" i="12"/>
  <c r="C4849" i="12"/>
  <c r="B4984" i="12"/>
  <c r="B4385" i="12"/>
  <c r="C4250" i="12"/>
  <c r="B4580" i="12"/>
  <c r="C4445" i="12"/>
  <c r="B4455" i="12"/>
  <c r="C4320" i="12"/>
  <c r="C4822" i="12"/>
  <c r="B4957" i="12"/>
  <c r="B4398" i="12"/>
  <c r="C4263" i="12"/>
  <c r="B4815" i="12"/>
  <c r="B4781" i="12"/>
  <c r="C4646" i="12"/>
  <c r="B4338" i="12"/>
  <c r="C4203" i="12"/>
  <c r="B4723" i="12"/>
  <c r="C4588" i="12"/>
  <c r="A4325" i="12"/>
  <c r="C4190" i="12"/>
  <c r="B4447" i="12"/>
  <c r="C4312" i="12"/>
  <c r="B4970" i="12"/>
  <c r="C3970" i="12"/>
  <c r="B4105" i="12"/>
  <c r="C4096" i="12"/>
  <c r="B4231" i="12"/>
  <c r="B4441" i="12"/>
  <c r="C4306" i="12"/>
  <c r="C4267" i="12"/>
  <c r="B4402" i="12"/>
  <c r="C4305" i="12"/>
  <c r="B4440" i="12"/>
  <c r="C4419" i="12"/>
  <c r="B4554" i="12"/>
  <c r="C4229" i="12"/>
  <c r="B4364" i="12"/>
  <c r="B4354" i="12"/>
  <c r="C4219" i="12"/>
  <c r="B4493" i="12"/>
  <c r="C4358" i="12"/>
  <c r="C4843" i="12"/>
  <c r="B4978" i="12"/>
  <c r="B4052" i="12"/>
  <c r="C3917" i="12"/>
  <c r="B4662" i="12"/>
  <c r="C4527" i="12"/>
  <c r="C4454" i="12"/>
  <c r="B4589" i="12"/>
  <c r="C4525" i="12"/>
  <c r="B4660" i="12"/>
  <c r="B4478" i="12"/>
  <c r="C4343" i="12"/>
  <c r="B4485" i="12"/>
  <c r="C4350" i="12"/>
  <c r="B4983" i="12"/>
  <c r="C4130" i="12"/>
  <c r="B4265" i="12"/>
  <c r="A4483" i="12"/>
  <c r="C4348" i="12"/>
  <c r="C4023" i="12"/>
  <c r="B4158" i="12"/>
  <c r="C3950" i="12"/>
  <c r="B4085" i="12"/>
  <c r="B4116" i="12"/>
  <c r="C3981" i="12"/>
  <c r="C4053" i="12"/>
  <c r="B4188" i="12"/>
  <c r="B4726" i="12"/>
  <c r="C4591" i="12"/>
  <c r="C4817" i="12"/>
  <c r="B4952" i="12"/>
  <c r="B5207" i="12"/>
  <c r="C5207" i="12" s="1"/>
  <c r="C5072" i="12"/>
  <c r="A4545" i="12"/>
  <c r="C4410" i="12"/>
  <c r="C3994" i="12"/>
  <c r="B4129" i="12"/>
  <c r="B4751" i="12"/>
  <c r="C4616" i="12"/>
  <c r="C4461" i="12"/>
  <c r="B4596" i="12"/>
  <c r="C3926" i="12"/>
  <c r="B4061" i="12"/>
  <c r="B4108" i="12"/>
  <c r="C3973" i="12"/>
  <c r="C4252" i="12"/>
  <c r="B4387" i="12"/>
  <c r="A4401" i="12"/>
  <c r="C4266" i="12"/>
  <c r="C4585" i="12"/>
  <c r="B4720" i="12"/>
  <c r="C4486" i="12"/>
  <c r="B4621" i="12"/>
  <c r="B5246" i="12"/>
  <c r="C5246" i="12" s="1"/>
  <c r="C5111" i="12"/>
  <c r="B4074" i="12"/>
  <c r="C3939" i="12"/>
  <c r="B4405" i="12"/>
  <c r="C4270" i="12"/>
  <c r="C4818" i="12"/>
  <c r="B4953" i="12"/>
  <c r="A5245" i="12"/>
  <c r="C5245" i="12" s="1"/>
  <c r="C5110" i="12"/>
  <c r="C3969" i="12"/>
  <c r="B4104" i="12"/>
  <c r="B4622" i="12"/>
  <c r="C4487" i="12"/>
  <c r="C4086" i="12"/>
  <c r="B4221" i="12"/>
  <c r="B4785" i="12"/>
  <c r="C4650" i="12"/>
  <c r="C4178" i="12"/>
  <c r="B4313" i="12"/>
  <c r="B4543" i="12"/>
  <c r="C4408" i="12"/>
  <c r="B4329" i="12"/>
  <c r="C4194" i="12"/>
  <c r="C4691" i="12"/>
  <c r="B4826" i="12"/>
  <c r="A4821" i="12"/>
  <c r="C4686" i="12"/>
  <c r="B4924" i="12"/>
  <c r="C4789" i="12"/>
  <c r="B4099" i="12"/>
  <c r="C3964" i="12"/>
  <c r="C4163" i="12"/>
  <c r="B4298" i="12"/>
  <c r="C4370" i="12"/>
  <c r="B4505" i="12"/>
  <c r="B4244" i="12"/>
  <c r="C4109" i="12"/>
  <c r="B4316" i="12"/>
  <c r="C4181" i="12"/>
  <c r="C4422" i="12"/>
  <c r="B4557" i="12"/>
  <c r="B4730" i="12"/>
  <c r="B4057" i="12"/>
  <c r="C3922" i="12"/>
  <c r="C5063" i="12"/>
  <c r="B5198" i="12"/>
  <c r="C5198" i="12" s="1"/>
  <c r="C4541" i="12"/>
  <c r="B4676" i="12"/>
  <c r="B4279" i="12"/>
  <c r="C4144" i="12"/>
  <c r="C4701" i="12"/>
  <c r="B4836" i="12"/>
  <c r="C5014" i="12"/>
  <c r="B5149" i="12"/>
  <c r="C5149" i="12" s="1"/>
  <c r="B4459" i="12"/>
  <c r="C4324" i="12"/>
  <c r="C4087" i="12"/>
  <c r="B4222" i="12"/>
  <c r="B4507" i="12"/>
  <c r="C4372" i="12"/>
  <c r="B4242" i="12"/>
  <c r="C4107" i="12"/>
  <c r="B4233" i="12"/>
  <c r="C4098" i="12"/>
  <c r="B4966" i="12"/>
  <c r="C4442" i="12"/>
  <c r="B4577" i="12"/>
  <c r="B4207" i="12"/>
  <c r="C4072" i="12"/>
  <c r="C4432" i="12"/>
  <c r="B4567" i="12"/>
  <c r="B5171" i="12"/>
  <c r="C5171" i="12" s="1"/>
  <c r="C5036" i="12"/>
  <c r="C4247" i="12"/>
  <c r="B4382" i="12"/>
  <c r="B4673" i="12"/>
  <c r="C4538" i="12"/>
  <c r="B4741" i="12"/>
  <c r="C4606" i="12"/>
  <c r="B4550" i="12"/>
  <c r="C4415" i="12"/>
  <c r="C5084" i="12"/>
  <c r="B5219" i="12"/>
  <c r="C5219" i="12" s="1"/>
  <c r="A4443" i="12"/>
  <c r="C4308" i="12"/>
  <c r="B4506" i="12"/>
  <c r="C4371" i="12"/>
  <c r="B4423" i="12"/>
  <c r="C4288" i="12"/>
  <c r="C4316" i="12" l="1"/>
  <c r="B4451" i="12"/>
  <c r="C4382" i="12"/>
  <c r="B4517" i="12"/>
  <c r="B4712" i="12"/>
  <c r="C4577" i="12"/>
  <c r="B4971" i="12"/>
  <c r="C4836" i="12"/>
  <c r="B4323" i="12"/>
  <c r="C4188" i="12"/>
  <c r="B4797" i="12"/>
  <c r="C4662" i="12"/>
  <c r="B4468" i="12"/>
  <c r="C4333" i="12"/>
  <c r="B5059" i="12"/>
  <c r="C4924" i="12"/>
  <c r="B4678" i="12"/>
  <c r="C4543" i="12"/>
  <c r="B4540" i="12"/>
  <c r="C4405" i="12"/>
  <c r="B5101" i="12"/>
  <c r="C4596" i="12"/>
  <c r="B4731" i="12"/>
  <c r="C4447" i="12"/>
  <c r="B4582" i="12"/>
  <c r="B4590" i="12"/>
  <c r="C4455" i="12"/>
  <c r="C4546" i="12"/>
  <c r="B4681" i="12"/>
  <c r="A4735" i="12"/>
  <c r="C4600" i="12"/>
  <c r="C4367" i="12"/>
  <c r="B4502" i="12"/>
  <c r="C4958" i="12"/>
  <c r="B5093" i="12"/>
  <c r="B4623" i="12"/>
  <c r="C4488" i="12"/>
  <c r="C4423" i="12"/>
  <c r="B4558" i="12"/>
  <c r="B4685" i="12"/>
  <c r="C4550" i="12"/>
  <c r="B4414" i="12"/>
  <c r="C4279" i="12"/>
  <c r="B4865" i="12"/>
  <c r="A4956" i="12"/>
  <c r="C4821" i="12"/>
  <c r="C4074" i="12"/>
  <c r="B4209" i="12"/>
  <c r="A4536" i="12"/>
  <c r="C4401" i="12"/>
  <c r="B4400" i="12"/>
  <c r="C4265" i="12"/>
  <c r="B4795" i="12"/>
  <c r="C4660" i="12"/>
  <c r="C4978" i="12"/>
  <c r="B5113" i="12"/>
  <c r="B4689" i="12"/>
  <c r="C4554" i="12"/>
  <c r="B4366" i="12"/>
  <c r="C4231" i="12"/>
  <c r="C4449" i="12"/>
  <c r="B4584" i="12"/>
  <c r="C4347" i="12"/>
  <c r="B4482" i="12"/>
  <c r="C4587" i="12"/>
  <c r="B4722" i="12"/>
  <c r="B4425" i="12"/>
  <c r="C4290" i="12"/>
  <c r="C4150" i="12"/>
  <c r="B4285" i="12"/>
  <c r="C4673" i="12"/>
  <c r="B4808" i="12"/>
  <c r="C4334" i="12"/>
  <c r="B4469" i="12"/>
  <c r="B4620" i="12"/>
  <c r="C4485" i="12"/>
  <c r="C4354" i="12"/>
  <c r="B4489" i="12"/>
  <c r="B5105" i="12"/>
  <c r="C4338" i="12"/>
  <c r="B4473" i="12"/>
  <c r="C4574" i="12"/>
  <c r="B4709" i="12"/>
  <c r="C4629" i="12"/>
  <c r="B4764" i="12"/>
  <c r="B4524" i="12"/>
  <c r="C4389" i="12"/>
  <c r="A4680" i="12"/>
  <c r="C4545" i="12"/>
  <c r="B4499" i="12"/>
  <c r="C4364" i="12"/>
  <c r="C4505" i="12"/>
  <c r="B4640" i="12"/>
  <c r="C4313" i="12"/>
  <c r="B4448" i="12"/>
  <c r="B4239" i="12"/>
  <c r="C4104" i="12"/>
  <c r="A4618" i="12"/>
  <c r="C4483" i="12"/>
  <c r="B4613" i="12"/>
  <c r="C4478" i="12"/>
  <c r="B4187" i="12"/>
  <c r="C4052" i="12"/>
  <c r="C4441" i="12"/>
  <c r="B4576" i="12"/>
  <c r="B4916" i="12"/>
  <c r="C4781" i="12"/>
  <c r="C4200" i="12"/>
  <c r="B4335" i="12"/>
  <c r="C4704" i="12"/>
  <c r="B4839" i="12"/>
  <c r="B4702" i="12"/>
  <c r="C4567" i="12"/>
  <c r="B4811" i="12"/>
  <c r="C4676" i="12"/>
  <c r="C4557" i="12"/>
  <c r="B4692" i="12"/>
  <c r="B4433" i="12"/>
  <c r="C4298" i="12"/>
  <c r="C4826" i="12"/>
  <c r="B4961" i="12"/>
  <c r="B4522" i="12"/>
  <c r="C4387" i="12"/>
  <c r="C4952" i="12"/>
  <c r="B5087" i="12"/>
  <c r="B4251" i="12"/>
  <c r="C4116" i="12"/>
  <c r="A4460" i="12"/>
  <c r="C4325" i="12"/>
  <c r="B4950" i="12"/>
  <c r="C4580" i="12"/>
  <c r="B4715" i="12"/>
  <c r="B4880" i="12"/>
  <c r="C4745" i="12"/>
  <c r="B4294" i="12"/>
  <c r="C4159" i="12"/>
  <c r="B4363" i="12"/>
  <c r="C4228" i="12"/>
  <c r="C4581" i="12"/>
  <c r="B4716" i="12"/>
  <c r="B4619" i="12"/>
  <c r="C4484" i="12"/>
  <c r="A4565" i="12"/>
  <c r="C4430" i="12"/>
  <c r="A4578" i="12"/>
  <c r="C4443" i="12"/>
  <c r="C4207" i="12"/>
  <c r="B4342" i="12"/>
  <c r="B4377" i="12"/>
  <c r="C4242" i="12"/>
  <c r="C4108" i="12"/>
  <c r="B4243" i="12"/>
  <c r="C4402" i="12"/>
  <c r="B4537" i="12"/>
  <c r="B5092" i="12"/>
  <c r="C4957" i="12"/>
  <c r="B4855" i="12"/>
  <c r="C4720" i="12"/>
  <c r="B4396" i="12"/>
  <c r="C4261" i="12"/>
  <c r="C4260" i="12"/>
  <c r="B4395" i="12"/>
  <c r="C4507" i="12"/>
  <c r="B4642" i="12"/>
  <c r="B4192" i="12"/>
  <c r="C4057" i="12"/>
  <c r="C4622" i="12"/>
  <c r="B4757" i="12"/>
  <c r="B4238" i="12"/>
  <c r="C4103" i="12"/>
  <c r="C4197" i="12"/>
  <c r="B4332" i="12"/>
  <c r="C4222" i="12"/>
  <c r="B4357" i="12"/>
  <c r="B4641" i="12"/>
  <c r="C4506" i="12"/>
  <c r="B4876" i="12"/>
  <c r="C4741" i="12"/>
  <c r="B4368" i="12"/>
  <c r="C4233" i="12"/>
  <c r="B4594" i="12"/>
  <c r="C4459" i="12"/>
  <c r="C4785" i="12"/>
  <c r="B4920" i="12"/>
  <c r="B4886" i="12"/>
  <c r="C4751" i="12"/>
  <c r="C4085" i="12"/>
  <c r="B4220" i="12"/>
  <c r="B4724" i="12"/>
  <c r="C4589" i="12"/>
  <c r="B4575" i="12"/>
  <c r="C4440" i="12"/>
  <c r="B4240" i="12"/>
  <c r="C4105" i="12"/>
  <c r="B5058" i="12"/>
  <c r="C4923" i="12"/>
  <c r="B4210" i="12"/>
  <c r="C4075" i="12"/>
  <c r="B4234" i="12"/>
  <c r="C4099" i="12"/>
  <c r="C4329" i="12"/>
  <c r="B4464" i="12"/>
  <c r="C4726" i="12"/>
  <c r="B4861" i="12"/>
  <c r="B4293" i="12"/>
  <c r="C4158" i="12"/>
  <c r="C4984" i="12"/>
  <c r="B5119" i="12"/>
  <c r="C4542" i="12"/>
  <c r="B4677" i="12"/>
  <c r="B4632" i="12"/>
  <c r="C4497" i="12"/>
  <c r="B4196" i="12"/>
  <c r="C4061" i="12"/>
  <c r="C4829" i="12"/>
  <c r="B4964" i="12"/>
  <c r="B4379" i="12"/>
  <c r="C4244" i="12"/>
  <c r="C4572" i="12"/>
  <c r="B4707" i="12"/>
  <c r="B4230" i="12"/>
  <c r="C4095" i="12"/>
  <c r="B4356" i="12"/>
  <c r="C4221" i="12"/>
  <c r="C4953" i="12"/>
  <c r="B5088" i="12"/>
  <c r="B4756" i="12"/>
  <c r="C4621" i="12"/>
  <c r="C4129" i="12"/>
  <c r="B4264" i="12"/>
  <c r="B5118" i="12"/>
  <c r="C4493" i="12"/>
  <c r="B4628" i="12"/>
  <c r="C4723" i="12"/>
  <c r="B4858" i="12"/>
  <c r="C4398" i="12"/>
  <c r="B4533" i="12"/>
  <c r="B4520" i="12"/>
  <c r="C4385" i="12"/>
  <c r="C4427" i="12"/>
  <c r="B4562" i="12"/>
  <c r="B4539" i="12"/>
  <c r="C4404" i="12"/>
  <c r="B4341" i="12"/>
  <c r="C4206" i="12"/>
  <c r="A4561" i="12"/>
  <c r="C4426" i="12"/>
  <c r="B4193" i="12"/>
  <c r="C4058" i="12"/>
  <c r="B4360" i="12"/>
  <c r="C4225" i="12"/>
  <c r="B4796" i="12"/>
  <c r="C4661" i="12"/>
  <c r="B4381" i="12"/>
  <c r="C4246" i="12"/>
  <c r="C4707" i="12" l="1"/>
  <c r="B4842" i="12"/>
  <c r="B4777" i="12"/>
  <c r="C4642" i="12"/>
  <c r="B4477" i="12"/>
  <c r="C4342" i="12"/>
  <c r="C4716" i="12"/>
  <c r="B4851" i="12"/>
  <c r="B4850" i="12"/>
  <c r="C4715" i="12"/>
  <c r="B5222" i="12"/>
  <c r="C5222" i="12" s="1"/>
  <c r="C5087" i="12"/>
  <c r="C4335" i="12"/>
  <c r="B4470" i="12"/>
  <c r="B4775" i="12"/>
  <c r="C4640" i="12"/>
  <c r="C4489" i="12"/>
  <c r="B4624" i="12"/>
  <c r="C4285" i="12"/>
  <c r="B4420" i="12"/>
  <c r="C4368" i="12"/>
  <c r="B4503" i="12"/>
  <c r="A4870" i="12"/>
  <c r="C4735" i="12"/>
  <c r="B4763" i="12"/>
  <c r="C4628" i="12"/>
  <c r="B4560" i="12"/>
  <c r="C4425" i="12"/>
  <c r="C4400" i="12"/>
  <c r="B4535" i="12"/>
  <c r="B4847" i="12"/>
  <c r="C4712" i="12"/>
  <c r="C4964" i="12"/>
  <c r="B5099" i="12"/>
  <c r="B5254" i="12"/>
  <c r="C5254" i="12" s="1"/>
  <c r="C5119" i="12"/>
  <c r="B5055" i="12"/>
  <c r="C4920" i="12"/>
  <c r="B4892" i="12"/>
  <c r="C4757" i="12"/>
  <c r="B4378" i="12"/>
  <c r="C4243" i="12"/>
  <c r="B5096" i="12"/>
  <c r="C4961" i="12"/>
  <c r="B4711" i="12"/>
  <c r="C4576" i="12"/>
  <c r="B4608" i="12"/>
  <c r="C4473" i="12"/>
  <c r="C4469" i="12"/>
  <c r="B4604" i="12"/>
  <c r="B4857" i="12"/>
  <c r="C4722" i="12"/>
  <c r="C5093" i="12"/>
  <c r="B5228" i="12"/>
  <c r="C5228" i="12" s="1"/>
  <c r="B4652" i="12"/>
  <c r="C4517" i="12"/>
  <c r="B4899" i="12"/>
  <c r="C4764" i="12"/>
  <c r="B4719" i="12"/>
  <c r="C4584" i="12"/>
  <c r="B5227" i="12"/>
  <c r="C5227" i="12" s="1"/>
  <c r="C5092" i="12"/>
  <c r="B4748" i="12"/>
  <c r="C4613" i="12"/>
  <c r="B4697" i="12"/>
  <c r="C4562" i="12"/>
  <c r="B5223" i="12"/>
  <c r="C5223" i="12" s="1"/>
  <c r="C5088" i="12"/>
  <c r="C4677" i="12"/>
  <c r="B4812" i="12"/>
  <c r="C4537" i="12"/>
  <c r="B4672" i="12"/>
  <c r="C4193" i="12"/>
  <c r="B4328" i="12"/>
  <c r="B4375" i="12"/>
  <c r="C4240" i="12"/>
  <c r="C4886" i="12"/>
  <c r="B5021" i="12"/>
  <c r="B5011" i="12"/>
  <c r="C4876" i="12"/>
  <c r="B4373" i="12"/>
  <c r="C4238" i="12"/>
  <c r="A4713" i="12"/>
  <c r="C4578" i="12"/>
  <c r="B5085" i="12"/>
  <c r="C4916" i="12"/>
  <c r="B5051" i="12"/>
  <c r="A4753" i="12"/>
  <c r="C4618" i="12"/>
  <c r="B4755" i="12"/>
  <c r="C4620" i="12"/>
  <c r="B4501" i="12"/>
  <c r="C4366" i="12"/>
  <c r="B4603" i="12"/>
  <c r="C4468" i="12"/>
  <c r="B4516" i="12"/>
  <c r="C4381" i="12"/>
  <c r="A4696" i="12"/>
  <c r="C4561" i="12"/>
  <c r="C4520" i="12"/>
  <c r="B4655" i="12"/>
  <c r="B5253" i="12"/>
  <c r="B4491" i="12"/>
  <c r="C4356" i="12"/>
  <c r="B4369" i="12"/>
  <c r="C4234" i="12"/>
  <c r="C4575" i="12"/>
  <c r="B4710" i="12"/>
  <c r="B4776" i="12"/>
  <c r="C4641" i="12"/>
  <c r="C4396" i="12"/>
  <c r="B4531" i="12"/>
  <c r="A4700" i="12"/>
  <c r="C4565" i="12"/>
  <c r="B4429" i="12"/>
  <c r="C4294" i="12"/>
  <c r="A4595" i="12"/>
  <c r="C4460" i="12"/>
  <c r="B4837" i="12"/>
  <c r="C4702" i="12"/>
  <c r="C4239" i="12"/>
  <c r="B4374" i="12"/>
  <c r="A4815" i="12"/>
  <c r="C4680" i="12"/>
  <c r="B4824" i="12"/>
  <c r="C4689" i="12"/>
  <c r="A4671" i="12"/>
  <c r="C4536" i="12"/>
  <c r="B4549" i="12"/>
  <c r="C4414" i="12"/>
  <c r="B4725" i="12"/>
  <c r="C4590" i="12"/>
  <c r="B4675" i="12"/>
  <c r="C4540" i="12"/>
  <c r="B4932" i="12"/>
  <c r="C4797" i="12"/>
  <c r="B4996" i="12"/>
  <c r="C4861" i="12"/>
  <c r="B4355" i="12"/>
  <c r="C4220" i="12"/>
  <c r="B4467" i="12"/>
  <c r="C4332" i="12"/>
  <c r="B4827" i="12"/>
  <c r="C4692" i="12"/>
  <c r="B4693" i="12"/>
  <c r="C4558" i="12"/>
  <c r="B4866" i="12"/>
  <c r="C4731" i="12"/>
  <c r="C4360" i="12"/>
  <c r="B4495" i="12"/>
  <c r="B4674" i="12"/>
  <c r="C4539" i="12"/>
  <c r="B4891" i="12"/>
  <c r="C4756" i="12"/>
  <c r="B4930" i="12"/>
  <c r="C4795" i="12"/>
  <c r="A5091" i="12"/>
  <c r="C4956" i="12"/>
  <c r="C5059" i="12"/>
  <c r="B5194" i="12"/>
  <c r="C5194" i="12" s="1"/>
  <c r="B4657" i="12"/>
  <c r="C4522" i="12"/>
  <c r="C4623" i="12"/>
  <c r="B4758" i="12"/>
  <c r="C4533" i="12"/>
  <c r="B4668" i="12"/>
  <c r="C4264" i="12"/>
  <c r="B4399" i="12"/>
  <c r="B4492" i="12"/>
  <c r="C4357" i="12"/>
  <c r="B4974" i="12"/>
  <c r="C4839" i="12"/>
  <c r="C4448" i="12"/>
  <c r="B4583" i="12"/>
  <c r="B5240" i="12"/>
  <c r="C4808" i="12"/>
  <c r="B4943" i="12"/>
  <c r="C4482" i="12"/>
  <c r="B4617" i="12"/>
  <c r="B5248" i="12"/>
  <c r="C5248" i="12" s="1"/>
  <c r="C5113" i="12"/>
  <c r="C4209" i="12"/>
  <c r="B4344" i="12"/>
  <c r="C4502" i="12"/>
  <c r="B4637" i="12"/>
  <c r="B4717" i="12"/>
  <c r="C4582" i="12"/>
  <c r="C4451" i="12"/>
  <c r="B4586" i="12"/>
  <c r="C4858" i="12"/>
  <c r="B4993" i="12"/>
  <c r="B4767" i="12"/>
  <c r="C4632" i="12"/>
  <c r="C5058" i="12"/>
  <c r="B5193" i="12"/>
  <c r="C5193" i="12" s="1"/>
  <c r="C4971" i="12"/>
  <c r="B5106" i="12"/>
  <c r="C4464" i="12"/>
  <c r="B4599" i="12"/>
  <c r="C4395" i="12"/>
  <c r="B4530" i="12"/>
  <c r="B4844" i="12"/>
  <c r="C4709" i="12"/>
  <c r="B5000" i="12"/>
  <c r="C4681" i="12"/>
  <c r="B4816" i="12"/>
  <c r="B4514" i="12"/>
  <c r="C4379" i="12"/>
  <c r="C4363" i="12"/>
  <c r="B4498" i="12"/>
  <c r="B4946" i="12"/>
  <c r="C4811" i="12"/>
  <c r="C4499" i="12"/>
  <c r="B4634" i="12"/>
  <c r="B5236" i="12"/>
  <c r="C4796" i="12"/>
  <c r="B4931" i="12"/>
  <c r="B4476" i="12"/>
  <c r="C4341" i="12"/>
  <c r="B4365" i="12"/>
  <c r="C4230" i="12"/>
  <c r="C4196" i="12"/>
  <c r="B4331" i="12"/>
  <c r="C4293" i="12"/>
  <c r="B4428" i="12"/>
  <c r="B4345" i="12"/>
  <c r="C4210" i="12"/>
  <c r="C4724" i="12"/>
  <c r="B4859" i="12"/>
  <c r="C4594" i="12"/>
  <c r="B4729" i="12"/>
  <c r="B4327" i="12"/>
  <c r="C4192" i="12"/>
  <c r="B4990" i="12"/>
  <c r="C4855" i="12"/>
  <c r="B4512" i="12"/>
  <c r="C4377" i="12"/>
  <c r="B4754" i="12"/>
  <c r="C4619" i="12"/>
  <c r="B5015" i="12"/>
  <c r="C4880" i="12"/>
  <c r="C4251" i="12"/>
  <c r="B4386" i="12"/>
  <c r="B4568" i="12"/>
  <c r="C4433" i="12"/>
  <c r="C4187" i="12"/>
  <c r="B4322" i="12"/>
  <c r="B4659" i="12"/>
  <c r="C4524" i="12"/>
  <c r="B4820" i="12"/>
  <c r="C4685" i="12"/>
  <c r="B4813" i="12"/>
  <c r="C4678" i="12"/>
  <c r="C4323" i="12"/>
  <c r="B4458" i="12"/>
  <c r="B5135" i="12" l="1"/>
  <c r="C5106" i="12"/>
  <c r="B5241" i="12"/>
  <c r="C5241" i="12" s="1"/>
  <c r="B4718" i="12"/>
  <c r="C4583" i="12"/>
  <c r="C4668" i="12"/>
  <c r="B4803" i="12"/>
  <c r="C5051" i="12"/>
  <c r="B5186" i="12"/>
  <c r="C5186" i="12" s="1"/>
  <c r="B5125" i="12"/>
  <c r="C4990" i="12"/>
  <c r="B4959" i="12"/>
  <c r="C4824" i="12"/>
  <c r="B4790" i="12"/>
  <c r="C4655" i="12"/>
  <c r="C5021" i="12"/>
  <c r="B5156" i="12"/>
  <c r="C5156" i="12" s="1"/>
  <c r="B4947" i="12"/>
  <c r="C4812" i="12"/>
  <c r="B4605" i="12"/>
  <c r="C4470" i="12"/>
  <c r="B4979" i="12"/>
  <c r="C4844" i="12"/>
  <c r="C4717" i="12"/>
  <c r="B4852" i="12"/>
  <c r="C4711" i="12"/>
  <c r="B4846" i="12"/>
  <c r="B5190" i="12"/>
  <c r="C5190" i="12" s="1"/>
  <c r="C5055" i="12"/>
  <c r="B4612" i="12"/>
  <c r="C4477" i="12"/>
  <c r="C4458" i="12"/>
  <c r="B4593" i="12"/>
  <c r="C4322" i="12"/>
  <c r="B4457" i="12"/>
  <c r="B4864" i="12"/>
  <c r="C4729" i="12"/>
  <c r="C4331" i="12"/>
  <c r="B4466" i="12"/>
  <c r="B4665" i="12"/>
  <c r="C4530" i="12"/>
  <c r="C4637" i="12"/>
  <c r="B4772" i="12"/>
  <c r="C4943" i="12"/>
  <c r="B5078" i="12"/>
  <c r="B4509" i="12"/>
  <c r="C4374" i="12"/>
  <c r="C4420" i="12"/>
  <c r="B4555" i="12"/>
  <c r="B4521" i="12"/>
  <c r="C4386" i="12"/>
  <c r="C4586" i="12"/>
  <c r="B4721" i="12"/>
  <c r="B4955" i="12"/>
  <c r="C4820" i="12"/>
  <c r="B4883" i="12"/>
  <c r="C4748" i="12"/>
  <c r="B5027" i="12"/>
  <c r="C4892" i="12"/>
  <c r="C4775" i="12"/>
  <c r="B4910" i="12"/>
  <c r="C4428" i="12"/>
  <c r="B4563" i="12"/>
  <c r="C4498" i="12"/>
  <c r="B4633" i="12"/>
  <c r="C4758" i="12"/>
  <c r="B4893" i="12"/>
  <c r="C4710" i="12"/>
  <c r="B4845" i="12"/>
  <c r="B4670" i="12"/>
  <c r="C4535" i="12"/>
  <c r="B5150" i="12"/>
  <c r="C5150" i="12" s="1"/>
  <c r="C5015" i="12"/>
  <c r="C4327" i="12"/>
  <c r="B4462" i="12"/>
  <c r="B5109" i="12"/>
  <c r="C4974" i="12"/>
  <c r="B5220" i="12"/>
  <c r="C4754" i="12"/>
  <c r="B4889" i="12"/>
  <c r="C4514" i="12"/>
  <c r="B4649" i="12"/>
  <c r="B4902" i="12"/>
  <c r="C4767" i="12"/>
  <c r="B4627" i="12"/>
  <c r="C4492" i="12"/>
  <c r="B4792" i="12"/>
  <c r="C4657" i="12"/>
  <c r="C4891" i="12"/>
  <c r="B5026" i="12"/>
  <c r="B4828" i="12"/>
  <c r="C4693" i="12"/>
  <c r="C4996" i="12"/>
  <c r="B5131" i="12"/>
  <c r="C4549" i="12"/>
  <c r="B4684" i="12"/>
  <c r="A4835" i="12"/>
  <c r="C4700" i="12"/>
  <c r="B4504" i="12"/>
  <c r="C4369" i="12"/>
  <c r="A4831" i="12"/>
  <c r="C4696" i="12"/>
  <c r="C4755" i="12"/>
  <c r="B4890" i="12"/>
  <c r="A4848" i="12"/>
  <c r="C4713" i="12"/>
  <c r="B4510" i="12"/>
  <c r="C4375" i="12"/>
  <c r="B4854" i="12"/>
  <c r="C4719" i="12"/>
  <c r="C4857" i="12"/>
  <c r="B4992" i="12"/>
  <c r="C5096" i="12"/>
  <c r="B5231" i="12"/>
  <c r="C5231" i="12" s="1"/>
  <c r="C4560" i="12"/>
  <c r="B4695" i="12"/>
  <c r="B4912" i="12"/>
  <c r="C4777" i="12"/>
  <c r="C4495" i="12"/>
  <c r="B4630" i="12"/>
  <c r="C4345" i="12"/>
  <c r="B4480" i="12"/>
  <c r="C4476" i="12"/>
  <c r="B4611" i="12"/>
  <c r="C4946" i="12"/>
  <c r="B5081" i="12"/>
  <c r="A5226" i="12"/>
  <c r="C5226" i="12" s="1"/>
  <c r="C5091" i="12"/>
  <c r="B4602" i="12"/>
  <c r="C4467" i="12"/>
  <c r="B4810" i="12"/>
  <c r="C4675" i="12"/>
  <c r="A4730" i="12"/>
  <c r="C4595" i="12"/>
  <c r="C4776" i="12"/>
  <c r="B4911" i="12"/>
  <c r="B4738" i="12"/>
  <c r="C4603" i="12"/>
  <c r="B5146" i="12"/>
  <c r="C5146" i="12" s="1"/>
  <c r="C5011" i="12"/>
  <c r="B4787" i="12"/>
  <c r="C4652" i="12"/>
  <c r="C4847" i="12"/>
  <c r="B4982" i="12"/>
  <c r="C4930" i="12"/>
  <c r="B5065" i="12"/>
  <c r="C4866" i="12"/>
  <c r="B5001" i="12"/>
  <c r="C4725" i="12"/>
  <c r="B4860" i="12"/>
  <c r="A4950" i="12"/>
  <c r="C4815" i="12"/>
  <c r="B4564" i="12"/>
  <c r="C4429" i="12"/>
  <c r="B4636" i="12"/>
  <c r="C4501" i="12"/>
  <c r="B4994" i="12"/>
  <c r="C4859" i="12"/>
  <c r="B4769" i="12"/>
  <c r="C4634" i="12"/>
  <c r="C4816" i="12"/>
  <c r="B4951" i="12"/>
  <c r="C4599" i="12"/>
  <c r="B4734" i="12"/>
  <c r="C4993" i="12"/>
  <c r="B5128" i="12"/>
  <c r="B4479" i="12"/>
  <c r="C4344" i="12"/>
  <c r="C4399" i="12"/>
  <c r="B4534" i="12"/>
  <c r="B4666" i="12"/>
  <c r="C4531" i="12"/>
  <c r="B4463" i="12"/>
  <c r="C4328" i="12"/>
  <c r="B4739" i="12"/>
  <c r="C4604" i="12"/>
  <c r="B5234" i="12"/>
  <c r="C5234" i="12" s="1"/>
  <c r="C5099" i="12"/>
  <c r="B4759" i="12"/>
  <c r="C4624" i="12"/>
  <c r="C4842" i="12"/>
  <c r="B4977" i="12"/>
  <c r="B4807" i="12"/>
  <c r="C4672" i="12"/>
  <c r="B4986" i="12"/>
  <c r="C4851" i="12"/>
  <c r="C4608" i="12"/>
  <c r="B4743" i="12"/>
  <c r="A5005" i="12"/>
  <c r="C4870" i="12"/>
  <c r="B5066" i="12"/>
  <c r="C4931" i="12"/>
  <c r="C4617" i="12"/>
  <c r="B4752" i="12"/>
  <c r="C4503" i="12"/>
  <c r="B4638" i="12"/>
  <c r="C4659" i="12"/>
  <c r="B4794" i="12"/>
  <c r="C4355" i="12"/>
  <c r="B4490" i="12"/>
  <c r="B4948" i="12"/>
  <c r="C4813" i="12"/>
  <c r="C4568" i="12"/>
  <c r="B4703" i="12"/>
  <c r="C4512" i="12"/>
  <c r="B4647" i="12"/>
  <c r="C4365" i="12"/>
  <c r="B4500" i="12"/>
  <c r="C4674" i="12"/>
  <c r="B4809" i="12"/>
  <c r="B4962" i="12"/>
  <c r="C4827" i="12"/>
  <c r="B5067" i="12"/>
  <c r="C4932" i="12"/>
  <c r="A4806" i="12"/>
  <c r="C4671" i="12"/>
  <c r="B4972" i="12"/>
  <c r="C4837" i="12"/>
  <c r="B4626" i="12"/>
  <c r="C4491" i="12"/>
  <c r="B4651" i="12"/>
  <c r="C4516" i="12"/>
  <c r="A4888" i="12"/>
  <c r="C4753" i="12"/>
  <c r="B4508" i="12"/>
  <c r="C4373" i="12"/>
  <c r="B4832" i="12"/>
  <c r="C4697" i="12"/>
  <c r="B5034" i="12"/>
  <c r="C4899" i="12"/>
  <c r="C4378" i="12"/>
  <c r="B4513" i="12"/>
  <c r="C4763" i="12"/>
  <c r="B4898" i="12"/>
  <c r="C4850" i="12"/>
  <c r="B4985" i="12"/>
  <c r="C4832" i="12" l="1"/>
  <c r="B4967" i="12"/>
  <c r="B4869" i="12"/>
  <c r="C4734" i="12"/>
  <c r="B4698" i="12"/>
  <c r="C4563" i="12"/>
  <c r="B4601" i="12"/>
  <c r="C4466" i="12"/>
  <c r="B4938" i="12"/>
  <c r="C4803" i="12"/>
  <c r="C4898" i="12"/>
  <c r="B5033" i="12"/>
  <c r="B4944" i="12"/>
  <c r="C4809" i="12"/>
  <c r="B4887" i="12"/>
  <c r="C4752" i="12"/>
  <c r="C4534" i="12"/>
  <c r="B4669" i="12"/>
  <c r="B4771" i="12"/>
  <c r="C4636" i="12"/>
  <c r="B4945" i="12"/>
  <c r="C4810" i="12"/>
  <c r="B4830" i="12"/>
  <c r="C4695" i="12"/>
  <c r="B4805" i="12"/>
  <c r="C4670" i="12"/>
  <c r="B5090" i="12"/>
  <c r="C4955" i="12"/>
  <c r="B4644" i="12"/>
  <c r="C4509" i="12"/>
  <c r="B4747" i="12"/>
  <c r="C4612" i="12"/>
  <c r="C4979" i="12"/>
  <c r="B5114" i="12"/>
  <c r="B4925" i="12"/>
  <c r="C4790" i="12"/>
  <c r="B4643" i="12"/>
  <c r="C4508" i="12"/>
  <c r="B5107" i="12"/>
  <c r="C4972" i="12"/>
  <c r="B5083" i="12"/>
  <c r="C4948" i="12"/>
  <c r="B5121" i="12"/>
  <c r="C4986" i="12"/>
  <c r="C4951" i="12"/>
  <c r="B5086" i="12"/>
  <c r="B5200" i="12"/>
  <c r="C5200" i="12" s="1"/>
  <c r="C5065" i="12"/>
  <c r="C4480" i="12"/>
  <c r="B4615" i="12"/>
  <c r="B4645" i="12"/>
  <c r="C4510" i="12"/>
  <c r="B4639" i="12"/>
  <c r="C4504" i="12"/>
  <c r="B4963" i="12"/>
  <c r="C4828" i="12"/>
  <c r="B5037" i="12"/>
  <c r="C4902" i="12"/>
  <c r="C4845" i="12"/>
  <c r="B4980" i="12"/>
  <c r="C4910" i="12"/>
  <c r="B5045" i="12"/>
  <c r="C4721" i="12"/>
  <c r="B4856" i="12"/>
  <c r="B5213" i="12"/>
  <c r="C5213" i="12" s="1"/>
  <c r="C5078" i="12"/>
  <c r="B4894" i="12"/>
  <c r="C4759" i="12"/>
  <c r="B4873" i="12"/>
  <c r="C4738" i="12"/>
  <c r="B4737" i="12"/>
  <c r="C4602" i="12"/>
  <c r="C4959" i="12"/>
  <c r="B5094" i="12"/>
  <c r="A5023" i="12"/>
  <c r="C4888" i="12"/>
  <c r="A4941" i="12"/>
  <c r="C4806" i="12"/>
  <c r="B5201" i="12"/>
  <c r="C5201" i="12" s="1"/>
  <c r="C5066" i="12"/>
  <c r="B4874" i="12"/>
  <c r="C4739" i="12"/>
  <c r="B5117" i="12"/>
  <c r="C4982" i="12"/>
  <c r="B4597" i="12"/>
  <c r="C4462" i="12"/>
  <c r="C4772" i="12"/>
  <c r="B4907" i="12"/>
  <c r="C4457" i="12"/>
  <c r="B4592" i="12"/>
  <c r="B4981" i="12"/>
  <c r="C4846" i="12"/>
  <c r="B4782" i="12"/>
  <c r="C4647" i="12"/>
  <c r="C4794" i="12"/>
  <c r="B4929" i="12"/>
  <c r="B5112" i="12"/>
  <c r="C4977" i="12"/>
  <c r="C4479" i="12"/>
  <c r="B4614" i="12"/>
  <c r="B4904" i="12"/>
  <c r="C4769" i="12"/>
  <c r="A5085" i="12"/>
  <c r="C4950" i="12"/>
  <c r="B4765" i="12"/>
  <c r="C4630" i="12"/>
  <c r="C4992" i="12"/>
  <c r="B5127" i="12"/>
  <c r="B5025" i="12"/>
  <c r="C4890" i="12"/>
  <c r="B4819" i="12"/>
  <c r="C4684" i="12"/>
  <c r="B5162" i="12"/>
  <c r="C5162" i="12" s="1"/>
  <c r="C5027" i="12"/>
  <c r="B4656" i="12"/>
  <c r="C4521" i="12"/>
  <c r="C4947" i="12"/>
  <c r="B5082" i="12"/>
  <c r="C5125" i="12"/>
  <c r="B5260" i="12"/>
  <c r="C5260" i="12" s="1"/>
  <c r="B4801" i="12"/>
  <c r="C4666" i="12"/>
  <c r="C4611" i="12"/>
  <c r="B4746" i="12"/>
  <c r="B5047" i="12"/>
  <c r="C4912" i="12"/>
  <c r="B4989" i="12"/>
  <c r="C4854" i="12"/>
  <c r="A4966" i="12"/>
  <c r="C4831" i="12"/>
  <c r="B4762" i="12"/>
  <c r="C4627" i="12"/>
  <c r="B4635" i="12"/>
  <c r="C4500" i="12"/>
  <c r="B4625" i="12"/>
  <c r="C4490" i="12"/>
  <c r="C4718" i="12"/>
  <c r="B4853" i="12"/>
  <c r="B5046" i="12"/>
  <c r="C4911" i="12"/>
  <c r="B5169" i="12"/>
  <c r="C5169" i="12" s="1"/>
  <c r="C5034" i="12"/>
  <c r="B4786" i="12"/>
  <c r="C4651" i="12"/>
  <c r="C5067" i="12"/>
  <c r="B5202" i="12"/>
  <c r="C5202" i="12" s="1"/>
  <c r="A5140" i="12"/>
  <c r="C5140" i="12" s="1"/>
  <c r="C5005" i="12"/>
  <c r="B4598" i="12"/>
  <c r="C4463" i="12"/>
  <c r="C5128" i="12"/>
  <c r="B5263" i="12"/>
  <c r="C5263" i="12" s="1"/>
  <c r="B4995" i="12"/>
  <c r="C4860" i="12"/>
  <c r="B5216" i="12"/>
  <c r="C5216" i="12" s="1"/>
  <c r="C5081" i="12"/>
  <c r="B4927" i="12"/>
  <c r="C4792" i="12"/>
  <c r="B5024" i="12"/>
  <c r="C4889" i="12"/>
  <c r="C4633" i="12"/>
  <c r="B4768" i="12"/>
  <c r="C4555" i="12"/>
  <c r="B4690" i="12"/>
  <c r="C4593" i="12"/>
  <c r="B4728" i="12"/>
  <c r="B4987" i="12"/>
  <c r="C4852" i="12"/>
  <c r="B4761" i="12"/>
  <c r="C4626" i="12"/>
  <c r="C4962" i="12"/>
  <c r="B5097" i="12"/>
  <c r="B5136" i="12"/>
  <c r="C5136" i="12" s="1"/>
  <c r="C5001" i="12"/>
  <c r="C4513" i="12"/>
  <c r="B4648" i="12"/>
  <c r="C4564" i="12"/>
  <c r="B4699" i="12"/>
  <c r="C5026" i="12"/>
  <c r="B5161" i="12"/>
  <c r="C5161" i="12" s="1"/>
  <c r="B4784" i="12"/>
  <c r="C4649" i="12"/>
  <c r="B5244" i="12"/>
  <c r="C5244" i="12" s="1"/>
  <c r="C5109" i="12"/>
  <c r="B4999" i="12"/>
  <c r="C4864" i="12"/>
  <c r="C4605" i="12"/>
  <c r="B4740" i="12"/>
  <c r="B4942" i="12"/>
  <c r="C4807" i="12"/>
  <c r="A4983" i="12"/>
  <c r="C4848" i="12"/>
  <c r="A4970" i="12"/>
  <c r="C4835" i="12"/>
  <c r="C4893" i="12"/>
  <c r="B5028" i="12"/>
  <c r="C4985" i="12"/>
  <c r="B5120" i="12"/>
  <c r="B4838" i="12"/>
  <c r="C4703" i="12"/>
  <c r="B4773" i="12"/>
  <c r="C4638" i="12"/>
  <c r="C4743" i="12"/>
  <c r="B4878" i="12"/>
  <c r="C4994" i="12"/>
  <c r="B5129" i="12"/>
  <c r="C4787" i="12"/>
  <c r="B4922" i="12"/>
  <c r="A4865" i="12"/>
  <c r="C4730" i="12"/>
  <c r="C5131" i="12"/>
  <c r="B5266" i="12"/>
  <c r="C5266" i="12" s="1"/>
  <c r="C4883" i="12"/>
  <c r="B5018" i="12"/>
  <c r="C4665" i="12"/>
  <c r="B4800" i="12"/>
  <c r="A5118" i="12" l="1"/>
  <c r="C4983" i="12"/>
  <c r="B4954" i="12"/>
  <c r="C4819" i="12"/>
  <c r="A5220" i="12"/>
  <c r="C5220" i="12" s="1"/>
  <c r="C5085" i="12"/>
  <c r="B5255" i="12"/>
  <c r="C5255" i="12" s="1"/>
  <c r="C5120" i="12"/>
  <c r="B5217" i="12"/>
  <c r="C5217" i="12" s="1"/>
  <c r="C5082" i="12"/>
  <c r="C4887" i="12"/>
  <c r="B5022" i="12"/>
  <c r="C4784" i="12"/>
  <c r="B4919" i="12"/>
  <c r="C4782" i="12"/>
  <c r="B4917" i="12"/>
  <c r="A5076" i="12"/>
  <c r="C4941" i="12"/>
  <c r="B4778" i="12"/>
  <c r="C4643" i="12"/>
  <c r="B4779" i="12"/>
  <c r="C4644" i="12"/>
  <c r="B4825" i="12"/>
  <c r="C4690" i="12"/>
  <c r="B4881" i="12"/>
  <c r="C4746" i="12"/>
  <c r="B5115" i="12"/>
  <c r="C4980" i="12"/>
  <c r="C4945" i="12"/>
  <c r="B5080" i="12"/>
  <c r="C4944" i="12"/>
  <c r="B5079" i="12"/>
  <c r="B4833" i="12"/>
  <c r="C4698" i="12"/>
  <c r="B5181" i="12"/>
  <c r="C5181" i="12" s="1"/>
  <c r="C5046" i="12"/>
  <c r="C4762" i="12"/>
  <c r="B4897" i="12"/>
  <c r="B4791" i="12"/>
  <c r="C4656" i="12"/>
  <c r="B5116" i="12"/>
  <c r="C4981" i="12"/>
  <c r="B5252" i="12"/>
  <c r="C5252" i="12" s="1"/>
  <c r="C5117" i="12"/>
  <c r="A5158" i="12"/>
  <c r="C5158" i="12" s="1"/>
  <c r="C5023" i="12"/>
  <c r="B5029" i="12"/>
  <c r="C4894" i="12"/>
  <c r="C4645" i="12"/>
  <c r="B4780" i="12"/>
  <c r="C5121" i="12"/>
  <c r="B5256" i="12"/>
  <c r="C5256" i="12" s="1"/>
  <c r="B5060" i="12"/>
  <c r="C4925" i="12"/>
  <c r="C5090" i="12"/>
  <c r="B5225" i="12"/>
  <c r="C5225" i="12" s="1"/>
  <c r="C5033" i="12"/>
  <c r="B5168" i="12"/>
  <c r="C5168" i="12" s="1"/>
  <c r="C4987" i="12"/>
  <c r="B5122" i="12"/>
  <c r="C5107" i="12"/>
  <c r="B5242" i="12"/>
  <c r="C5242" i="12" s="1"/>
  <c r="C4747" i="12"/>
  <c r="B4882" i="12"/>
  <c r="B5153" i="12"/>
  <c r="C5153" i="12" s="1"/>
  <c r="C5018" i="12"/>
  <c r="B5264" i="12"/>
  <c r="C5264" i="12" s="1"/>
  <c r="C5129" i="12"/>
  <c r="C5045" i="12"/>
  <c r="B5180" i="12"/>
  <c r="C5180" i="12" s="1"/>
  <c r="C5086" i="12"/>
  <c r="B5221" i="12"/>
  <c r="C5221" i="12" s="1"/>
  <c r="C4830" i="12"/>
  <c r="B4965" i="12"/>
  <c r="B5013" i="12"/>
  <c r="C4878" i="12"/>
  <c r="B5163" i="12"/>
  <c r="C5163" i="12" s="1"/>
  <c r="C5028" i="12"/>
  <c r="B4875" i="12"/>
  <c r="C4740" i="12"/>
  <c r="B5232" i="12"/>
  <c r="C5232" i="12" s="1"/>
  <c r="C5097" i="12"/>
  <c r="B4834" i="12"/>
  <c r="C4699" i="12"/>
  <c r="C4768" i="12"/>
  <c r="B4903" i="12"/>
  <c r="B4988" i="12"/>
  <c r="C4853" i="12"/>
  <c r="B4727" i="12"/>
  <c r="C4592" i="12"/>
  <c r="C5094" i="12"/>
  <c r="B5229" i="12"/>
  <c r="C5229" i="12" s="1"/>
  <c r="C4615" i="12"/>
  <c r="B4750" i="12"/>
  <c r="C5114" i="12"/>
  <c r="B5249" i="12"/>
  <c r="C5249" i="12" s="1"/>
  <c r="C4771" i="12"/>
  <c r="B4906" i="12"/>
  <c r="B5004" i="12"/>
  <c r="C4869" i="12"/>
  <c r="C4838" i="12"/>
  <c r="B4973" i="12"/>
  <c r="B5159" i="12"/>
  <c r="C5159" i="12" s="1"/>
  <c r="C5024" i="12"/>
  <c r="B4921" i="12"/>
  <c r="C4786" i="12"/>
  <c r="B5124" i="12"/>
  <c r="C4989" i="12"/>
  <c r="B4863" i="12"/>
  <c r="C4728" i="12"/>
  <c r="C4601" i="12"/>
  <c r="B4736" i="12"/>
  <c r="C5047" i="12"/>
  <c r="B5182" i="12"/>
  <c r="C5182" i="12" s="1"/>
  <c r="B5160" i="12"/>
  <c r="C5160" i="12" s="1"/>
  <c r="C5025" i="12"/>
  <c r="C4597" i="12"/>
  <c r="B4732" i="12"/>
  <c r="B4774" i="12"/>
  <c r="C4639" i="12"/>
  <c r="B5262" i="12"/>
  <c r="C5262" i="12" s="1"/>
  <c r="C5127" i="12"/>
  <c r="B4749" i="12"/>
  <c r="C4614" i="12"/>
  <c r="A5000" i="12"/>
  <c r="C4865" i="12"/>
  <c r="C4773" i="12"/>
  <c r="B4908" i="12"/>
  <c r="A5105" i="12"/>
  <c r="C4970" i="12"/>
  <c r="B5134" i="12"/>
  <c r="C5134" i="12" s="1"/>
  <c r="C4999" i="12"/>
  <c r="C4761" i="12"/>
  <c r="B4896" i="12"/>
  <c r="B5130" i="12"/>
  <c r="C4995" i="12"/>
  <c r="A5101" i="12"/>
  <c r="C4966" i="12"/>
  <c r="C4801" i="12"/>
  <c r="B4936" i="12"/>
  <c r="B4900" i="12"/>
  <c r="C4765" i="12"/>
  <c r="B5247" i="12"/>
  <c r="C5247" i="12" s="1"/>
  <c r="C5112" i="12"/>
  <c r="B5009" i="12"/>
  <c r="C4874" i="12"/>
  <c r="C5037" i="12"/>
  <c r="B5172" i="12"/>
  <c r="C5172" i="12" s="1"/>
  <c r="C5083" i="12"/>
  <c r="B5218" i="12"/>
  <c r="C5218" i="12" s="1"/>
  <c r="B4940" i="12"/>
  <c r="C4805" i="12"/>
  <c r="B4804" i="12"/>
  <c r="C4669" i="12"/>
  <c r="B5102" i="12"/>
  <c r="C4967" i="12"/>
  <c r="C4625" i="12"/>
  <c r="B4760" i="12"/>
  <c r="B4872" i="12"/>
  <c r="C4737" i="12"/>
  <c r="B5098" i="12"/>
  <c r="C4963" i="12"/>
  <c r="C4942" i="12"/>
  <c r="B5077" i="12"/>
  <c r="C4927" i="12"/>
  <c r="B5062" i="12"/>
  <c r="B4733" i="12"/>
  <c r="C4598" i="12"/>
  <c r="C4635" i="12"/>
  <c r="B4770" i="12"/>
  <c r="C4904" i="12"/>
  <c r="B5039" i="12"/>
  <c r="B5008" i="12"/>
  <c r="C4873" i="12"/>
  <c r="B4935" i="12"/>
  <c r="C4800" i="12"/>
  <c r="B5057" i="12"/>
  <c r="C4922" i="12"/>
  <c r="B4783" i="12"/>
  <c r="C4648" i="12"/>
  <c r="B5064" i="12"/>
  <c r="C4929" i="12"/>
  <c r="B5042" i="12"/>
  <c r="C4907" i="12"/>
  <c r="B4991" i="12"/>
  <c r="C4856" i="12"/>
  <c r="B5073" i="12"/>
  <c r="C4938" i="12"/>
  <c r="C4882" i="12" l="1"/>
  <c r="B5017" i="12"/>
  <c r="B5052" i="12"/>
  <c r="C4917" i="12"/>
  <c r="B5265" i="12"/>
  <c r="C5265" i="12" s="1"/>
  <c r="C5130" i="12"/>
  <c r="B4909" i="12"/>
  <c r="C4774" i="12"/>
  <c r="B5123" i="12"/>
  <c r="C4988" i="12"/>
  <c r="C4875" i="12"/>
  <c r="B5010" i="12"/>
  <c r="B5164" i="12"/>
  <c r="C5164" i="12" s="1"/>
  <c r="C5029" i="12"/>
  <c r="B4926" i="12"/>
  <c r="C4791" i="12"/>
  <c r="B4960" i="12"/>
  <c r="C4825" i="12"/>
  <c r="C5062" i="12"/>
  <c r="B5197" i="12"/>
  <c r="C5197" i="12" s="1"/>
  <c r="C4760" i="12"/>
  <c r="B4895" i="12"/>
  <c r="C4896" i="12"/>
  <c r="B5031" i="12"/>
  <c r="B5199" i="12"/>
  <c r="C5199" i="12" s="1"/>
  <c r="C5064" i="12"/>
  <c r="C5008" i="12"/>
  <c r="B5143" i="12"/>
  <c r="C5143" i="12" s="1"/>
  <c r="A5135" i="12"/>
  <c r="C5135" i="12" s="1"/>
  <c r="C5000" i="12"/>
  <c r="B5174" i="12"/>
  <c r="C5174" i="12" s="1"/>
  <c r="C5039" i="12"/>
  <c r="C5077" i="12"/>
  <c r="B5212" i="12"/>
  <c r="C5212" i="12" s="1"/>
  <c r="B5071" i="12"/>
  <c r="C4936" i="12"/>
  <c r="B5257" i="12"/>
  <c r="C5257" i="12" s="1"/>
  <c r="C5122" i="12"/>
  <c r="C5022" i="12"/>
  <c r="B5157" i="12"/>
  <c r="C5157" i="12" s="1"/>
  <c r="B5043" i="12"/>
  <c r="C4908" i="12"/>
  <c r="C4736" i="12"/>
  <c r="B4871" i="12"/>
  <c r="B5007" i="12"/>
  <c r="C4872" i="12"/>
  <c r="B4867" i="12"/>
  <c r="C4732" i="12"/>
  <c r="B5215" i="12"/>
  <c r="C5215" i="12" s="1"/>
  <c r="C5080" i="12"/>
  <c r="C4863" i="12"/>
  <c r="B4998" i="12"/>
  <c r="B5208" i="12"/>
  <c r="C5208" i="12" s="1"/>
  <c r="C5073" i="12"/>
  <c r="C4783" i="12"/>
  <c r="B4918" i="12"/>
  <c r="B5237" i="12"/>
  <c r="C5237" i="12" s="1"/>
  <c r="C5102" i="12"/>
  <c r="B4884" i="12"/>
  <c r="C4749" i="12"/>
  <c r="B5259" i="12"/>
  <c r="C5259" i="12" s="1"/>
  <c r="C5124" i="12"/>
  <c r="C5004" i="12"/>
  <c r="B5139" i="12"/>
  <c r="C5139" i="12" s="1"/>
  <c r="B4969" i="12"/>
  <c r="C4834" i="12"/>
  <c r="C5013" i="12"/>
  <c r="B5148" i="12"/>
  <c r="C5148" i="12" s="1"/>
  <c r="C5115" i="12"/>
  <c r="B5250" i="12"/>
  <c r="C5250" i="12" s="1"/>
  <c r="B4913" i="12"/>
  <c r="C4778" i="12"/>
  <c r="C4954" i="12"/>
  <c r="B5089" i="12"/>
  <c r="B5214" i="12"/>
  <c r="C5214" i="12" s="1"/>
  <c r="C5079" i="12"/>
  <c r="B5177" i="12"/>
  <c r="C5177" i="12" s="1"/>
  <c r="C5042" i="12"/>
  <c r="C4935" i="12"/>
  <c r="B5070" i="12"/>
  <c r="C4733" i="12"/>
  <c r="B4868" i="12"/>
  <c r="B5075" i="12"/>
  <c r="C4940" i="12"/>
  <c r="C4900" i="12"/>
  <c r="B5035" i="12"/>
  <c r="C4779" i="12"/>
  <c r="B4914" i="12"/>
  <c r="B4905" i="12"/>
  <c r="C4770" i="12"/>
  <c r="B5041" i="12"/>
  <c r="C4906" i="12"/>
  <c r="B5100" i="12"/>
  <c r="C4965" i="12"/>
  <c r="C4780" i="12"/>
  <c r="B4915" i="12"/>
  <c r="C4973" i="12"/>
  <c r="B5108" i="12"/>
  <c r="B4885" i="12"/>
  <c r="C4750" i="12"/>
  <c r="C4903" i="12"/>
  <c r="B5038" i="12"/>
  <c r="B5032" i="12"/>
  <c r="C4897" i="12"/>
  <c r="B5054" i="12"/>
  <c r="C4919" i="12"/>
  <c r="B5195" i="12"/>
  <c r="C5195" i="12" s="1"/>
  <c r="C5060" i="12"/>
  <c r="B5126" i="12"/>
  <c r="C4991" i="12"/>
  <c r="B5192" i="12"/>
  <c r="C5192" i="12" s="1"/>
  <c r="C5057" i="12"/>
  <c r="B5233" i="12"/>
  <c r="C5233" i="12" s="1"/>
  <c r="C5098" i="12"/>
  <c r="C4804" i="12"/>
  <c r="B4939" i="12"/>
  <c r="C5009" i="12"/>
  <c r="B5144" i="12"/>
  <c r="C5144" i="12" s="1"/>
  <c r="A5236" i="12"/>
  <c r="C5236" i="12" s="1"/>
  <c r="C5101" i="12"/>
  <c r="A5240" i="12"/>
  <c r="C5240" i="12" s="1"/>
  <c r="C5105" i="12"/>
  <c r="C4921" i="12"/>
  <c r="B5056" i="12"/>
  <c r="C4727" i="12"/>
  <c r="B4862" i="12"/>
  <c r="C5116" i="12"/>
  <c r="B5251" i="12"/>
  <c r="C5251" i="12" s="1"/>
  <c r="B4968" i="12"/>
  <c r="C4833" i="12"/>
  <c r="C4881" i="12"/>
  <c r="B5016" i="12"/>
  <c r="A5211" i="12"/>
  <c r="C5211" i="12" s="1"/>
  <c r="C5076" i="12"/>
  <c r="A5253" i="12"/>
  <c r="C5253" i="12" s="1"/>
  <c r="C5118" i="12"/>
  <c r="B5050" i="12" l="1"/>
  <c r="C4915" i="12"/>
  <c r="B5205" i="12"/>
  <c r="C5205" i="12" s="1"/>
  <c r="C5070" i="12"/>
  <c r="C5038" i="12"/>
  <c r="B5173" i="12"/>
  <c r="C5173" i="12" s="1"/>
  <c r="C4895" i="12"/>
  <c r="B5030" i="12"/>
  <c r="B5151" i="12"/>
  <c r="C5151" i="12" s="1"/>
  <c r="C5016" i="12"/>
  <c r="C5056" i="12"/>
  <c r="B5191" i="12"/>
  <c r="C5191" i="12" s="1"/>
  <c r="C4939" i="12"/>
  <c r="B5074" i="12"/>
  <c r="C4998" i="12"/>
  <c r="B5133" i="12"/>
  <c r="C5133" i="12" s="1"/>
  <c r="B5006" i="12"/>
  <c r="C4871" i="12"/>
  <c r="C5010" i="12"/>
  <c r="B5145" i="12"/>
  <c r="C5145" i="12" s="1"/>
  <c r="C4913" i="12"/>
  <c r="B5048" i="12"/>
  <c r="C4909" i="12"/>
  <c r="B5044" i="12"/>
  <c r="C5035" i="12"/>
  <c r="B5170" i="12"/>
  <c r="C5170" i="12" s="1"/>
  <c r="C5007" i="12"/>
  <c r="B5142" i="12"/>
  <c r="C5142" i="12" s="1"/>
  <c r="C4885" i="12"/>
  <c r="B5020" i="12"/>
  <c r="B5176" i="12"/>
  <c r="C5176" i="12" s="1"/>
  <c r="C5041" i="12"/>
  <c r="C5075" i="12"/>
  <c r="B5210" i="12"/>
  <c r="C5210" i="12" s="1"/>
  <c r="B5019" i="12"/>
  <c r="C4884" i="12"/>
  <c r="C5071" i="12"/>
  <c r="B5206" i="12"/>
  <c r="C5206" i="12" s="1"/>
  <c r="C5052" i="12"/>
  <c r="B5187" i="12"/>
  <c r="C5187" i="12" s="1"/>
  <c r="C4914" i="12"/>
  <c r="B5049" i="12"/>
  <c r="C4918" i="12"/>
  <c r="B5053" i="12"/>
  <c r="B5167" i="12"/>
  <c r="C5167" i="12" s="1"/>
  <c r="C5032" i="12"/>
  <c r="B4997" i="12"/>
  <c r="C4862" i="12"/>
  <c r="B5243" i="12"/>
  <c r="C5243" i="12" s="1"/>
  <c r="C5108" i="12"/>
  <c r="C4868" i="12"/>
  <c r="B5003" i="12"/>
  <c r="C5089" i="12"/>
  <c r="B5224" i="12"/>
  <c r="C5224" i="12" s="1"/>
  <c r="C5017" i="12"/>
  <c r="B5152" i="12"/>
  <c r="C5152" i="12" s="1"/>
  <c r="B5166" i="12"/>
  <c r="C5166" i="12" s="1"/>
  <c r="C5031" i="12"/>
  <c r="C4867" i="12"/>
  <c r="B5002" i="12"/>
  <c r="B5061" i="12"/>
  <c r="C4926" i="12"/>
  <c r="C5126" i="12"/>
  <c r="B5261" i="12"/>
  <c r="C5261" i="12" s="1"/>
  <c r="B5235" i="12"/>
  <c r="C5235" i="12" s="1"/>
  <c r="C5100" i="12"/>
  <c r="C4968" i="12"/>
  <c r="B5103" i="12"/>
  <c r="B5189" i="12"/>
  <c r="C5189" i="12" s="1"/>
  <c r="C5054" i="12"/>
  <c r="B5040" i="12"/>
  <c r="C4905" i="12"/>
  <c r="C4969" i="12"/>
  <c r="B5104" i="12"/>
  <c r="B5178" i="12"/>
  <c r="C5178" i="12" s="1"/>
  <c r="C5043" i="12"/>
  <c r="C4960" i="12"/>
  <c r="B5095" i="12"/>
  <c r="C5123" i="12"/>
  <c r="B5258" i="12"/>
  <c r="C5258" i="12" s="1"/>
  <c r="C5044" i="12" l="1"/>
  <c r="B5179" i="12"/>
  <c r="C5179" i="12" s="1"/>
  <c r="C5040" i="12"/>
  <c r="B5175" i="12"/>
  <c r="C5175" i="12" s="1"/>
  <c r="C5020" i="12"/>
  <c r="B5155" i="12"/>
  <c r="C5155" i="12" s="1"/>
  <c r="C5103" i="12"/>
  <c r="B5238" i="12"/>
  <c r="C5238" i="12" s="1"/>
  <c r="C5002" i="12"/>
  <c r="B5137" i="12"/>
  <c r="C5137" i="12" s="1"/>
  <c r="C5003" i="12"/>
  <c r="B5138" i="12"/>
  <c r="C5138" i="12" s="1"/>
  <c r="C5053" i="12"/>
  <c r="B5188" i="12"/>
  <c r="C5188" i="12" s="1"/>
  <c r="B5230" i="12"/>
  <c r="C5230" i="12" s="1"/>
  <c r="C5095" i="12"/>
  <c r="B5183" i="12"/>
  <c r="C5183" i="12" s="1"/>
  <c r="C5048" i="12"/>
  <c r="C5061" i="12"/>
  <c r="B5196" i="12"/>
  <c r="C5196" i="12" s="1"/>
  <c r="B5154" i="12"/>
  <c r="C5154" i="12" s="1"/>
  <c r="C5019" i="12"/>
  <c r="B5132" i="12"/>
  <c r="C5132" i="12" s="1"/>
  <c r="C4997" i="12"/>
  <c r="C5074" i="12"/>
  <c r="B5209" i="12"/>
  <c r="C5209" i="12" s="1"/>
  <c r="C5104" i="12"/>
  <c r="B5239" i="12"/>
  <c r="C5239" i="12" s="1"/>
  <c r="B5184" i="12"/>
  <c r="C5184" i="12" s="1"/>
  <c r="C5049" i="12"/>
  <c r="C5030" i="12"/>
  <c r="B5165" i="12"/>
  <c r="C5165" i="12" s="1"/>
  <c r="B5141" i="12"/>
  <c r="C5141" i="12" s="1"/>
  <c r="C5006" i="12"/>
  <c r="B5185" i="12"/>
  <c r="C5185" i="12" s="1"/>
  <c r="C5050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<sst xmlns="http://schemas.openxmlformats.org/spreadsheetml/2006/main" count="9647" uniqueCount="2773">
  <si>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</si>
  <si>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</si>
  <si>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</si>
  <si>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</si>
  <si>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</si>
  <si>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</si>
  <si>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</si>
  <si>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</si>
  <si>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</si>
  <si>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</si>
  <si>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</si>
  <si>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</si>
  <si>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</si>
  <si>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</si>
  <si>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</si>
  <si>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</si>
  <si>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</si>
  <si>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</si>
  <si>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</si>
  <si>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</si>
  <si>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</si>
  <si>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</si>
  <si>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</si>
  <si>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</si>
  <si>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</si>
  <si>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</si>
  <si>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</si>
  <si>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</si>
  <si>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</si>
  <si>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</si>
  <si>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</si>
  <si>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</si>
  <si>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</si>
  <si>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</si>
  <si>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</si>
  <si>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</si>
  <si>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</si>
  <si>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</si>
  <si>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</si>
  <si>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</si>
  <si>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</si>
  <si>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</si>
  <si>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</si>
  <si>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</si>
  <si>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</si>
  <si>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</si>
  <si>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</si>
  <si>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</si>
  <si>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</si>
  <si>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</si>
  <si>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</si>
  <si>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</si>
  <si>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</si>
  <si>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</si>
  <si>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</si>
  <si>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</si>
  <si>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</si>
  <si>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</si>
  <si>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</si>
  <si>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</si>
  <si>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</si>
  <si>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</si>
  <si>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</si>
  <si>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</si>
  <si>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</si>
  <si>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</si>
  <si>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</si>
  <si>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</si>
  <si>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</si>
  <si>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</si>
  <si>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</si>
  <si>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</si>
  <si>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</si>
  <si>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</si>
  <si>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</si>
  <si>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</si>
  <si>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</si>
  <si>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</si>
  <si>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</si>
  <si>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</si>
  <si>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</si>
  <si>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</si>
  <si>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</si>
  <si>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</si>
  <si>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</si>
  <si>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</si>
  <si>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</si>
  <si>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</si>
  <si>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</si>
  <si>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</si>
  <si>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</si>
  <si>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</si>
  <si>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</si>
  <si>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</si>
  <si>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</si>
  <si>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</si>
  <si>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</si>
  <si>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</si>
  <si>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</si>
  <si>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</si>
  <si>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</si>
  <si>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</si>
  <si>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</si>
  <si>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</si>
  <si>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</si>
  <si>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</si>
  <si>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</si>
  <si>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</si>
  <si>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</si>
  <si>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</si>
  <si>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</si>
  <si>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</si>
  <si>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</si>
  <si>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</si>
  <si>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</si>
  <si>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</si>
  <si>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</si>
  <si>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</si>
  <si>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</si>
  <si>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</si>
  <si>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</si>
  <si>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</si>
  <si>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</si>
  <si>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</si>
  <si>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</si>
  <si>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</si>
  <si>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</si>
  <si>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</si>
  <si>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</si>
  <si>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</si>
  <si>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</si>
  <si>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</si>
  <si>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</si>
  <si>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</si>
  <si>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</si>
  <si>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</si>
  <si>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</si>
  <si>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</si>
  <si>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</si>
  <si>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</si>
  <si>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</si>
  <si>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</si>
  <si>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</si>
  <si>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</si>
  <si>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</si>
  <si>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</si>
  <si>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</si>
  <si>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</si>
  <si>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</si>
  <si>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</si>
  <si>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</si>
  <si>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</si>
  <si>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</si>
  <si>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</si>
  <si>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</si>
  <si>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</si>
  <si>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</si>
  <si>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</si>
  <si>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</si>
  <si>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</si>
  <si>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</si>
  <si>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</si>
  <si>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</si>
  <si>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</si>
  <si>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</si>
  <si>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</si>
  <si>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</si>
  <si>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</si>
  <si>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</si>
  <si>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</si>
  <si>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</si>
  <si>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</si>
  <si>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</si>
  <si>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</si>
  <si>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</si>
  <si>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</si>
  <si>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</si>
  <si>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</si>
  <si>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</si>
  <si>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</si>
  <si>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</si>
  <si>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</si>
  <si>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</si>
  <si>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</si>
  <si>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</si>
  <si>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</si>
  <si>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</si>
  <si>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</si>
  <si>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</si>
  <si>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</si>
  <si>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</si>
  <si>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</si>
  <si>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</si>
  <si>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</si>
  <si>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</si>
  <si>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</si>
  <si>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</si>
  <si>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</si>
  <si>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</si>
  <si>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</si>
  <si>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</si>
  <si>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</si>
  <si>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</si>
  <si>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</si>
  <si>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</si>
  <si>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</si>
  <si>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</si>
  <si>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</si>
  <si>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</si>
  <si>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</si>
  <si>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</si>
  <si>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</si>
  <si>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</si>
  <si>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</si>
  <si>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</si>
  <si>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</si>
  <si>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</si>
  <si>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</si>
  <si>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</si>
  <si>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</si>
  <si>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</si>
  <si>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</si>
  <si>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</si>
  <si>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</si>
  <si>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</si>
  <si>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</si>
  <si>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</si>
  <si>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</si>
  <si>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</si>
  <si>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</si>
  <si>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</si>
  <si>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</si>
  <si>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</si>
  <si>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</si>
  <si>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</si>
  <si>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</si>
  <si>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</si>
  <si>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</si>
  <si>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</si>
  <si>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</si>
  <si>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</si>
  <si>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</si>
  <si>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</si>
  <si>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</si>
  <si>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</si>
  <si>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</si>
  <si>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</si>
  <si>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</si>
  <si>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</si>
  <si>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</si>
  <si>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</si>
  <si>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</si>
  <si>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</si>
  <si>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</si>
  <si>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</si>
  <si>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</si>
  <si>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</si>
  <si>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</si>
  <si>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</si>
  <si>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</si>
  <si>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</si>
  <si>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</si>
  <si>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</si>
  <si>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</si>
  <si>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</si>
  <si>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</si>
  <si>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</si>
  <si>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</si>
  <si>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</si>
  <si>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</si>
  <si>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</si>
  <si>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</si>
  <si>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</si>
  <si>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</si>
  <si>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</si>
  <si>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</si>
  <si>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</si>
  <si>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</si>
  <si>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</si>
  <si>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</si>
  <si>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</si>
  <si>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</si>
  <si>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</si>
  <si>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</si>
  <si>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</si>
  <si>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</si>
  <si>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</si>
  <si>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</si>
  <si>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</si>
  <si>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</si>
  <si>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</si>
  <si>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</si>
  <si>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</si>
  <si>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</si>
  <si>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</si>
  <si>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</si>
  <si>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</si>
  <si>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</si>
  <si>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</si>
  <si>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</si>
  <si>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</si>
  <si>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</si>
  <si>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</si>
  <si>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</si>
  <si>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</si>
  <si>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</si>
  <si>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</si>
  <si>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</si>
  <si>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</si>
  <si>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</si>
  <si>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</si>
  <si>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</si>
  <si>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</si>
  <si>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</si>
  <si>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</si>
  <si>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</si>
  <si>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</si>
  <si>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</si>
  <si>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</si>
  <si>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</si>
  <si>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</si>
  <si>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</si>
  <si>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</si>
  <si>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</si>
  <si>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</si>
  <si>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</si>
  <si>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</si>
  <si>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</si>
  <si>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</si>
  <si>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</si>
  <si>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</si>
  <si>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</si>
  <si>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</si>
  <si>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</si>
  <si>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</si>
  <si>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</si>
  <si>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</si>
  <si>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</si>
  <si>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</si>
  <si>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</si>
  <si>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</si>
  <si>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</si>
  <si>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</si>
  <si>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</si>
  <si>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</si>
  <si>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</si>
  <si>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</si>
  <si>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</si>
  <si>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</si>
  <si>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</si>
  <si>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</si>
  <si>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</si>
  <si>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</si>
  <si>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</si>
  <si>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</si>
  <si>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</si>
  <si>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</si>
  <si>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</si>
  <si>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</si>
  <si>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</si>
  <si>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</si>
  <si>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</si>
  <si>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</si>
  <si>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</si>
  <si>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</si>
  <si>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</si>
  <si>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</si>
  <si>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</si>
  <si>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</si>
  <si>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</si>
  <si>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</si>
  <si>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</si>
  <si>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</si>
  <si>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</si>
  <si>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</si>
  <si>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</si>
  <si>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</si>
  <si>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</si>
  <si>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</si>
  <si>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</si>
  <si>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</si>
  <si>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</si>
  <si>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</si>
  <si>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</si>
  <si>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</si>
  <si>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</si>
  <si>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</si>
  <si>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</si>
  <si>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</si>
  <si>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</si>
  <si>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</si>
  <si>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</si>
  <si>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</si>
  <si>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</si>
  <si>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</si>
  <si>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</si>
  <si>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</si>
  <si>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</si>
  <si>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</si>
  <si>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</si>
  <si>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</si>
  <si>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</si>
  <si>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</si>
  <si>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</si>
  <si>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</si>
  <si>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</si>
  <si>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</si>
  <si>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</si>
  <si>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</si>
  <si>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</si>
  <si>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</si>
  <si>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</si>
  <si>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</si>
  <si>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</si>
  <si>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</si>
  <si>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</si>
  <si>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</si>
  <si>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</si>
  <si>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</si>
  <si>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</si>
  <si>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</si>
  <si>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</si>
  <si>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</si>
  <si>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</si>
  <si>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</si>
  <si>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</si>
  <si>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</si>
  <si>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</si>
  <si>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</si>
  <si>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</si>
  <si>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</si>
  <si>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</si>
  <si>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</si>
  <si>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</si>
  <si>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</si>
  <si>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</si>
  <si>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</si>
  <si>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</si>
  <si>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</si>
  <si>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</si>
  <si>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</si>
  <si>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</si>
  <si>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</si>
  <si>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</si>
  <si>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</si>
  <si>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</si>
  <si>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</si>
  <si>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</si>
  <si>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</si>
  <si>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</si>
  <si>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</si>
  <si>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</si>
  <si>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</si>
  <si>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</si>
  <si>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</si>
  <si>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</si>
  <si>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</si>
  <si>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</si>
  <si>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</si>
  <si>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</si>
  <si>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</si>
  <si>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</si>
  <si>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</si>
  <si>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</si>
  <si>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</si>
  <si>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</si>
  <si>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</si>
  <si>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</si>
  <si>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</si>
  <si>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</si>
  <si>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</si>
  <si>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</si>
  <si>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</si>
  <si>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</si>
  <si>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</si>
  <si>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</si>
  <si>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</si>
  <si>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</si>
  <si>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</si>
  <si>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</si>
  <si>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</si>
  <si>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</si>
  <si>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</si>
  <si>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</si>
  <si>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</si>
  <si>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</si>
  <si>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</si>
  <si>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</si>
  <si>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</si>
  <si>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</si>
  <si>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</si>
  <si>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</si>
  <si>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</si>
  <si>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</si>
  <si>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</si>
  <si>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</si>
  <si>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</si>
  <si>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</si>
  <si>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</si>
  <si>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</si>
  <si>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</si>
  <si>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</si>
  <si>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</si>
  <si>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</si>
  <si>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</si>
  <si>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</si>
  <si>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</si>
  <si>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</si>
  <si>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</si>
  <si>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</si>
  <si>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</si>
  <si>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</si>
  <si>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</si>
  <si>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</si>
  <si>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</si>
  <si>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</si>
  <si>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</si>
  <si>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</si>
  <si>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</si>
  <si>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</si>
  <si>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</si>
  <si>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</si>
  <si>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</si>
  <si>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</si>
  <si>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</si>
  <si>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</si>
  <si>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</si>
  <si>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</si>
  <si>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</si>
  <si>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</si>
  <si>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</si>
  <si>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</si>
  <si>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</si>
  <si>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</si>
  <si>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</si>
  <si>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</si>
  <si>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</si>
  <si>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</si>
  <si>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</si>
  <si>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</si>
  <si>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</si>
  <si>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</si>
  <si>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</si>
  <si>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</si>
  <si>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</si>
  <si>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</si>
  <si>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</si>
  <si>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</si>
  <si>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</si>
  <si>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</si>
  <si>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</si>
  <si>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</si>
  <si>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</si>
  <si>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</si>
  <si>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</si>
  <si>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</si>
  <si>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</si>
  <si>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</si>
  <si>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</si>
  <si>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</si>
  <si>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</si>
  <si>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</si>
  <si>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</si>
  <si>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</si>
  <si>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</si>
  <si>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</si>
  <si>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</si>
  <si>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</si>
  <si>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</si>
  <si>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</si>
  <si>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</si>
  <si>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</si>
  <si>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</si>
  <si>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</si>
  <si>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</si>
  <si>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</si>
  <si>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</si>
  <si>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</si>
  <si>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</si>
  <si>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</si>
  <si>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</si>
  <si>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</si>
  <si>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</si>
  <si>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</si>
  <si>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</si>
  <si>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</si>
  <si>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</si>
  <si>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</si>
  <si>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</si>
  <si>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</si>
  <si>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</si>
  <si>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</si>
  <si>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</si>
  <si>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</si>
  <si>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</si>
  <si>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</si>
  <si>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</si>
  <si>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</si>
  <si>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</si>
  <si>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</si>
  <si>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</si>
  <si>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</si>
  <si>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</si>
  <si>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</si>
  <si>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</si>
  <si>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</si>
  <si>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</si>
  <si>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</si>
  <si>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</si>
  <si>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</si>
  <si>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</si>
  <si>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</si>
  <si>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</si>
  <si>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</si>
  <si>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</si>
  <si>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</si>
  <si>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</si>
  <si>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</si>
  <si>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</si>
  <si>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</si>
  <si>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</si>
  <si>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</si>
  <si>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</si>
  <si>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</si>
  <si>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</si>
  <si>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</si>
  <si>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</si>
  <si>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</si>
  <si>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</si>
  <si>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</si>
  <si>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</si>
  <si>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</si>
  <si>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</si>
  <si>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</si>
  <si>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</si>
  <si>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</si>
  <si>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</si>
  <si>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</si>
  <si>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</si>
  <si>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</si>
  <si>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</si>
  <si>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</si>
  <si>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</si>
  <si>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</si>
  <si>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</si>
  <si>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</si>
  <si>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</si>
  <si>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</si>
  <si>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</si>
  <si>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</si>
  <si>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</si>
  <si>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</si>
  <si>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</si>
  <si>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</si>
  <si>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</si>
  <si>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</si>
  <si>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</si>
  <si>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</si>
  <si>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</si>
  <si>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</si>
  <si>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</si>
  <si>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</si>
  <si>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</si>
  <si>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</si>
  <si>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</si>
  <si>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</si>
  <si>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</si>
  <si>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</si>
  <si>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</si>
  <si>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</si>
  <si>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</si>
  <si>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</si>
  <si>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</si>
  <si>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</si>
  <si>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</si>
  <si>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</si>
  <si>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</si>
  <si>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</si>
  <si>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</si>
  <si>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</si>
  <si>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</si>
  <si>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</si>
  <si>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</si>
  <si>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</si>
  <si>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</si>
  <si>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</si>
  <si>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</si>
  <si>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</si>
  <si>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</si>
  <si>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</si>
  <si>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</si>
  <si>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</si>
  <si>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</si>
  <si>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</si>
  <si>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</si>
  <si>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</si>
  <si>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</si>
  <si>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</si>
  <si>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</si>
  <si>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</si>
  <si>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</si>
  <si>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</si>
  <si>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</si>
  <si>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</si>
  <si>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</si>
  <si>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</si>
  <si>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</si>
  <si>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</si>
  <si>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</si>
  <si>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</si>
  <si>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</si>
  <si>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</si>
  <si>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</si>
  <si>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</si>
  <si>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</si>
  <si>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</si>
  <si>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</si>
  <si>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</si>
  <si>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</si>
  <si>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</si>
  <si>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</si>
  <si>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</si>
  <si>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</si>
  <si>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</si>
  <si>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</si>
  <si>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</si>
  <si>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</si>
  <si>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</si>
  <si>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</si>
  <si>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</si>
  <si>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</si>
  <si>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</si>
  <si>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</si>
  <si>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</si>
  <si>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</si>
  <si>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</si>
  <si>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</si>
  <si>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</si>
  <si>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</si>
  <si>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</si>
  <si>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</si>
  <si>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</si>
  <si>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</si>
  <si>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</si>
  <si>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</si>
  <si>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</si>
  <si>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</si>
  <si>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</si>
  <si>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</si>
  <si>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</si>
  <si>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</si>
  <si>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</si>
  <si>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</si>
  <si>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</si>
  <si>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</si>
  <si>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</si>
  <si>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</si>
  <si>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</si>
  <si>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</si>
  <si>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</si>
  <si>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</si>
  <si>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</si>
  <si>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</si>
  <si>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</si>
  <si>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</si>
  <si>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</si>
  <si>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</si>
  <si>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</si>
  <si>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</si>
  <si>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</si>
  <si>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</si>
  <si>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</si>
  <si>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</si>
  <si>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</si>
  <si>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</si>
  <si>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</si>
  <si>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</si>
  <si>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</si>
  <si>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</si>
  <si>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</si>
  <si>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</si>
  <si>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</si>
  <si>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</si>
  <si>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</si>
  <si>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</si>
  <si>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</si>
  <si>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</si>
  <si>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</si>
  <si>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</si>
  <si>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</si>
  <si>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</si>
  <si>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</si>
  <si>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</si>
  <si>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</si>
  <si>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</si>
  <si>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</si>
  <si>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</si>
  <si>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</si>
  <si>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</si>
  <si>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</si>
  <si>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</si>
  <si>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</si>
  <si>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</si>
  <si>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</si>
  <si>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</si>
  <si>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</si>
  <si>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</si>
  <si>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</si>
  <si>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</si>
  <si>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</si>
  <si>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</si>
  <si>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</si>
  <si>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</si>
  <si>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</si>
  <si>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</si>
  <si>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</si>
  <si>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</si>
  <si>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</si>
  <si>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</si>
  <si>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</si>
  <si>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</si>
  <si>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</si>
  <si>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</si>
  <si>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</si>
  <si>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</si>
  <si>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</si>
  <si>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</si>
  <si>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</si>
  <si>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</si>
  <si>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</si>
  <si>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</si>
  <si>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</si>
  <si>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</si>
  <si>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</si>
  <si>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</si>
  <si>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</si>
  <si>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</si>
  <si>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</si>
  <si>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</si>
  <si>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</si>
  <si>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</si>
  <si>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</si>
  <si>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</si>
  <si>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</si>
  <si>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</si>
  <si>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</si>
  <si>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</si>
  <si>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</si>
  <si>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</si>
  <si>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</si>
  <si>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</si>
  <si>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</si>
  <si>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</si>
  <si>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</si>
  <si>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</si>
  <si>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</si>
  <si>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</si>
  <si>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</si>
  <si>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</si>
  <si>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</si>
  <si>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</si>
  <si>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</si>
  <si>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</si>
  <si>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</si>
  <si>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</si>
  <si>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</si>
  <si>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</si>
  <si>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</si>
  <si>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</si>
  <si>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</si>
  <si>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</si>
  <si>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</si>
  <si>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</si>
  <si>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</si>
  <si>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</si>
  <si>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</si>
  <si>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</si>
  <si>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</si>
  <si>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</si>
  <si>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</si>
  <si>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</si>
  <si>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</si>
  <si>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</si>
  <si>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</si>
  <si>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</si>
  <si>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</si>
  <si>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</si>
  <si>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</si>
  <si>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</si>
  <si>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</si>
  <si>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</si>
  <si>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</si>
  <si>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</si>
  <si>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</si>
  <si>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</si>
  <si>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</si>
  <si>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</si>
  <si>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</si>
  <si>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</si>
  <si>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</si>
  <si>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</si>
  <si>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</si>
  <si>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</si>
  <si>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</si>
  <si>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</si>
  <si>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</si>
  <si>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</si>
  <si>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</si>
  <si>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</si>
  <si>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</si>
  <si>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</si>
  <si>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</si>
  <si>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</si>
  <si>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</si>
  <si>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</si>
  <si>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</si>
  <si>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</si>
  <si>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</si>
  <si>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</si>
  <si>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</si>
  <si>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</si>
  <si>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</si>
  <si>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</si>
  <si>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</si>
  <si>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</si>
  <si>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</si>
  <si>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</si>
  <si>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</si>
  <si>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</si>
  <si>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</si>
  <si>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</si>
  <si>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</si>
  <si>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</si>
  <si>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</si>
  <si>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</si>
  <si>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</si>
  <si>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</si>
  <si>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</si>
  <si>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</si>
  <si>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</si>
  <si>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</si>
  <si>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</si>
  <si>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</si>
  <si>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</si>
  <si>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</si>
  <si>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</si>
  <si>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</si>
  <si>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</si>
  <si>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</si>
  <si>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</si>
  <si>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</si>
  <si>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</si>
  <si>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</si>
  <si>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</si>
  <si>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</si>
  <si>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</si>
  <si>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</si>
  <si>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</si>
  <si>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</si>
  <si>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</si>
  <si>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</si>
  <si>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</si>
  <si>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</si>
  <si>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</si>
  <si>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</si>
  <si>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</si>
  <si>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</si>
  <si>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</si>
  <si>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</si>
  <si>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</si>
  <si>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</si>
  <si>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</si>
  <si>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</si>
  <si>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</si>
  <si>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</si>
  <si>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</si>
  <si>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</si>
  <si>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</si>
  <si>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</si>
  <si>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</si>
  <si>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</si>
  <si>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</si>
  <si>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</si>
  <si>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</si>
  <si>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</si>
  <si>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</si>
  <si>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</si>
  <si>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</si>
  <si>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</si>
  <si>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</si>
  <si>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</si>
  <si>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</si>
  <si>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</si>
  <si>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</si>
  <si>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</si>
  <si>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</si>
  <si>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</si>
  <si>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</si>
  <si>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</si>
  <si>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</si>
  <si>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</si>
  <si>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</si>
  <si>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</si>
  <si>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</si>
  <si>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</si>
  <si>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</si>
  <si>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</si>
  <si>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</si>
  <si>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</si>
  <si>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</si>
  <si>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</si>
  <si>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</si>
  <si>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</si>
  <si>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</si>
  <si>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</si>
  <si>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</si>
  <si>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</si>
  <si>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</si>
  <si>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</si>
  <si>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</si>
  <si>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</si>
  <si>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</si>
  <si>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</si>
  <si>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</si>
  <si>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</si>
  <si>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</si>
  <si>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</si>
  <si>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</si>
  <si>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</si>
  <si>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</si>
  <si>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</si>
  <si>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</si>
  <si>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</si>
  <si>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</si>
  <si>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</si>
  <si>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</si>
  <si>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</si>
  <si>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</si>
  <si>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</si>
  <si>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</si>
  <si>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</si>
  <si>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</si>
  <si>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</si>
  <si>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</si>
  <si>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</si>
  <si>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</si>
  <si>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</si>
  <si>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</si>
  <si>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</si>
  <si>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</si>
  <si>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</si>
  <si>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</si>
  <si>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</si>
  <si>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</si>
  <si>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</si>
  <si>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</si>
  <si>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</si>
  <si>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</si>
  <si>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</si>
  <si>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</si>
  <si>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</si>
  <si>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</si>
  <si>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</si>
  <si>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</si>
  <si>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</si>
  <si>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</si>
  <si>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</si>
  <si>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</si>
  <si>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</si>
  <si>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</si>
  <si>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</si>
  <si>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</si>
  <si>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</si>
  <si>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</si>
  <si>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</si>
  <si>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</si>
  <si>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</si>
  <si>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</si>
  <si>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</si>
  <si>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</si>
  <si>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</si>
  <si>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</si>
  <si>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</si>
  <si>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</si>
  <si>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</si>
  <si>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</si>
  <si>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</si>
  <si>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</si>
  <si>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</si>
  <si>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</si>
  <si>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</si>
  <si>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</si>
  <si>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</si>
  <si>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</si>
  <si>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</si>
  <si>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</si>
  <si>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</si>
  <si>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</si>
  <si>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</si>
  <si>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</si>
  <si>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</si>
  <si>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</si>
  <si>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</si>
  <si>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</si>
  <si>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</si>
  <si>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</si>
  <si>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</si>
  <si>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</si>
  <si>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</si>
  <si>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</si>
  <si>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</si>
  <si>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</si>
  <si>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</si>
  <si>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</si>
  <si>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</si>
  <si>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</si>
  <si>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</si>
  <si>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</si>
  <si>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</si>
  <si>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</si>
  <si>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</si>
  <si>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</si>
  <si>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</si>
  <si>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</si>
  <si>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</si>
  <si>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</si>
  <si>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</si>
  <si>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</si>
  <si>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</si>
  <si>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</si>
  <si>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</si>
  <si>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</si>
  <si>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</si>
  <si>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</si>
  <si>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</si>
  <si>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</si>
  <si>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</si>
  <si>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</si>
  <si>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</si>
  <si>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</si>
  <si>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</si>
  <si>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</si>
  <si>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</si>
  <si>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</si>
  <si>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</si>
  <si>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</si>
  <si>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</si>
  <si>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</si>
  <si>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</si>
  <si>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</si>
  <si>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</si>
  <si>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</si>
  <si>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</si>
  <si>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</si>
  <si>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</si>
  <si>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</si>
  <si>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</si>
  <si>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</si>
  <si>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</si>
  <si>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</si>
  <si>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</si>
  <si>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</si>
  <si>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</si>
  <si>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</si>
  <si>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</si>
  <si>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</si>
  <si>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</si>
  <si>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</si>
  <si>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</si>
  <si>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</si>
  <si>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</si>
  <si>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</si>
  <si>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</si>
  <si>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</si>
  <si>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</si>
  <si>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</si>
  <si>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</si>
  <si>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</si>
  <si>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</si>
  <si>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</si>
  <si>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</si>
  <si>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</si>
  <si>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</si>
  <si>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</si>
  <si>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</si>
  <si>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</si>
  <si>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</si>
  <si>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</si>
  <si>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</si>
  <si>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</si>
  <si>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</si>
  <si>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</si>
  <si>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</si>
  <si>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</si>
  <si>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</si>
  <si>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</si>
  <si>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</si>
  <si>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</si>
  <si>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</si>
  <si>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</si>
  <si>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</si>
  <si>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</si>
  <si>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</si>
  <si>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</si>
  <si>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</si>
  <si>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</si>
  <si>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</si>
  <si>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</si>
  <si>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</si>
  <si>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</si>
  <si>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</si>
  <si>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</si>
  <si>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</si>
  <si>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</si>
  <si>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</si>
  <si>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</si>
  <si>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</si>
  <si>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</si>
  <si>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</si>
  <si>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</si>
  <si>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</si>
  <si>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</si>
  <si>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</si>
  <si>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</si>
  <si>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</si>
  <si>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</si>
  <si>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</si>
  <si>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</si>
  <si>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</si>
  <si>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</si>
  <si>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</si>
  <si>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</si>
  <si>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</si>
  <si>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</si>
  <si>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</si>
  <si>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</si>
  <si>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</si>
  <si>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</si>
  <si>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</si>
  <si>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</si>
  <si>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</si>
  <si>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</si>
  <si>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</si>
  <si>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</si>
  <si>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</si>
  <si>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</si>
  <si>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</si>
  <si>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</si>
  <si>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</si>
  <si>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</si>
  <si>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</si>
  <si>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</si>
  <si>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</si>
  <si>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</si>
  <si>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</si>
  <si>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</si>
  <si>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</si>
  <si>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</si>
  <si>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</si>
  <si>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</si>
  <si>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</si>
  <si>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</si>
  <si>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</si>
  <si>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</si>
  <si>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</si>
  <si>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</si>
  <si>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</si>
  <si>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</si>
  <si>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</si>
  <si>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</si>
  <si>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</si>
  <si>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</si>
  <si>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</si>
  <si>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</si>
  <si>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</si>
  <si>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</si>
  <si>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</si>
  <si>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</si>
  <si>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</si>
  <si>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</si>
  <si>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</si>
  <si>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</si>
  <si>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</si>
  <si>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</si>
  <si>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</si>
  <si>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</si>
  <si>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</si>
  <si>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</si>
  <si>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</si>
  <si>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</si>
  <si>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</si>
  <si>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</si>
  <si>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</si>
  <si>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</si>
  <si>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</si>
  <si>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</si>
  <si>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</si>
  <si>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</si>
  <si>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</si>
  <si>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</si>
  <si>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</si>
  <si>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</si>
  <si>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</si>
  <si>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</si>
  <si>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</si>
  <si>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</si>
  <si>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</si>
  <si>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</si>
  <si>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</si>
  <si>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</si>
  <si>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</si>
  <si>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</si>
  <si>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</si>
  <si>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</si>
  <si>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</si>
  <si>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</si>
  <si>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</si>
  <si>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</si>
  <si>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</si>
  <si>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</si>
  <si>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</si>
  <si>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</si>
  <si>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</si>
  <si>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</si>
  <si>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</si>
  <si>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</si>
  <si>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</si>
  <si>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</si>
  <si>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</si>
  <si>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</si>
  <si>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</si>
  <si>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</si>
  <si>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</si>
  <si>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</si>
  <si>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</si>
  <si>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</si>
  <si>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</si>
  <si>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</si>
  <si>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</si>
  <si>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</si>
  <si>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</si>
  <si>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</si>
  <si>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</si>
  <si>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</si>
  <si>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</si>
  <si>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</si>
  <si>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</si>
  <si>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</si>
  <si>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</si>
  <si>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</si>
  <si>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</si>
  <si>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</si>
  <si>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</si>
  <si>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</si>
  <si>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</si>
  <si>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</si>
  <si>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</si>
  <si>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</si>
  <si>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</si>
  <si>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</si>
  <si>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</si>
  <si>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</si>
  <si>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</si>
  <si>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</si>
  <si>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</si>
  <si>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</si>
  <si>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</si>
  <si>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</si>
  <si>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</si>
  <si>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</si>
  <si>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</si>
  <si>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</si>
  <si>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</si>
  <si>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</si>
  <si>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</si>
  <si>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</si>
  <si>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</si>
  <si>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</si>
  <si>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</si>
  <si>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</si>
  <si>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</si>
  <si>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</si>
  <si>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</si>
  <si>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</si>
  <si>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</si>
  <si>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</si>
  <si>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</si>
  <si>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</si>
  <si>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</si>
  <si>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</si>
  <si>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</si>
  <si>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</si>
  <si>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</si>
  <si>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</si>
  <si>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</si>
  <si>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</si>
  <si>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</si>
  <si>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</si>
  <si>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</si>
  <si>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</si>
  <si>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</si>
  <si>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</si>
  <si>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</si>
  <si>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</si>
  <si>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</si>
  <si>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</si>
  <si>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</si>
  <si>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</si>
  <si>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</si>
  <si>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</si>
  <si>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</si>
  <si>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</si>
  <si>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</si>
  <si>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</si>
  <si>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</si>
  <si>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</si>
  <si>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</si>
  <si>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</si>
  <si>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</si>
  <si>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</si>
  <si>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</si>
  <si>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</si>
  <si>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</si>
  <si>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</si>
  <si>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</si>
  <si>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</si>
  <si>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</si>
  <si>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</si>
  <si>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</si>
  <si>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</si>
  <si>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</si>
  <si>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</si>
  <si>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</si>
  <si>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</si>
  <si>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</si>
  <si>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</si>
  <si>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</si>
  <si>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</si>
  <si>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</si>
  <si>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</si>
  <si>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</si>
  <si>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</si>
  <si>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</si>
  <si>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</si>
  <si>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</si>
  <si>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</si>
  <si>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</si>
  <si>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</si>
  <si>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</si>
  <si>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</si>
  <si>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</si>
  <si>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</si>
  <si>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</si>
  <si>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</si>
  <si>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</si>
  <si>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</si>
  <si>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</si>
  <si>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</si>
  <si>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</si>
  <si>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</si>
  <si>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</si>
  <si>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</si>
  <si>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</si>
  <si>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</si>
  <si>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</si>
  <si>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</si>
  <si>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</si>
  <si>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</si>
  <si>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</si>
  <si>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</si>
  <si>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</si>
  <si>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</si>
  <si>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</si>
  <si>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</si>
  <si>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</si>
  <si>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</si>
  <si>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</si>
  <si>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</si>
  <si>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</si>
  <si>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</si>
  <si>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</si>
  <si>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</si>
  <si>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</si>
  <si>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</si>
  <si>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</si>
  <si>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</si>
  <si>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</si>
  <si>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</si>
  <si>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</si>
  <si>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</si>
  <si>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</si>
  <si>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</si>
  <si>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</si>
  <si>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</si>
  <si>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</si>
  <si>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</si>
  <si>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</si>
  <si>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</si>
  <si>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</si>
  <si>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</si>
  <si>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</si>
  <si>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</si>
  <si>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</si>
  <si>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</si>
  <si>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</si>
  <si>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</si>
  <si>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</si>
  <si>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</si>
  <si>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</si>
  <si>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</si>
  <si>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</si>
  <si>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</si>
  <si>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</si>
  <si>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</si>
  <si>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</si>
  <si>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</si>
  <si>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</si>
  <si>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</si>
  <si>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</si>
  <si>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</si>
  <si>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</si>
  <si>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</si>
  <si>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</si>
  <si>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</si>
  <si>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</si>
  <si>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</si>
  <si>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</si>
  <si>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</si>
  <si>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</si>
  <si>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</si>
  <si>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</si>
  <si>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</si>
  <si>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</si>
  <si>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</si>
  <si>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</si>
  <si>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</si>
  <si>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</si>
  <si>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</si>
  <si>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</si>
  <si>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</si>
  <si>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</si>
  <si>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</si>
  <si>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</si>
  <si>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</si>
  <si>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</si>
  <si>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</si>
  <si>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</si>
  <si>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</si>
  <si>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</si>
  <si>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</si>
  <si>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</si>
  <si>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</si>
  <si>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</si>
  <si>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</si>
  <si>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</si>
  <si>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</si>
  <si>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</si>
  <si>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</si>
  <si>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</si>
  <si>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</si>
  <si>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</si>
  <si>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</si>
  <si>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</si>
  <si>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</si>
  <si>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</si>
  <si>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</si>
  <si>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</si>
  <si>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</si>
  <si>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</si>
  <si>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</si>
  <si>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</si>
  <si>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</si>
  <si>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</si>
  <si>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</si>
  <si>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</si>
  <si>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</si>
  <si>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</si>
  <si>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</si>
  <si>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</si>
  <si>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</si>
  <si>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</si>
  <si>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</si>
  <si>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</si>
  <si>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</si>
  <si>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</si>
  <si>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</si>
  <si>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</si>
  <si>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</si>
  <si>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</si>
  <si>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</si>
  <si>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</si>
  <si>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</si>
  <si>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</si>
  <si>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</si>
  <si>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</si>
  <si>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</si>
  <si>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</si>
  <si>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</si>
  <si>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</si>
  <si>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</si>
  <si>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</si>
  <si>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</si>
  <si>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</si>
  <si>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</si>
  <si>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</si>
  <si>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</si>
  <si>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</si>
  <si>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</si>
  <si>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</si>
  <si>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</si>
  <si>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</si>
  <si>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</si>
  <si>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</si>
  <si>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</si>
  <si>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</si>
  <si>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</si>
  <si>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</si>
  <si>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</si>
  <si>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</si>
  <si>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</si>
  <si>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</si>
  <si>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</si>
  <si>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</si>
  <si>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</si>
  <si>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</si>
  <si>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</si>
  <si>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</si>
  <si>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</si>
  <si>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</si>
  <si>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</si>
  <si>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</si>
  <si>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</si>
  <si>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</si>
  <si>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</si>
  <si>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</si>
  <si>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</si>
  <si>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</si>
  <si>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</si>
  <si>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</si>
  <si>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</si>
  <si>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</si>
  <si>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</si>
  <si>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</si>
  <si>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</si>
  <si>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</si>
  <si>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</si>
  <si>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</si>
  <si>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</si>
  <si>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</si>
  <si>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</si>
  <si>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</si>
  <si>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</si>
  <si>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</si>
  <si>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</si>
  <si>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</si>
  <si>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</si>
  <si>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</si>
  <si>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</si>
  <si>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</si>
  <si>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</si>
  <si>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</si>
  <si>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</si>
  <si>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</si>
  <si>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</si>
  <si>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</si>
  <si>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</si>
  <si>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</si>
  <si>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</si>
  <si>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</si>
  <si>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</si>
  <si>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</si>
  <si>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</si>
  <si>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</si>
  <si>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</si>
  <si>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</si>
  <si>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</si>
  <si>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</si>
  <si>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</si>
  <si>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</si>
  <si>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</si>
  <si>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</si>
  <si>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</si>
  <si>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</si>
  <si>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</si>
  <si>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</si>
  <si>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</si>
  <si>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</si>
  <si>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</si>
  <si>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</si>
  <si>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</si>
  <si>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</si>
  <si>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</si>
  <si>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</si>
  <si>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</si>
  <si>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</si>
  <si>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</si>
  <si>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</si>
  <si>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</si>
  <si>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</si>
  <si>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</si>
  <si>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</si>
  <si>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</si>
  <si>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</si>
  <si>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</si>
  <si>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</si>
  <si>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</si>
  <si>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</si>
  <si>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</si>
  <si>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</si>
  <si>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</si>
  <si>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</si>
  <si>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</si>
  <si>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</si>
  <si>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</si>
  <si>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</si>
  <si>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</si>
  <si>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</si>
  <si>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</si>
  <si>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</si>
  <si>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</si>
  <si>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</si>
  <si>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</si>
  <si>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</si>
  <si>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</si>
  <si>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</si>
  <si>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</si>
  <si>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</si>
  <si>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</si>
  <si>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</si>
  <si>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</si>
  <si>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</si>
  <si>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</si>
  <si>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</si>
  <si>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</si>
  <si>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</si>
  <si>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</si>
  <si>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</si>
  <si>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</si>
  <si>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</si>
  <si>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</si>
  <si>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</si>
  <si>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</si>
  <si>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</si>
  <si>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</si>
  <si>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</si>
  <si>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</si>
  <si>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</si>
  <si>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</si>
  <si>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</si>
  <si>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</si>
  <si>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</si>
  <si>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</si>
  <si>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</si>
  <si>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</si>
  <si>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</si>
  <si>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</si>
  <si>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</si>
  <si>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</si>
  <si>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</si>
  <si>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</si>
  <si>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</si>
  <si>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</si>
  <si>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</si>
  <si>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</si>
  <si>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</si>
  <si>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</si>
  <si>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</si>
  <si>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</si>
  <si>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</si>
  <si>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</si>
  <si>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</si>
  <si>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</si>
  <si>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</si>
  <si>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</si>
  <si>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</si>
  <si>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</si>
  <si>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</si>
  <si>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</si>
  <si>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</si>
  <si>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</si>
  <si>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</si>
  <si>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</si>
  <si>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</si>
  <si>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</si>
  <si>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</si>
  <si>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</si>
  <si>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</si>
  <si>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</si>
  <si>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</si>
  <si>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</si>
  <si>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</si>
  <si>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</si>
  <si>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</si>
  <si>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</si>
  <si>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</si>
  <si>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</si>
  <si>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</si>
  <si>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</si>
  <si>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</si>
  <si>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</si>
  <si>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</si>
  <si>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</si>
  <si>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</si>
  <si>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</si>
  <si>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</si>
  <si>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</si>
  <si>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</si>
  <si>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</si>
  <si>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</si>
  <si>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</si>
  <si>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</si>
  <si>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</si>
  <si>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</si>
  <si>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</si>
  <si>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</si>
  <si>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</si>
  <si>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</si>
  <si>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</si>
  <si>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</si>
  <si>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</si>
  <si>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</si>
  <si>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</si>
  <si>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</si>
  <si>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</si>
  <si>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</si>
  <si>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</si>
  <si>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</si>
  <si>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</si>
  <si>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</si>
  <si>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</si>
  <si>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</si>
  <si>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</si>
  <si>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</si>
  <si>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</si>
  <si>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</si>
  <si>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</si>
  <si>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</si>
  <si>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</si>
  <si>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</si>
  <si>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</si>
  <si>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</si>
  <si>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</si>
  <si>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</si>
  <si>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</si>
  <si>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</si>
  <si>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</si>
  <si>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</si>
  <si>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</si>
  <si>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</si>
  <si>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</si>
  <si>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</si>
  <si>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</si>
  <si>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</si>
  <si>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</si>
  <si>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</si>
  <si>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</si>
  <si>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</si>
  <si>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</si>
  <si>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</si>
  <si>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</si>
  <si>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</si>
  <si>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</si>
  <si>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</si>
  <si>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</si>
  <si>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</si>
  <si>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</si>
  <si>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</si>
  <si>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</si>
  <si>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</si>
  <si>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</si>
  <si>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</si>
  <si>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</si>
  <si>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</si>
  <si>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</si>
  <si>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</si>
  <si>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</si>
  <si>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</si>
  <si>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</si>
  <si>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</si>
  <si>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</si>
  <si>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</si>
  <si>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</si>
  <si>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</si>
  <si>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</si>
  <si>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</si>
  <si>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</si>
  <si>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</si>
  <si>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</si>
  <si>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</si>
  <si>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</si>
  <si>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</si>
  <si>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</si>
  <si>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</si>
  <si>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</si>
  <si>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</si>
  <si>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</si>
  <si>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</si>
  <si>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</si>
  <si>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</si>
  <si>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</si>
  <si>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</si>
  <si>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</si>
  <si>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</si>
  <si>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</si>
  <si>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</si>
  <si>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</si>
  <si>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</si>
  <si>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</si>
  <si>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</si>
  <si>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</si>
  <si>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</si>
  <si>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</si>
  <si>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</si>
  <si>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</si>
  <si>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</si>
  <si>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</si>
  <si>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</si>
  <si>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</si>
  <si>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</si>
  <si>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</si>
  <si>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</si>
  <si>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</si>
  <si>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</si>
  <si>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</si>
  <si>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</si>
  <si>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</si>
  <si>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</si>
  <si>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</si>
  <si>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</si>
  <si>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</si>
  <si>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</si>
  <si>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</si>
  <si>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</si>
  <si>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</si>
  <si>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</si>
  <si>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</si>
  <si>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</si>
  <si>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</si>
  <si>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</si>
  <si>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</si>
  <si>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</si>
  <si>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</si>
  <si>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</si>
  <si>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</si>
  <si>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</si>
  <si>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</si>
  <si>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</si>
  <si>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</si>
  <si>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</si>
  <si>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</si>
  <si>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</si>
  <si>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</si>
  <si>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</si>
  <si>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</si>
  <si>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</si>
  <si>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</si>
  <si>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</si>
  <si>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</si>
  <si>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</si>
  <si>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</si>
  <si>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</si>
  <si>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</si>
  <si>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</si>
  <si>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</si>
  <si>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</si>
  <si>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</si>
  <si>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</si>
  <si>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</si>
  <si>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</si>
  <si>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</si>
  <si>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</si>
  <si>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</si>
  <si>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</si>
  <si>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</si>
  <si>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</si>
  <si>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</si>
  <si>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</si>
  <si>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</si>
  <si>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</si>
  <si>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</si>
  <si>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</si>
  <si>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</si>
  <si>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</si>
  <si>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</si>
  <si>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</si>
  <si>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</si>
  <si>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</si>
  <si>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</si>
  <si>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</si>
  <si>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</si>
  <si>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</si>
  <si>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</si>
  <si>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</si>
  <si>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</si>
  <si>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</si>
  <si>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</si>
  <si>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</si>
  <si>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</si>
  <si>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</si>
  <si>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</si>
  <si>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</si>
  <si>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</si>
  <si>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</si>
  <si>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</si>
  <si>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</si>
  <si>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</si>
  <si>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</si>
  <si>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</si>
  <si>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</si>
  <si>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</si>
  <si>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</si>
  <si>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</si>
  <si>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</si>
  <si>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</si>
  <si>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</si>
  <si>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</si>
  <si>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</si>
  <si>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</si>
  <si>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</si>
  <si>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</si>
  <si>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</si>
  <si>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</si>
  <si>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</si>
  <si>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</si>
  <si>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</si>
  <si>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</si>
  <si>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</si>
  <si>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</si>
  <si>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</si>
  <si>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</si>
  <si>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</si>
  <si>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</si>
  <si>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</si>
  <si>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</si>
  <si>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</si>
  <si>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</si>
  <si>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</si>
  <si>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</si>
  <si>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</si>
  <si>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</si>
  <si>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</si>
  <si>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</si>
  <si>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</si>
  <si>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</si>
  <si>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</si>
  <si>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</si>
  <si>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</si>
  <si>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</si>
  <si>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</si>
  <si>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</si>
  <si>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</si>
  <si>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</si>
  <si>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</si>
  <si>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</si>
  <si>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</si>
  <si>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</si>
  <si>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</si>
  <si>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</si>
  <si>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</si>
  <si>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</si>
  <si>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</si>
  <si>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</si>
  <si>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</si>
  <si>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</si>
  <si>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</si>
  <si>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</si>
  <si>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</si>
  <si>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</si>
  <si>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</si>
  <si>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</si>
  <si>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</si>
  <si>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</si>
  <si>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</si>
  <si>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</si>
  <si>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</si>
  <si>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</si>
  <si>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</si>
  <si>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</si>
  <si>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</si>
  <si>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</si>
  <si>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</si>
  <si>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</si>
  <si>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</si>
  <si>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</si>
  <si>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</si>
  <si>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</si>
  <si>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</si>
  <si>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</si>
  <si>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</si>
  <si>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</si>
  <si>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</si>
  <si>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</si>
  <si>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</si>
  <si>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</si>
  <si>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</si>
  <si>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</si>
  <si>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</si>
  <si>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</si>
  <si>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</si>
  <si>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</si>
  <si>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</si>
  <si>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</si>
  <si>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</si>
  <si>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</si>
  <si>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</si>
  <si>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</si>
  <si>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</si>
  <si>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</si>
  <si>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</si>
  <si>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</si>
  <si>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</si>
  <si>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</si>
  <si>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</si>
  <si>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</si>
  <si>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</si>
  <si>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</si>
  <si>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</si>
  <si>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</si>
  <si>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</si>
  <si>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</si>
  <si>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</si>
  <si>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</si>
  <si>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</si>
  <si>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</si>
  <si>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</si>
  <si>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</si>
  <si>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</si>
  <si>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</si>
  <si>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</si>
  <si>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</si>
  <si>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</si>
  <si>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</si>
  <si>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</si>
  <si>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</si>
  <si>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</si>
  <si>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</si>
  <si>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</si>
  <si>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</si>
  <si>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</si>
  <si>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</si>
  <si>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</si>
  <si>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</si>
  <si>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</si>
  <si>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</si>
  <si>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</si>
  <si>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</si>
  <si>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</si>
  <si>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</si>
  <si>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</si>
  <si>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</si>
  <si>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</si>
  <si>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</si>
  <si>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</si>
  <si>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</si>
  <si>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</si>
  <si>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</si>
  <si>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</si>
  <si>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</si>
  <si>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</si>
  <si>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</si>
  <si>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</si>
  <si>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</si>
  <si>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</si>
  <si>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</si>
  <si>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</si>
  <si>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</si>
  <si>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</si>
  <si>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</si>
  <si>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</si>
  <si>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</si>
  <si>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</si>
  <si>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</si>
  <si>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</si>
  <si>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</si>
  <si>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</si>
  <si>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</si>
  <si>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</si>
  <si>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</si>
  <si>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</si>
  <si>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</si>
  <si>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</si>
  <si>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</si>
  <si>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</si>
  <si>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</si>
  <si>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</si>
  <si>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</si>
  <si>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</si>
  <si>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</si>
  <si>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</si>
  <si>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</si>
  <si>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</si>
  <si>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</si>
  <si>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</si>
  <si>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</si>
  <si>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</si>
  <si>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</si>
  <si>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</si>
  <si>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</si>
  <si>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</si>
  <si>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</si>
  <si>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</si>
  <si>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</si>
  <si>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</si>
  <si>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</si>
  <si>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</si>
  <si>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</si>
  <si>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</si>
  <si>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</si>
  <si>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</si>
  <si>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</si>
  <si>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</si>
  <si>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</si>
  <si>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</si>
  <si>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</si>
  <si>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</si>
  <si>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</si>
  <si>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</si>
  <si>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</si>
  <si>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</si>
  <si>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</si>
  <si>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</si>
  <si>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</si>
  <si>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</si>
  <si>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</si>
  <si>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</si>
  <si>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</si>
  <si>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</si>
  <si>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</si>
  <si>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</si>
  <si>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</si>
  <si>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</si>
  <si>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</si>
  <si>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</si>
  <si>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</si>
  <si>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</si>
  <si>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</si>
  <si>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</si>
  <si>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</si>
  <si>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</si>
  <si>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</si>
  <si>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</si>
  <si>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</si>
  <si>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</si>
  <si>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</si>
  <si>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</si>
  <si>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</si>
  <si>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</si>
  <si>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</si>
  <si>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</si>
  <si>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</si>
  <si>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</si>
  <si>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</si>
  <si>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</si>
  <si>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</si>
  <si>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</si>
  <si>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</si>
  <si>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</si>
  <si>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</si>
  <si>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</si>
  <si>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</si>
  <si>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</si>
  <si>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</si>
  <si>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</si>
  <si>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</si>
  <si>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</si>
  <si>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</si>
  <si>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</si>
  <si>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</si>
  <si>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</si>
  <si>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</si>
  <si>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</si>
  <si>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</si>
  <si>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</si>
  <si>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</si>
  <si>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</si>
  <si>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</si>
  <si>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</si>
  <si>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</si>
  <si>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</si>
  <si>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</si>
  <si>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</si>
  <si>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</si>
  <si>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</si>
  <si>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</si>
  <si>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</si>
  <si>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</si>
  <si>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</si>
  <si>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</si>
  <si>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</si>
  <si>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</si>
  <si>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</si>
  <si>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</si>
  <si>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</si>
  <si>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</si>
  <si>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</si>
  <si>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</si>
  <si>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</si>
  <si>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</si>
  <si>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</si>
  <si>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</si>
  <si>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</si>
  <si>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</si>
  <si>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</si>
  <si>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</si>
  <si>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</si>
  <si>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</si>
  <si>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</si>
  <si>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</si>
  <si>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</si>
  <si>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</si>
  <si>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</si>
  <si>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</si>
  <si>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</si>
  <si>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</si>
  <si>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</si>
  <si>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</si>
  <si>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</si>
  <si>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</si>
  <si>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</si>
  <si>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</si>
  <si>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</si>
  <si>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</si>
  <si>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</si>
  <si>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</si>
  <si>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</si>
  <si>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</si>
  <si>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</si>
  <si>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</si>
  <si>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</si>
  <si>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</si>
  <si>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</si>
  <si>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</si>
  <si>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</si>
  <si>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</si>
  <si>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</si>
  <si>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</si>
  <si>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</si>
  <si>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</si>
  <si>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</si>
  <si>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</si>
  <si>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</si>
  <si>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</si>
  <si>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</si>
  <si>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</si>
  <si>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</si>
  <si>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</si>
  <si>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</si>
  <si>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</si>
  <si>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</si>
  <si>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</si>
  <si>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</si>
  <si>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</si>
  <si>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</si>
  <si>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</si>
  <si>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</si>
  <si>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</si>
  <si>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</si>
  <si>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</si>
  <si>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</si>
  <si>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</si>
  <si>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</si>
  <si>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</si>
  <si>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</si>
  <si>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</si>
  <si>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</si>
  <si>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</si>
  <si>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</si>
  <si>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</si>
  <si>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</si>
  <si>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</si>
  <si>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</si>
  <si>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</si>
  <si>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</si>
  <si>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</si>
  <si>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</si>
  <si>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</si>
  <si>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</si>
  <si>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</si>
  <si>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</si>
  <si>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</si>
  <si>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</si>
  <si>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</si>
  <si>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</si>
  <si>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</si>
  <si>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</si>
  <si>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</si>
  <si>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</si>
  <si>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</si>
  <si>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</si>
  <si>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</si>
  <si>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</si>
  <si>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</si>
  <si>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</si>
  <si>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</si>
  <si>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</si>
  <si>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</si>
  <si>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</si>
  <si>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</si>
  <si>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</si>
  <si>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</si>
  <si>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</si>
  <si>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</si>
  <si>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</si>
  <si>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</si>
  <si>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</si>
  <si>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</si>
  <si>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</si>
  <si>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</si>
  <si>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</si>
  <si>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</si>
  <si>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</si>
  <si>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</si>
  <si>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</si>
  <si>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</si>
  <si>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</si>
  <si>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</si>
  <si>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</si>
  <si>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</si>
  <si>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</si>
  <si>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</si>
  <si>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</si>
  <si>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</si>
  <si>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</si>
  <si>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</si>
  <si>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</si>
  <si>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</si>
  <si>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</si>
  <si>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</si>
  <si>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</si>
  <si>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</si>
  <si>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</si>
  <si>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</si>
  <si>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</si>
  <si>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</si>
  <si>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</si>
  <si>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</si>
  <si>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</si>
  <si>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</si>
  <si>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</si>
  <si>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</si>
  <si>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</si>
  <si>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</si>
  <si>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</si>
  <si>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</si>
  <si>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PCH_projeto_N</t>
  </si>
  <si>
    <t>PCH_projeto_NE</t>
  </si>
  <si>
    <t>PCH_projeto_S_1/2</t>
  </si>
  <si>
    <t>PCH_projeto_SE/CO</t>
  </si>
  <si>
    <t>PCH_projeto_SE/CO_1/3</t>
  </si>
  <si>
    <t>PCH_projeto_S_2/2</t>
  </si>
  <si>
    <t>PCH_projeto_SE/CO_2/3</t>
  </si>
  <si>
    <t>PCH_projeto_SE/CO_3/3</t>
  </si>
  <si>
    <t>PCH_PDE_2015_S</t>
  </si>
  <si>
    <t>PCH_PDE_2015_TELES_PIRES</t>
  </si>
  <si>
    <t>PCH_PDE_2016_SE/CO</t>
  </si>
  <si>
    <t>PCH_PDE_2016_S</t>
  </si>
  <si>
    <t>PCH_PDE_2016_NE</t>
  </si>
  <si>
    <t>PCH_PDE_2016_AC/RO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</si>
  <si>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</si>
  <si>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</si>
  <si>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</si>
  <si>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</si>
  <si>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</si>
  <si>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</si>
  <si>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</si>
  <si>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</si>
  <si>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</si>
  <si>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</si>
  <si>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</si>
  <si>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Pongo de Manseriche</t>
  </si>
  <si>
    <t>Peru (60hz)</t>
  </si>
  <si>
    <t>4.27'49''</t>
  </si>
  <si>
    <t>77.32'16''</t>
  </si>
  <si>
    <t>Cumba 4</t>
  </si>
  <si>
    <t>Peru</t>
  </si>
  <si>
    <t>6.4'8''</t>
  </si>
  <si>
    <t>78.32'42''</t>
  </si>
  <si>
    <t>La Balsa</t>
  </si>
  <si>
    <t>6.48'38''</t>
  </si>
  <si>
    <t>78.1'6''</t>
  </si>
  <si>
    <t>Rentema</t>
  </si>
  <si>
    <t>5.20'</t>
  </si>
  <si>
    <t>78.30'</t>
  </si>
  <si>
    <t>La Guitarra</t>
  </si>
  <si>
    <t>12.16'</t>
  </si>
  <si>
    <t>74.43'</t>
  </si>
  <si>
    <t>Man 270</t>
  </si>
  <si>
    <t>12.2'</t>
  </si>
  <si>
    <t>74.41'</t>
  </si>
  <si>
    <t>Sumabeni</t>
  </si>
  <si>
    <t>12.9'50''</t>
  </si>
  <si>
    <t>74.4'13''</t>
  </si>
  <si>
    <t>Paquitzapango</t>
  </si>
  <si>
    <t>11.31'4''</t>
  </si>
  <si>
    <t>Tampo-Pto. Prado</t>
  </si>
  <si>
    <t>10.9'10''</t>
  </si>
  <si>
    <t>Vizcatá</t>
  </si>
  <si>
    <t>12.25'</t>
  </si>
  <si>
    <t>Cuquipampa</t>
  </si>
  <si>
    <t>12.17'</t>
  </si>
  <si>
    <t>Ina 200</t>
  </si>
  <si>
    <t>15.12'</t>
  </si>
  <si>
    <t>Urub 320</t>
  </si>
  <si>
    <t>12.14'</t>
  </si>
  <si>
    <t>Bala</t>
  </si>
  <si>
    <t>Bolivia (50 hz)</t>
  </si>
  <si>
    <t>14.32′44″</t>
  </si>
  <si>
    <t>Cahuela Esperanza</t>
  </si>
  <si>
    <t>10.32´</t>
  </si>
  <si>
    <t>Río Grande</t>
  </si>
  <si>
    <t>18.55'41.7"</t>
  </si>
  <si>
    <t>Guajará-mirim</t>
  </si>
  <si>
    <t>10.46'58"S</t>
  </si>
  <si>
    <t>Aña Cuá</t>
  </si>
  <si>
    <t>Paraguai / Argentina</t>
  </si>
  <si>
    <t xml:space="preserve">-27.28′58″S </t>
  </si>
  <si>
    <t>Ampliação de Yaciretá</t>
  </si>
  <si>
    <t>Corpus Christi (Pindo-í)</t>
  </si>
  <si>
    <t>-27. 06' Sur</t>
  </si>
  <si>
    <t>Itatî - Itacora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</si>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</sst>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4" fontId="5" fillId="0" borderId="0" applyFont="0" applyFill="0" applyBorder="0" applyAlignment="0" applyProtection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63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4" fontId="68" fillId="64" borderId="24" xfId="1" applyFont="1" applyFill="1" applyBorder="1" applyAlignment="1">
      <alignment horizontal="center"/>
    </xf>
    <xf numFmtId="164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164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61" fillId="0" borderId="0" xfId="0" applyFont="1" applyAlignment="1">
      <alignment vertical="center"/>
    </xf>
    <xf numFmtId="1" fontId="7" fillId="66" borderId="0" xfId="0" applyNumberFormat="1" applyFont="1" applyFill="1" applyAlignment="1">
      <alignment horizontal="right"/>
    </xf>
    <xf numFmtId="0" fontId="7" fillId="14" borderId="0" xfId="0" applyFont="1" applyFill="1"/>
    <xf numFmtId="0" fontId="15" fillId="14" borderId="0" xfId="2" applyFont="1" applyFill="1" applyAlignment="1">
      <alignment horizontal="center"/>
    </xf>
    <xf numFmtId="0" fontId="7" fillId="14" borderId="24" xfId="0" applyFont="1" applyFill="1" applyBorder="1"/>
    <xf numFmtId="0" fontId="7" fillId="14" borderId="49" xfId="0" applyFont="1" applyFill="1" applyBorder="1"/>
    <xf numFmtId="0" fontId="61" fillId="21" borderId="49" xfId="0" applyFont="1" applyFill="1" applyBorder="1" applyAlignment="1">
      <alignment vertical="center"/>
    </xf>
    <xf numFmtId="0" fontId="61" fillId="0" borderId="49" xfId="0" applyFont="1" applyBorder="1" applyAlignment="1">
      <alignment vertical="center"/>
    </xf>
    <xf numFmtId="0" fontId="61" fillId="0" borderId="49" xfId="0" applyFont="1" applyBorder="1" applyAlignment="1">
      <alignment horizontal="center" vertical="center"/>
    </xf>
    <xf numFmtId="0" fontId="1" fillId="0" borderId="49" xfId="27" applyNumberFormat="1" applyFont="1" applyFill="1" applyBorder="1" applyAlignment="1">
      <alignment horizontal="center"/>
    </xf>
    <xf numFmtId="0" fontId="7" fillId="0" borderId="24" xfId="0" applyFont="1" applyBorder="1"/>
    <xf numFmtId="2" fontId="7" fillId="0" borderId="0" xfId="1" applyNumberFormat="1" applyFont="1" applyFill="1" applyBorder="1" applyAlignment="1" applyProtection="1">
      <alignment horizontal="right"/>
      <protection locked="0"/>
    </xf>
    <xf numFmtId="2" fontId="7" fillId="8" borderId="0" xfId="1" applyNumberFormat="1" applyFont="1" applyFill="1" applyBorder="1" applyAlignment="1" applyProtection="1">
      <alignment horizontal="center"/>
    </xf>
    <xf numFmtId="168" fontId="7" fillId="8" borderId="0" xfId="1" applyNumberFormat="1" applyFont="1" applyFill="1" applyBorder="1" applyAlignment="1" applyProtection="1">
      <alignment horizontal="center"/>
    </xf>
    <xf numFmtId="2" fontId="7" fillId="11" borderId="0" xfId="1" applyNumberFormat="1" applyFont="1" applyFill="1" applyBorder="1" applyAlignment="1">
      <alignment horizont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  <xf numFmtId="0" fontId="1" fillId="0" borderId="0" xfId="27" applyNumberFormat="1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84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[45. Integração Elétrica com países da América do Sul com custo do sistema de transmissão 50 por cento maior.xlsx]Plan1!Tabela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2A5-42C1-97CC-71BBBFFC8098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A5-42C1-97CC-71BBBFFC8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241024"/>
        <c:axId val="121892864"/>
      </c:barChart>
      <c:catAx>
        <c:axId val="10624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21892864"/>
        <c:crosses val="autoZero"/>
        <c:auto val="1"/>
        <c:lblAlgn val="ctr"/>
        <c:lblOffset val="100"/>
        <c:noMultiLvlLbl val="0"/>
      </c:catAx>
      <c:valAx>
        <c:axId val="121892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062410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27-4547-8B3B-2720EAC7D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608768"/>
        <c:axId val="216920064"/>
      </c:lineChart>
      <c:catAx>
        <c:axId val="176608768"/>
        <c:scaling>
          <c:orientation val="minMax"/>
        </c:scaling>
        <c:delete val="0"/>
        <c:axPos val="b"/>
        <c:majorTickMark val="out"/>
        <c:minorTickMark val="none"/>
        <c:tickLblPos val="nextTo"/>
        <c:crossAx val="216920064"/>
        <c:crosses val="autoZero"/>
        <c:auto val="1"/>
        <c:lblAlgn val="ctr"/>
        <c:lblOffset val="100"/>
        <c:noMultiLvlLbl val="0"/>
      </c:catAx>
      <c:valAx>
        <c:axId val="2169200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608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Setembro%2019%20(2)/z6.%20IntegracaoRegional/BD_PLANEL_PNE_BalPontaTrim_UHE_Integracao_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F000000}">
  <cacheSource type="worksheet">
    <worksheetSource ref="A1:BH217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0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83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56" t="s">
        <v>9</v>
      </c>
      <c r="K3" s="657"/>
      <c r="L3" s="656" t="s">
        <v>10</v>
      </c>
      <c r="M3" s="657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H1640"/>
  <sheetViews>
    <sheetView zoomScale="90" zoomScaleNormal="90" workbookViewId="0">
      <selection activeCell="AG6" sqref="AG6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4" width="30.7109375" style="3" bestFit="1" customWidth="1"/>
    <col min="5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6.85546875" style="125" bestFit="1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5" customHeight="1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162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177</v>
      </c>
      <c r="P1" s="2" t="s">
        <v>178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187</v>
      </c>
      <c r="AK1" s="2" t="s">
        <v>188</v>
      </c>
      <c r="AL1" s="2" t="s">
        <v>189</v>
      </c>
      <c r="AM1" s="15" t="s">
        <v>190</v>
      </c>
      <c r="AN1" s="2" t="s">
        <v>2169</v>
      </c>
      <c r="AO1" s="2" t="s">
        <v>192</v>
      </c>
      <c r="AP1" s="27" t="s">
        <v>193</v>
      </c>
      <c r="AQ1" s="392" t="s">
        <v>2170</v>
      </c>
      <c r="AR1" s="338" t="s">
        <v>2171</v>
      </c>
      <c r="AS1" s="338" t="s">
        <v>2172</v>
      </c>
      <c r="AT1" s="339" t="s">
        <v>195</v>
      </c>
      <c r="AU1" s="339" t="s">
        <v>196</v>
      </c>
      <c r="AV1" s="339" t="s">
        <v>2173</v>
      </c>
      <c r="AW1" s="339" t="s">
        <v>198</v>
      </c>
      <c r="AX1" s="28" t="s">
        <v>199</v>
      </c>
      <c r="AY1" s="29" t="s">
        <v>200</v>
      </c>
      <c r="AZ1" s="71" t="s">
        <v>201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662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1</v>
      </c>
      <c r="AF2" s="32" t="str">
        <f>IF(AE2=0,"",VLOOKUP(AE2,tab_tipo_expansao!$A$2:$B$4,2,0))</f>
        <v>opcional</v>
      </c>
      <c r="AG2" s="125">
        <v>2030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649">
        <v>0</v>
      </c>
      <c r="AO2" s="23"/>
      <c r="AP2" s="650">
        <f t="shared" ref="AP2:AP65" si="7">AJ2+AN2+AO2</f>
        <v>1919.0294896418484</v>
      </c>
      <c r="AQ2" s="651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652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4.4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662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1</v>
      </c>
      <c r="AF3" s="32" t="str">
        <f>IF(AE3=0,"",VLOOKUP(AE3,tab_tipo_expansao!$A$2:$B$4,2,0))</f>
        <v>opcional</v>
      </c>
      <c r="AG3" s="125">
        <v>2030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662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1</v>
      </c>
      <c r="AF4" s="32" t="str">
        <f>IF(AE4=0,"",VLOOKUP(AE4,tab_tipo_expansao!$A$2:$B$4,2,0))</f>
        <v>opcional</v>
      </c>
      <c r="AG4" s="125">
        <v>2030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4.4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662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1</v>
      </c>
      <c r="AF5" s="32" t="str">
        <f>IF(AE5=0,"",VLOOKUP(AE5,tab_tipo_expansao!$A$2:$B$4,2,0))</f>
        <v>opcional</v>
      </c>
      <c r="AG5" s="125">
        <v>2030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662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1</v>
      </c>
      <c r="AF6" s="32" t="str">
        <f>IF(AE6=0,"",VLOOKUP(AE6,tab_tipo_expansao!$A$2:$B$4,2,0))</f>
        <v>opcional</v>
      </c>
      <c r="AG6" s="125">
        <v>2030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662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1</v>
      </c>
      <c r="AF7" s="32" t="str">
        <f>IF(AE7=0,"",VLOOKUP(AE7,tab_tipo_expansao!$A$2:$B$4,2,0))</f>
        <v>opcional</v>
      </c>
      <c r="AG7" s="125">
        <v>2030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662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1</v>
      </c>
      <c r="AF8" s="32" t="str">
        <f>IF(AE8=0,"",VLOOKUP(AE8,tab_tipo_expansao!$A$2:$B$4,2,0))</f>
        <v>opcional</v>
      </c>
      <c r="AG8" s="125">
        <v>2030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662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1</v>
      </c>
      <c r="AF9" s="32" t="str">
        <f>IF(AE9=0,"",VLOOKUP(AE9,tab_tipo_expansao!$A$2:$B$4,2,0))</f>
        <v>opcional</v>
      </c>
      <c r="AG9" s="125">
        <v>2030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662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160</v>
      </c>
      <c r="L11" s="539" t="s">
        <v>160</v>
      </c>
      <c r="M11" s="662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662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662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662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1</v>
      </c>
      <c r="AF14" s="32" t="str">
        <f>IF(AE14=0,"",VLOOKUP(AE14,tab_tipo_expansao!$A$2:$B$4,2,0))</f>
        <v>opcional</v>
      </c>
      <c r="AG14" s="125">
        <v>2030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160</v>
      </c>
      <c r="L15" s="539" t="s">
        <v>160</v>
      </c>
      <c r="M15" s="662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662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hidden="1" customHeight="1">
      <c r="A17" s="125">
        <v>1016</v>
      </c>
      <c r="B17" s="125">
        <v>1016</v>
      </c>
      <c r="C17" s="625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662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160</v>
      </c>
      <c r="L18" s="539" t="s">
        <v>160</v>
      </c>
      <c r="M18" s="662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1</v>
      </c>
      <c r="AF18" s="32" t="str">
        <f>IF(AE18=0,"",VLOOKUP(AE18,tab_tipo_expansao!$A$2:$B$4,2,0))</f>
        <v>opcional</v>
      </c>
      <c r="AG18" s="125">
        <v>2030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662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1</v>
      </c>
      <c r="AF19" s="32" t="str">
        <f>IF(AE19=0,"",VLOOKUP(AE19,tab_tipo_expansao!$A$2:$B$4,2,0))</f>
        <v>opcional</v>
      </c>
      <c r="AG19" s="125">
        <v>2030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4.45" hidden="1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662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4.4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662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1</v>
      </c>
      <c r="AF21" s="32" t="str">
        <f>IF(AE21=0,"",VLOOKUP(AE21,tab_tipo_expansao!$A$2:$B$4,2,0))</f>
        <v>opcional</v>
      </c>
      <c r="AG21" s="125">
        <v>2030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662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4.45" hidden="1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160</v>
      </c>
      <c r="L23" s="539" t="s">
        <v>160</v>
      </c>
      <c r="M23" s="662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4.4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662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1</v>
      </c>
      <c r="AF24" s="32" t="str">
        <f>IF(AE24=0,"",VLOOKUP(AE24,tab_tipo_expansao!$A$2:$B$4,2,0))</f>
        <v>opcional</v>
      </c>
      <c r="AG24" s="125">
        <v>2030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4.45" hidden="1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662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4.45" hidden="1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662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4.45" hidden="1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662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hidden="1" customHeight="1">
      <c r="A28" s="125">
        <v>1027</v>
      </c>
      <c r="B28" s="125">
        <v>1027</v>
      </c>
      <c r="C28" s="626" t="s">
        <v>2235</v>
      </c>
      <c r="D28" s="538" t="s">
        <v>2235</v>
      </c>
      <c r="E28" s="546"/>
      <c r="F28" s="639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159</v>
      </c>
      <c r="L28" s="539" t="s">
        <v>159</v>
      </c>
      <c r="M28" s="662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4.4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662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1</v>
      </c>
      <c r="AF29" s="32" t="str">
        <f>IF(AE29=0,"",VLOOKUP(AE29,tab_tipo_expansao!$A$2:$B$4,2,0))</f>
        <v>opcional</v>
      </c>
      <c r="AG29" s="125">
        <v>2030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4.45" hidden="1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160</v>
      </c>
      <c r="L30" s="539" t="s">
        <v>160</v>
      </c>
      <c r="M30" s="662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4.45" hidden="1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662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hidden="1" customHeight="1">
      <c r="A32" s="125">
        <v>1031</v>
      </c>
      <c r="B32" s="125">
        <v>1031</v>
      </c>
      <c r="C32" s="624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662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4.4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160</v>
      </c>
      <c r="L33" s="539" t="s">
        <v>160</v>
      </c>
      <c r="M33" s="662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1</v>
      </c>
      <c r="AF33" s="32" t="str">
        <f>IF(AE33=0,"",VLOOKUP(AE33,tab_tipo_expansao!$A$2:$B$4,2,0))</f>
        <v>opcional</v>
      </c>
      <c r="AG33" s="125">
        <v>2030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4.45" hidden="1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662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4.4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662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1</v>
      </c>
      <c r="AF35" s="32" t="str">
        <f>IF(AE35=0,"",VLOOKUP(AE35,tab_tipo_expansao!$A$2:$B$4,2,0))</f>
        <v>opcional</v>
      </c>
      <c r="AG35" s="125">
        <v>2030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4.4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662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1</v>
      </c>
      <c r="AF36" s="32" t="str">
        <f>IF(AE36=0,"",VLOOKUP(AE36,tab_tipo_expansao!$A$2:$B$4,2,0))</f>
        <v>opcional</v>
      </c>
      <c r="AG36" s="125">
        <v>2030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4.4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662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1</v>
      </c>
      <c r="AF37" s="32" t="str">
        <f>IF(AE37=0,"",VLOOKUP(AE37,tab_tipo_expansao!$A$2:$B$4,2,0))</f>
        <v>opcional</v>
      </c>
      <c r="AG37" s="125">
        <v>2030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4.4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662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1</v>
      </c>
      <c r="AF38" s="32" t="str">
        <f>IF(AE38=0,"",VLOOKUP(AE38,tab_tipo_expansao!$A$2:$B$4,2,0))</f>
        <v>opcional</v>
      </c>
      <c r="AG38" s="125">
        <v>2030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4.45" hidden="1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160</v>
      </c>
      <c r="L39" s="539" t="s">
        <v>160</v>
      </c>
      <c r="M39" s="662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662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662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662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662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1</v>
      </c>
      <c r="AF43" s="32" t="str">
        <f>IF(AE43=0,"",VLOOKUP(AE43,tab_tipo_expansao!$A$2:$B$4,2,0))</f>
        <v>opcional</v>
      </c>
      <c r="AG43" s="125">
        <v>2030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hidden="1" customHeight="1">
      <c r="A44" s="125">
        <v>1043</v>
      </c>
      <c r="B44" s="125">
        <v>1043</v>
      </c>
      <c r="C44" s="625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160</v>
      </c>
      <c r="L44" s="539" t="s">
        <v>160</v>
      </c>
      <c r="M44" s="662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4.45" hidden="1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662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4.45" hidden="1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662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4.4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662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1</v>
      </c>
      <c r="AF47" s="32" t="str">
        <f>IF(AE47=0,"",VLOOKUP(AE47,tab_tipo_expansao!$A$2:$B$4,2,0))</f>
        <v>opcional</v>
      </c>
      <c r="AG47" s="125">
        <v>2030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4.45" hidden="1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662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hidden="1" customHeight="1">
      <c r="A49" s="125">
        <v>1048</v>
      </c>
      <c r="B49" s="125">
        <v>1048</v>
      </c>
      <c r="C49" s="624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662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4.4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160</v>
      </c>
      <c r="L50" s="539" t="s">
        <v>160</v>
      </c>
      <c r="M50" s="662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1</v>
      </c>
      <c r="AF50" s="32" t="str">
        <f>IF(AE50=0,"",VLOOKUP(AE50,tab_tipo_expansao!$A$2:$B$4,2,0))</f>
        <v>opcional</v>
      </c>
      <c r="AG50" s="125">
        <v>2030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4.45" hidden="1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662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4.45" hidden="1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662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4.4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662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1</v>
      </c>
      <c r="AF53" s="32" t="str">
        <f>IF(AE53=0,"",VLOOKUP(AE53,tab_tipo_expansao!$A$2:$B$4,2,0))</f>
        <v>opcional</v>
      </c>
      <c r="AG53" s="125">
        <v>2030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hidden="1" customHeight="1">
      <c r="A54" s="125">
        <v>1053</v>
      </c>
      <c r="B54" s="125">
        <v>1053</v>
      </c>
      <c r="C54" s="624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662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4.45" hidden="1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662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662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160</v>
      </c>
      <c r="L57" s="539" t="s">
        <v>160</v>
      </c>
      <c r="M57" s="662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1</v>
      </c>
      <c r="AF57" s="32" t="str">
        <f>IF(AE57=0,"",VLOOKUP(AE57,tab_tipo_expansao!$A$2:$B$4,2,0))</f>
        <v>opcional</v>
      </c>
      <c r="AG57" s="125">
        <v>2030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662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662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hidden="1" customHeight="1">
      <c r="A60" s="125">
        <v>1059</v>
      </c>
      <c r="B60" s="125">
        <v>1059</v>
      </c>
      <c r="C60" s="625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662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160</v>
      </c>
      <c r="L61" s="539" t="s">
        <v>160</v>
      </c>
      <c r="M61" s="662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1</v>
      </c>
      <c r="AF61" s="32" t="str">
        <f>IF(AE61=0,"",VLOOKUP(AE61,tab_tipo_expansao!$A$2:$B$4,2,0))</f>
        <v>opcional</v>
      </c>
      <c r="AG61" s="125">
        <v>2030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4.4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160</v>
      </c>
      <c r="L62" s="539" t="s">
        <v>160</v>
      </c>
      <c r="M62" s="662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1</v>
      </c>
      <c r="AF62" s="32" t="str">
        <f>IF(AE62=0,"",VLOOKUP(AE62,tab_tipo_expansao!$A$2:$B$4,2,0))</f>
        <v>opcional</v>
      </c>
      <c r="AG62" s="125">
        <v>2030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662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1</v>
      </c>
      <c r="AF63" s="32" t="str">
        <f>IF(AE63=0,"",VLOOKUP(AE63,tab_tipo_expansao!$A$2:$B$4,2,0))</f>
        <v>opcional</v>
      </c>
      <c r="AG63" s="125">
        <v>2030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662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4.45" hidden="1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662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4.4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159</v>
      </c>
      <c r="L66" s="539" t="s">
        <v>159</v>
      </c>
      <c r="M66" s="662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1</v>
      </c>
      <c r="AF66" s="32" t="str">
        <f>IF(AE66=0,"",VLOOKUP(AE66,tab_tipo_expansao!$A$2:$B$4,2,0))</f>
        <v>opcional</v>
      </c>
      <c r="AG66" s="125">
        <v>2030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4.45" hidden="1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662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4.4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160</v>
      </c>
      <c r="L68" s="539" t="s">
        <v>160</v>
      </c>
      <c r="M68" s="662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1</v>
      </c>
      <c r="AF68" s="32" t="str">
        <f>IF(AE68=0,"",VLOOKUP(AE68,tab_tipo_expansao!$A$2:$B$4,2,0))</f>
        <v>opcional</v>
      </c>
      <c r="AG68" s="125">
        <v>2030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4.45" hidden="1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160</v>
      </c>
      <c r="L69" s="539" t="s">
        <v>160</v>
      </c>
      <c r="M69" s="662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4.4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160</v>
      </c>
      <c r="L70" s="539" t="s">
        <v>160</v>
      </c>
      <c r="M70" s="662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1</v>
      </c>
      <c r="AF70" s="32" t="str">
        <f>IF(AE70=0,"",VLOOKUP(AE70,tab_tipo_expansao!$A$2:$B$4,2,0))</f>
        <v>opcional</v>
      </c>
      <c r="AG70" s="125">
        <v>2030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4.4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160</v>
      </c>
      <c r="L71" s="539" t="s">
        <v>160</v>
      </c>
      <c r="M71" s="662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1</v>
      </c>
      <c r="AF71" s="32" t="str">
        <f>IF(AE71=0,"",VLOOKUP(AE71,tab_tipo_expansao!$A$2:$B$4,2,0))</f>
        <v>opcional</v>
      </c>
      <c r="AG71" s="125">
        <v>2030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4.45" hidden="1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662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hidden="1" customHeight="1">
      <c r="A73" s="125">
        <v>1072</v>
      </c>
      <c r="B73" s="125">
        <v>1072</v>
      </c>
      <c r="C73" s="625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662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4.4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160</v>
      </c>
      <c r="L74" s="539" t="s">
        <v>160</v>
      </c>
      <c r="M74" s="662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1</v>
      </c>
      <c r="AF74" s="32" t="str">
        <f>IF(AE74=0,"",VLOOKUP(AE74,tab_tipo_expansao!$A$2:$B$4,2,0))</f>
        <v>opcional</v>
      </c>
      <c r="AG74" s="125">
        <v>2030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662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4.45" hidden="1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662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4.45" hidden="1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662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4.4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662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1</v>
      </c>
      <c r="AF78" s="32" t="str">
        <f>IF(AE78=0,"",VLOOKUP(AE78,tab_tipo_expansao!$A$2:$B$4,2,0))</f>
        <v>opcional</v>
      </c>
      <c r="AG78" s="125">
        <v>2030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662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4.45" hidden="1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662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4.4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160</v>
      </c>
      <c r="L81" s="539" t="s">
        <v>160</v>
      </c>
      <c r="M81" s="662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1</v>
      </c>
      <c r="AF81" s="32" t="str">
        <f>IF(AE81=0,"",VLOOKUP(AE81,tab_tipo_expansao!$A$2:$B$4,2,0))</f>
        <v>opcional</v>
      </c>
      <c r="AG81" s="125">
        <v>2030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4.4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160</v>
      </c>
      <c r="L82" s="539" t="s">
        <v>160</v>
      </c>
      <c r="M82" s="662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1</v>
      </c>
      <c r="AF82" s="32" t="str">
        <f>IF(AE82=0,"",VLOOKUP(AE82,tab_tipo_expansao!$A$2:$B$4,2,0))</f>
        <v>opcional</v>
      </c>
      <c r="AG82" s="125">
        <v>2030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4.4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662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1</v>
      </c>
      <c r="AF83" s="32" t="str">
        <f>IF(AE83=0,"",VLOOKUP(AE83,tab_tipo_expansao!$A$2:$B$4,2,0))</f>
        <v>opcional</v>
      </c>
      <c r="AG83" s="125">
        <v>2030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4.45" hidden="1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662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662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1</v>
      </c>
      <c r="AF85" s="32" t="str">
        <f>IF(AE85=0,"",VLOOKUP(AE85,tab_tipo_expansao!$A$2:$B$4,2,0))</f>
        <v>opcional</v>
      </c>
      <c r="AG85" s="125">
        <v>2030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4.4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662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1</v>
      </c>
      <c r="AF86" s="32" t="str">
        <f>IF(AE86=0,"",VLOOKUP(AE86,tab_tipo_expansao!$A$2:$B$4,2,0))</f>
        <v>opcional</v>
      </c>
      <c r="AG86" s="125">
        <v>2030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4.45" hidden="1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662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hidden="1" customHeight="1">
      <c r="A88" s="125">
        <v>1087</v>
      </c>
      <c r="B88" s="125">
        <v>1087</v>
      </c>
      <c r="C88" s="626" t="s">
        <v>2321</v>
      </c>
      <c r="D88" s="538" t="s">
        <v>2321</v>
      </c>
      <c r="E88" s="546"/>
      <c r="F88" s="639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662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4.45" hidden="1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662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4.4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160</v>
      </c>
      <c r="L90" s="539" t="s">
        <v>160</v>
      </c>
      <c r="M90" s="662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1</v>
      </c>
      <c r="AF90" s="32" t="str">
        <f>IF(AE90=0,"",VLOOKUP(AE90,tab_tipo_expansao!$A$2:$B$4,2,0))</f>
        <v>opcional</v>
      </c>
      <c r="AG90" s="125">
        <v>2030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4.4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160</v>
      </c>
      <c r="L91" s="539" t="s">
        <v>160</v>
      </c>
      <c r="M91" s="662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1</v>
      </c>
      <c r="AF91" s="32" t="str">
        <f>IF(AE91=0,"",VLOOKUP(AE91,tab_tipo_expansao!$A$2:$B$4,2,0))</f>
        <v>opcional</v>
      </c>
      <c r="AG91" s="125">
        <v>2030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4.4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662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1</v>
      </c>
      <c r="AF92" s="32" t="str">
        <f>IF(AE92=0,"",VLOOKUP(AE92,tab_tipo_expansao!$A$2:$B$4,2,0))</f>
        <v>opcional</v>
      </c>
      <c r="AG92" s="125">
        <v>2030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4.4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662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1</v>
      </c>
      <c r="AF93" s="32" t="str">
        <f>IF(AE93=0,"",VLOOKUP(AE93,tab_tipo_expansao!$A$2:$B$4,2,0))</f>
        <v>opcional</v>
      </c>
      <c r="AG93" s="125">
        <v>2030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hidden="1" customHeight="1">
      <c r="A94" s="125">
        <v>1093</v>
      </c>
      <c r="B94" s="125">
        <v>1093</v>
      </c>
      <c r="C94" s="624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662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4.45" hidden="1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662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4.4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662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1</v>
      </c>
      <c r="AF96" s="32" t="str">
        <f>IF(AE96=0,"",VLOOKUP(AE96,tab_tipo_expansao!$A$2:$B$4,2,0))</f>
        <v>opcional</v>
      </c>
      <c r="AG96" s="125">
        <v>2030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4.4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662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1</v>
      </c>
      <c r="AF97" s="32" t="str">
        <f>IF(AE97=0,"",VLOOKUP(AE97,tab_tipo_expansao!$A$2:$B$4,2,0))</f>
        <v>opcional</v>
      </c>
      <c r="AG97" s="125">
        <v>2030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4.45" hidden="1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160</v>
      </c>
      <c r="L98" s="539" t="s">
        <v>160</v>
      </c>
      <c r="M98" s="662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9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4.4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662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1</v>
      </c>
      <c r="AF99" s="32" t="str">
        <f>IF(AE99=0,"",VLOOKUP(AE99,tab_tipo_expansao!$A$2:$B$4,2,0))</f>
        <v>opcional</v>
      </c>
      <c r="AG99" s="125">
        <v>2030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4.4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662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1</v>
      </c>
      <c r="AF100" s="32" t="str">
        <f>IF(AE100=0,"",VLOOKUP(AE100,tab_tipo_expansao!$A$2:$B$4,2,0))</f>
        <v>opcional</v>
      </c>
      <c r="AG100" s="125">
        <v>2030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160</v>
      </c>
      <c r="L101" s="539" t="s">
        <v>160</v>
      </c>
      <c r="M101" s="662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1</v>
      </c>
      <c r="AF101" s="32" t="str">
        <f>IF(AE101=0,"",VLOOKUP(AE101,tab_tipo_expansao!$A$2:$B$4,2,0))</f>
        <v>opcional</v>
      </c>
      <c r="AG101" s="125">
        <v>2030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4.4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662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4.4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662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1</v>
      </c>
      <c r="AF103" s="32" t="str">
        <f>IF(AE103=0,"",VLOOKUP(AE103,tab_tipo_expansao!$A$2:$B$4,2,0))</f>
        <v>opcional</v>
      </c>
      <c r="AG103" s="125">
        <v>2030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4.4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662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4.4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662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662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1</v>
      </c>
      <c r="AF106" s="32" t="str">
        <f>IF(AE106=0,"",VLOOKUP(AE106,tab_tipo_expansao!$A$2:$B$4,2,0))</f>
        <v>opcional</v>
      </c>
      <c r="AG106" s="125">
        <v>2030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4.4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160</v>
      </c>
      <c r="L107" s="539" t="s">
        <v>160</v>
      </c>
      <c r="M107" s="662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1</v>
      </c>
      <c r="AF107" s="32" t="str">
        <f>IF(AE107=0,"",VLOOKUP(AE107,tab_tipo_expansao!$A$2:$B$4,2,0))</f>
        <v>opcional</v>
      </c>
      <c r="AG107" s="125">
        <v>2030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4.4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662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1</v>
      </c>
      <c r="AF108" s="32" t="str">
        <f>IF(AE108=0,"",VLOOKUP(AE108,tab_tipo_expansao!$A$2:$B$4,2,0))</f>
        <v>opcional</v>
      </c>
      <c r="AG108" s="125">
        <v>2030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hidden="1" customHeight="1">
      <c r="A109" s="125">
        <v>1108</v>
      </c>
      <c r="B109" s="125">
        <v>1108</v>
      </c>
      <c r="C109" s="626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662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4.4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662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1</v>
      </c>
      <c r="AF110" s="32" t="str">
        <f>IF(AE110=0,"",VLOOKUP(AE110,tab_tipo_expansao!$A$2:$B$4,2,0))</f>
        <v>opcional</v>
      </c>
      <c r="AG110" s="125">
        <v>2030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4.4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662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1</v>
      </c>
      <c r="AF111" s="32" t="str">
        <f>IF(AE111=0,"",VLOOKUP(AE111,tab_tipo_expansao!$A$2:$B$4,2,0))</f>
        <v>opcional</v>
      </c>
      <c r="AG111" s="125">
        <v>2030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4.4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662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4.4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160</v>
      </c>
      <c r="L113" s="539" t="s">
        <v>160</v>
      </c>
      <c r="M113" s="662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1</v>
      </c>
      <c r="AF113" s="32" t="str">
        <f>IF(AE113=0,"",VLOOKUP(AE113,tab_tipo_expansao!$A$2:$B$4,2,0))</f>
        <v>opcional</v>
      </c>
      <c r="AG113" s="125">
        <v>2030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4.4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662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160</v>
      </c>
      <c r="L115" s="539" t="s">
        <v>160</v>
      </c>
      <c r="M115" s="662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1</v>
      </c>
      <c r="AF115" s="32" t="str">
        <f>IF(AE115=0,"",VLOOKUP(AE115,tab_tipo_expansao!$A$2:$B$4,2,0))</f>
        <v>opcional</v>
      </c>
      <c r="AG115" s="125">
        <v>2030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662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662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1</v>
      </c>
      <c r="AF117" s="32" t="str">
        <f>IF(AE117=0,"",VLOOKUP(AE117,tab_tipo_expansao!$A$2:$B$4,2,0))</f>
        <v>opcional</v>
      </c>
      <c r="AG117" s="125">
        <v>2030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662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1</v>
      </c>
      <c r="AF118" s="32" t="str">
        <f>IF(AE118=0,"",VLOOKUP(AE118,tab_tipo_expansao!$A$2:$B$4,2,0))</f>
        <v>opcional</v>
      </c>
      <c r="AG118" s="125">
        <v>2030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662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1</v>
      </c>
      <c r="AF119" s="32" t="str">
        <f>IF(AE119=0,"",VLOOKUP(AE119,tab_tipo_expansao!$A$2:$B$4,2,0))</f>
        <v>opcional</v>
      </c>
      <c r="AG119" s="125">
        <v>2030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4.4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662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4.4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662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4.4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662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1</v>
      </c>
      <c r="AF122" s="32" t="str">
        <f>IF(AE122=0,"",VLOOKUP(AE122,tab_tipo_expansao!$A$2:$B$4,2,0))</f>
        <v>opcional</v>
      </c>
      <c r="AG122" s="125">
        <v>2030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4.4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662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4.4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662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1</v>
      </c>
      <c r="AF124" s="32" t="str">
        <f>IF(AE124=0,"",VLOOKUP(AE124,tab_tipo_expansao!$A$2:$B$4,2,0))</f>
        <v>opcional</v>
      </c>
      <c r="AG124" s="125">
        <v>2030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4.4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160</v>
      </c>
      <c r="L125" s="539" t="s">
        <v>160</v>
      </c>
      <c r="M125" s="662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1</v>
      </c>
      <c r="AF125" s="32" t="str">
        <f>IF(AE125=0,"",VLOOKUP(AE125,tab_tipo_expansao!$A$2:$B$4,2,0))</f>
        <v>opcional</v>
      </c>
      <c r="AG125" s="125">
        <v>2030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4.4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159</v>
      </c>
      <c r="L126" s="539" t="s">
        <v>159</v>
      </c>
      <c r="M126" s="662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1</v>
      </c>
      <c r="AF126" s="32" t="str">
        <f>IF(AE126=0,"",VLOOKUP(AE126,tab_tipo_expansao!$A$2:$B$4,2,0))</f>
        <v>opcional</v>
      </c>
      <c r="AG126" s="125">
        <v>2030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4.4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159</v>
      </c>
      <c r="L127" s="539" t="s">
        <v>159</v>
      </c>
      <c r="M127" s="662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1</v>
      </c>
      <c r="AF127" s="32" t="str">
        <f>IF(AE127=0,"",VLOOKUP(AE127,tab_tipo_expansao!$A$2:$B$4,2,0))</f>
        <v>opcional</v>
      </c>
      <c r="AG127" s="125">
        <v>2030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4.4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662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4.45">
      <c r="A129" s="125">
        <v>1128</v>
      </c>
      <c r="B129" s="125">
        <v>1128</v>
      </c>
      <c r="C129" s="538" t="s">
        <v>2370</v>
      </c>
      <c r="D129" s="538" t="s">
        <v>2370</v>
      </c>
      <c r="E129" s="546"/>
      <c r="F129" s="526">
        <v>52</v>
      </c>
      <c r="G129" s="3" t="s">
        <v>2196</v>
      </c>
      <c r="H129" s="3" t="s">
        <v>2371</v>
      </c>
      <c r="I129" s="3">
        <v>-47.221384999999998</v>
      </c>
      <c r="J129" s="3">
        <v>-23.285927999999998</v>
      </c>
      <c r="K129" s="539" t="s">
        <v>148</v>
      </c>
      <c r="L129" s="539" t="s">
        <v>148</v>
      </c>
      <c r="M129" s="662">
        <v>1</v>
      </c>
      <c r="N129" s="107"/>
      <c r="O129" s="529">
        <v>2.068E-2</v>
      </c>
      <c r="P129" s="529">
        <v>4.6600000000000003E-2</v>
      </c>
      <c r="Q129" s="288">
        <f t="shared" si="25"/>
        <v>0.53211930092018589</v>
      </c>
      <c r="R129" s="30">
        <f t="shared" si="16"/>
        <v>27.670203647849668</v>
      </c>
      <c r="S129" s="30">
        <f t="shared" si="26"/>
        <v>24.329796352150332</v>
      </c>
      <c r="T129" s="107">
        <v>34.675439445188466</v>
      </c>
      <c r="U129" s="107">
        <v>30.439766643826804</v>
      </c>
      <c r="V129" s="107">
        <v>21.592498492920924</v>
      </c>
      <c r="W129" s="107">
        <v>23.973110009462477</v>
      </c>
      <c r="X129" s="288">
        <f t="shared" si="27"/>
        <v>0.56765074645560576</v>
      </c>
      <c r="Y129" s="289">
        <f t="shared" si="19"/>
        <v>29.517838815691501</v>
      </c>
      <c r="Z129" s="289">
        <f t="shared" si="20"/>
        <v>1.8476351678418332</v>
      </c>
      <c r="AA129" s="107">
        <v>38.581439712947152</v>
      </c>
      <c r="AB129" s="107">
        <v>32.097108919748209</v>
      </c>
      <c r="AC129" s="107">
        <v>22.09832919871123</v>
      </c>
      <c r="AD129" s="107">
        <v>25.294477431359411</v>
      </c>
      <c r="AE129" s="106">
        <v>1</v>
      </c>
      <c r="AF129" s="32" t="str">
        <f>IF(AE129=0,"",VLOOKUP(AE129,tab_tipo_expansao!$A$2:$B$4,2,0))</f>
        <v>opcional</v>
      </c>
      <c r="AG129" s="125">
        <v>2030</v>
      </c>
      <c r="AH129" s="125">
        <v>2100</v>
      </c>
      <c r="AI129" s="125">
        <v>30</v>
      </c>
      <c r="AJ129" s="530">
        <v>520</v>
      </c>
      <c r="AK129" s="24">
        <f>AL129/constantes!$B$4</f>
        <v>2564.102564102564</v>
      </c>
      <c r="AL129" s="33">
        <f t="shared" si="28"/>
        <v>10000</v>
      </c>
      <c r="AM129" s="87">
        <v>2</v>
      </c>
      <c r="AN129" s="531">
        <v>0</v>
      </c>
      <c r="AO129" s="23"/>
      <c r="AP129" s="532">
        <f t="shared" si="22"/>
        <v>520</v>
      </c>
      <c r="AR129" s="35">
        <f t="shared" si="29"/>
        <v>10000</v>
      </c>
      <c r="AS129" s="36">
        <f ca="1">OFFSET(cod_desembolso!$A$1,AM129,23)</f>
        <v>1.1245293369208682</v>
      </c>
      <c r="AT129" s="37">
        <f ca="1">IF(AP129=0,0,AP129*(OFFSET(cod_desembolso!$A$1,AM129,23)))</f>
        <v>584.7552551988515</v>
      </c>
      <c r="AU129" s="38">
        <f>(constantes!$B$3*(1+constantes!$B$3)^(AI129))/((1+constantes!$B$3)^(AI129)-1)</f>
        <v>8.8827433387272267E-2</v>
      </c>
      <c r="AV129" s="37">
        <f t="shared" ca="1" si="24"/>
        <v>54.54230847903338</v>
      </c>
      <c r="AW129" s="37">
        <f ca="1">IF(AP129=0,AY129/constantes!$B$3,AV129/constantes!$B$3)</f>
        <v>681.77885598791727</v>
      </c>
      <c r="AX129" s="39">
        <f ca="1">IF(AP129=0,0,PV(constantes!$B$3,AI129,-AV129)*constantes!$B$3)</f>
        <v>49.122039351278637</v>
      </c>
      <c r="AY129" s="40">
        <f>constantes!$B$10*F129/1000</f>
        <v>2.6</v>
      </c>
      <c r="AZ129" s="533">
        <f>constantes!$B$12</f>
        <v>0</v>
      </c>
      <c r="BA129" s="20">
        <v>318</v>
      </c>
      <c r="BB129" s="43"/>
      <c r="BC129" s="3" t="s">
        <v>2183</v>
      </c>
      <c r="BE129" s="534">
        <v>1</v>
      </c>
      <c r="BF129" s="535">
        <v>2027</v>
      </c>
      <c r="BG129" s="536">
        <v>1</v>
      </c>
      <c r="BH129" s="537">
        <v>2027</v>
      </c>
    </row>
    <row r="130" spans="1:60" ht="14.45">
      <c r="A130" s="125">
        <v>1129</v>
      </c>
      <c r="B130" s="125">
        <v>1129</v>
      </c>
      <c r="C130" s="538" t="s">
        <v>2372</v>
      </c>
      <c r="D130" s="538" t="s">
        <v>2372</v>
      </c>
      <c r="E130" s="546"/>
      <c r="F130" s="526">
        <v>320</v>
      </c>
      <c r="G130" s="3" t="s">
        <v>2211</v>
      </c>
      <c r="H130" s="3" t="s">
        <v>2211</v>
      </c>
      <c r="I130" s="3">
        <v>-39.493616000000003</v>
      </c>
      <c r="J130" s="3">
        <v>-8.5941690000000008</v>
      </c>
      <c r="K130" s="539" t="s">
        <v>154</v>
      </c>
      <c r="L130" s="539" t="s">
        <v>154</v>
      </c>
      <c r="M130" s="662">
        <v>3</v>
      </c>
      <c r="N130" s="107"/>
      <c r="O130" s="529">
        <v>1.9820000000000001E-2</v>
      </c>
      <c r="P130" s="529">
        <v>5.2919999999999995E-2</v>
      </c>
      <c r="Q130" s="288">
        <f t="shared" ref="Q130:Q161" si="30">R130/$F130</f>
        <v>0.46582700892857137</v>
      </c>
      <c r="R130" s="30">
        <f t="shared" ref="R130:R193" si="31">AVERAGE(T130:W130)</f>
        <v>149.06464285714284</v>
      </c>
      <c r="S130" s="30">
        <f t="shared" ref="S130:S161" si="32">F130-R130</f>
        <v>170.93535714285716</v>
      </c>
      <c r="T130" s="107">
        <v>144.1552380952381</v>
      </c>
      <c r="U130" s="107">
        <v>132.30232142857145</v>
      </c>
      <c r="V130" s="107">
        <v>172.64208333333332</v>
      </c>
      <c r="W130" s="107">
        <v>147.15892857142856</v>
      </c>
      <c r="X130" s="288">
        <f t="shared" ref="X130:X161" si="33">Y130/$F130</f>
        <v>0.44057818627450979</v>
      </c>
      <c r="Y130" s="289">
        <f t="shared" ref="Y130:Y193" si="34">AVERAGE(AA130:AD130)</f>
        <v>140.98501960784313</v>
      </c>
      <c r="Z130" s="289">
        <f t="shared" ref="Z130:Z193" si="35">Y130-R130</f>
        <v>-8.0796232492997149</v>
      </c>
      <c r="AA130" s="107">
        <v>145.22521568627451</v>
      </c>
      <c r="AB130" s="107">
        <v>130.62894117647059</v>
      </c>
      <c r="AC130" s="107">
        <v>150.17678431372548</v>
      </c>
      <c r="AD130" s="107">
        <v>137.90913725490196</v>
      </c>
      <c r="AE130" s="106">
        <v>1</v>
      </c>
      <c r="AF130" s="32" t="str">
        <f>IF(AE130=0,"",VLOOKUP(AE130,tab_tipo_expansao!$A$2:$B$4,2,0))</f>
        <v>opcional</v>
      </c>
      <c r="AG130" s="125">
        <v>2030</v>
      </c>
      <c r="AH130" s="125">
        <v>2100</v>
      </c>
      <c r="AI130" s="125">
        <v>30</v>
      </c>
      <c r="AJ130" s="530">
        <v>3335.3557577208603</v>
      </c>
      <c r="AK130" s="24">
        <f>AL130/constantes!$B$4</f>
        <v>2672.5607033019714</v>
      </c>
      <c r="AL130" s="33">
        <f t="shared" ref="AL130:AL161" si="36">AJ130/F130*1000</f>
        <v>10422.986742877689</v>
      </c>
      <c r="AM130" s="87">
        <v>2</v>
      </c>
      <c r="AN130" s="531">
        <v>0</v>
      </c>
      <c r="AO130" s="23"/>
      <c r="AP130" s="532">
        <f t="shared" ref="AP130:AP193" si="37">AJ130+AN130+AO130</f>
        <v>3335.3557577208603</v>
      </c>
      <c r="AR130" s="35">
        <f t="shared" ref="AR130:AR161" si="38">AP130*1000/F130</f>
        <v>10422.986742877689</v>
      </c>
      <c r="AS130" s="36">
        <f ca="1">OFFSET(cod_desembolso!$A$1,AM130,23)</f>
        <v>1.1245293369208682</v>
      </c>
      <c r="AT130" s="37">
        <f ca="1">IF(AP130=0,0,AP130*(OFFSET(cod_desembolso!$A$1,AM130,23)))</f>
        <v>3750.7053986250389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349.16553395164811</v>
      </c>
      <c r="AW130" s="37">
        <f ca="1">IF(AP130=0,AY130/constantes!$B$3,AV130/constantes!$B$3)</f>
        <v>4364.5691743956013</v>
      </c>
      <c r="AX130" s="39">
        <f ca="1">IF(AP130=0,0,PV(constantes!$B$3,AI130,-AV130)*constantes!$B$3)</f>
        <v>314.46639456920627</v>
      </c>
      <c r="AY130" s="40">
        <f>constantes!$B$10*F130/1000</f>
        <v>16</v>
      </c>
      <c r="AZ130" s="533">
        <f>constantes!$B$12</f>
        <v>0</v>
      </c>
      <c r="BA130" s="20">
        <v>318</v>
      </c>
      <c r="BB130" s="43"/>
      <c r="BC130" s="3" t="s">
        <v>2217</v>
      </c>
      <c r="BE130" s="534">
        <v>1</v>
      </c>
      <c r="BF130" s="535">
        <v>2035</v>
      </c>
      <c r="BG130" s="536">
        <v>3</v>
      </c>
      <c r="BH130" s="537">
        <v>2050</v>
      </c>
    </row>
    <row r="131" spans="1:60" ht="14.45" hidden="1">
      <c r="A131" s="125">
        <v>1130</v>
      </c>
      <c r="B131" s="125">
        <v>1130</v>
      </c>
      <c r="C131" s="538" t="s">
        <v>2373</v>
      </c>
      <c r="D131" s="538" t="s">
        <v>2373</v>
      </c>
      <c r="E131" s="546"/>
      <c r="F131" s="526">
        <v>45.96</v>
      </c>
      <c r="G131" s="3" t="s">
        <v>2211</v>
      </c>
      <c r="H131" s="3" t="s">
        <v>2212</v>
      </c>
      <c r="I131" s="3">
        <v>-44.524222000000002</v>
      </c>
      <c r="J131" s="3">
        <v>-19.610628999999999</v>
      </c>
      <c r="K131" s="539" t="s">
        <v>152</v>
      </c>
      <c r="L131" s="539" t="s">
        <v>152</v>
      </c>
      <c r="M131" s="662">
        <v>1</v>
      </c>
      <c r="N131" s="107"/>
      <c r="O131" s="529">
        <v>2.068E-2</v>
      </c>
      <c r="P131" s="529">
        <v>4.6600000000000003E-2</v>
      </c>
      <c r="Q131" s="288">
        <f t="shared" si="30"/>
        <v>0.49621532958265985</v>
      </c>
      <c r="R131" s="30">
        <f t="shared" si="31"/>
        <v>22.806056547619047</v>
      </c>
      <c r="S131" s="30">
        <f t="shared" si="32"/>
        <v>23.153943452380954</v>
      </c>
      <c r="T131" s="107">
        <v>32.758571428571429</v>
      </c>
      <c r="U131" s="107">
        <v>21.418571428571429</v>
      </c>
      <c r="V131" s="107">
        <v>14.559583333333331</v>
      </c>
      <c r="W131" s="107">
        <v>22.487500000000001</v>
      </c>
      <c r="X131" s="288">
        <f t="shared" si="33"/>
        <v>0.54871072885202798</v>
      </c>
      <c r="Y131" s="289">
        <f t="shared" si="34"/>
        <v>25.218745098039207</v>
      </c>
      <c r="Z131" s="289">
        <f t="shared" si="35"/>
        <v>2.4126885504201603</v>
      </c>
      <c r="AA131" s="107">
        <v>38.146117647058794</v>
      </c>
      <c r="AB131" s="107">
        <v>21.867764705882347</v>
      </c>
      <c r="AC131" s="107">
        <v>15.050823529411765</v>
      </c>
      <c r="AD131" s="107">
        <v>25.810274509803918</v>
      </c>
      <c r="AE131" s="106">
        <v>1</v>
      </c>
      <c r="AF131" s="32" t="str">
        <f>IF(AE131=0,"",VLOOKUP(AE131,tab_tipo_expansao!$A$2:$B$4,2,0))</f>
        <v>opcional</v>
      </c>
      <c r="AG131" s="125">
        <v>2028</v>
      </c>
      <c r="AH131" s="125">
        <v>2100</v>
      </c>
      <c r="AI131" s="125">
        <v>30</v>
      </c>
      <c r="AJ131" s="530">
        <v>703.50988653255195</v>
      </c>
      <c r="AK131" s="24">
        <f>AL131/constantes!$B$4</f>
        <v>3924.8727239547879</v>
      </c>
      <c r="AL131" s="33">
        <f t="shared" si="36"/>
        <v>15307.003623423672</v>
      </c>
      <c r="AM131" s="87">
        <v>2</v>
      </c>
      <c r="AN131" s="531">
        <v>0</v>
      </c>
      <c r="AO131" s="23"/>
      <c r="AP131" s="532">
        <f t="shared" si="37"/>
        <v>703.50988653255195</v>
      </c>
      <c r="AR131" s="35">
        <f t="shared" si="38"/>
        <v>15307.003623423672</v>
      </c>
      <c r="AS131" s="36">
        <f ca="1">OFFSET(cod_desembolso!$A$1,AM131,23)</f>
        <v>1.1245293369208682</v>
      </c>
      <c r="AT131" s="37">
        <f ca="1">IF(AP131=0,0,AP131*(OFFSET(cod_desembolso!$A$1,AM131,23)))</f>
        <v>791.1175062197259</v>
      </c>
      <c r="AU131" s="38">
        <f>(constantes!$B$3*(1+constantes!$B$3)^(AI131))/((1+constantes!$B$3)^(AI131)-1)</f>
        <v>8.8827433387272267E-2</v>
      </c>
      <c r="AV131" s="37">
        <f t="shared" ca="1" si="39"/>
        <v>72.570937585237658</v>
      </c>
      <c r="AW131" s="37">
        <f ca="1">IF(AP131=0,AY131/constantes!$B$3,AV131/constantes!$B$3)</f>
        <v>907.13671981547066</v>
      </c>
      <c r="AX131" s="39">
        <f ca="1">IF(AP131=0,0,PV(constantes!$B$3,AI131,-AV131)*constantes!$B$3)</f>
        <v>65.359031387378622</v>
      </c>
      <c r="AY131" s="40">
        <f>constantes!$B$10*F131/1000</f>
        <v>2.298</v>
      </c>
      <c r="AZ131" s="533">
        <f>constantes!$B$12</f>
        <v>0</v>
      </c>
      <c r="BA131" s="20">
        <v>318</v>
      </c>
      <c r="BB131" s="43"/>
      <c r="BC131" s="3" t="s">
        <v>2197</v>
      </c>
      <c r="BE131" s="534">
        <v>1</v>
      </c>
      <c r="BF131" s="535">
        <v>2027</v>
      </c>
      <c r="BG131" s="536">
        <v>1</v>
      </c>
      <c r="BH131" s="537">
        <v>2027</v>
      </c>
    </row>
    <row r="132" spans="1:60" ht="14.45">
      <c r="A132" s="125">
        <v>1131</v>
      </c>
      <c r="B132" s="125">
        <v>1131</v>
      </c>
      <c r="C132" s="538" t="s">
        <v>2374</v>
      </c>
      <c r="D132" s="538" t="s">
        <v>2374</v>
      </c>
      <c r="E132" s="546"/>
      <c r="F132" s="526">
        <v>41</v>
      </c>
      <c r="G132" s="3" t="s">
        <v>2196</v>
      </c>
      <c r="H132" s="3" t="s">
        <v>2371</v>
      </c>
      <c r="I132" s="3">
        <v>-47.102479000000002</v>
      </c>
      <c r="J132" s="3">
        <v>-23.375617999999999</v>
      </c>
      <c r="K132" s="539" t="s">
        <v>148</v>
      </c>
      <c r="L132" s="539" t="s">
        <v>148</v>
      </c>
      <c r="M132" s="662">
        <v>1</v>
      </c>
      <c r="N132" s="107"/>
      <c r="O132" s="529">
        <v>2.068E-2</v>
      </c>
      <c r="P132" s="529">
        <v>4.6600000000000003E-2</v>
      </c>
      <c r="Q132" s="288">
        <f t="shared" si="30"/>
        <v>0.532119300920186</v>
      </c>
      <c r="R132" s="30">
        <f t="shared" si="31"/>
        <v>21.816891337727625</v>
      </c>
      <c r="S132" s="30">
        <f t="shared" si="32"/>
        <v>19.183108662272375</v>
      </c>
      <c r="T132" s="107">
        <v>27.340250331783221</v>
      </c>
      <c r="U132" s="107">
        <v>24.000585238401907</v>
      </c>
      <c r="V132" s="107">
        <v>17.02485458095688</v>
      </c>
      <c r="W132" s="107">
        <v>18.901875199768497</v>
      </c>
      <c r="X132" s="288">
        <f t="shared" si="33"/>
        <v>0.56765074645560576</v>
      </c>
      <c r="Y132" s="289">
        <f t="shared" si="34"/>
        <v>23.273680604679836</v>
      </c>
      <c r="Z132" s="289">
        <f t="shared" si="35"/>
        <v>1.4567892669522102</v>
      </c>
      <c r="AA132" s="107">
        <v>30.419981312131409</v>
      </c>
      <c r="AB132" s="107">
        <v>25.307335879032241</v>
      </c>
      <c r="AC132" s="107">
        <v>17.423682637445392</v>
      </c>
      <c r="AD132" s="107">
        <v>19.943722590110301</v>
      </c>
      <c r="AE132" s="106">
        <v>1</v>
      </c>
      <c r="AF132" s="32" t="str">
        <f>IF(AE132=0,"",VLOOKUP(AE132,tab_tipo_expansao!$A$2:$B$4,2,0))</f>
        <v>opcional</v>
      </c>
      <c r="AG132" s="125">
        <v>2030</v>
      </c>
      <c r="AH132" s="125">
        <v>2100</v>
      </c>
      <c r="AI132" s="125">
        <v>30</v>
      </c>
      <c r="AJ132" s="530">
        <v>410</v>
      </c>
      <c r="AK132" s="24">
        <f>AL132/constantes!$B$4</f>
        <v>2564.102564102564</v>
      </c>
      <c r="AL132" s="33">
        <f t="shared" si="36"/>
        <v>10000</v>
      </c>
      <c r="AM132" s="87">
        <v>2</v>
      </c>
      <c r="AN132" s="531">
        <v>0</v>
      </c>
      <c r="AO132" s="23"/>
      <c r="AP132" s="532">
        <f t="shared" si="37"/>
        <v>410</v>
      </c>
      <c r="AR132" s="35">
        <f t="shared" si="38"/>
        <v>10000</v>
      </c>
      <c r="AS132" s="36">
        <f ca="1">OFFSET(cod_desembolso!$A$1,AM132,23)</f>
        <v>1.1245293369208682</v>
      </c>
      <c r="AT132" s="37">
        <f ca="1">IF(AP132=0,0,AP132*(OFFSET(cod_desembolso!$A$1,AM132,23)))</f>
        <v>461.05702813755596</v>
      </c>
      <c r="AU132" s="38">
        <f>(constantes!$B$3*(1+constantes!$B$3)^(AI132))/((1+constantes!$B$3)^(AI132)-1)</f>
        <v>8.8827433387272267E-2</v>
      </c>
      <c r="AV132" s="37">
        <f t="shared" ca="1" si="39"/>
        <v>43.004512454622464</v>
      </c>
      <c r="AW132" s="37">
        <f ca="1">IF(AP132=0,AY132/constantes!$B$3,AV132/constantes!$B$3)</f>
        <v>537.55640568278079</v>
      </c>
      <c r="AX132" s="39">
        <f ca="1">IF(AP132=0,0,PV(constantes!$B$3,AI132,-AV132)*constantes!$B$3)</f>
        <v>38.730838719277379</v>
      </c>
      <c r="AY132" s="40">
        <f>constantes!$B$10*F132/1000</f>
        <v>2.0499999999999998</v>
      </c>
      <c r="AZ132" s="533">
        <f>constantes!$B$12</f>
        <v>0</v>
      </c>
      <c r="BA132" s="20">
        <v>318</v>
      </c>
      <c r="BB132" s="43"/>
      <c r="BC132" s="3" t="s">
        <v>2183</v>
      </c>
      <c r="BE132" s="534">
        <v>1</v>
      </c>
      <c r="BF132" s="535">
        <v>2027</v>
      </c>
      <c r="BG132" s="536">
        <v>1</v>
      </c>
      <c r="BH132" s="537">
        <v>2027</v>
      </c>
    </row>
    <row r="133" spans="1:60" ht="14.45">
      <c r="A133" s="125">
        <v>1132</v>
      </c>
      <c r="B133" s="125">
        <v>1132</v>
      </c>
      <c r="C133" s="538" t="s">
        <v>2375</v>
      </c>
      <c r="D133" s="538" t="s">
        <v>2375</v>
      </c>
      <c r="E133" s="546"/>
      <c r="F133" s="526">
        <v>209.1</v>
      </c>
      <c r="G133" s="3" t="s">
        <v>2211</v>
      </c>
      <c r="H133" s="3" t="s">
        <v>2211</v>
      </c>
      <c r="I133" s="3">
        <v>-45.107201000000003</v>
      </c>
      <c r="J133" s="3">
        <v>-19.163833</v>
      </c>
      <c r="K133" s="539" t="s">
        <v>152</v>
      </c>
      <c r="L133" s="539" t="s">
        <v>152</v>
      </c>
      <c r="M133" s="662">
        <v>1</v>
      </c>
      <c r="N133" s="107"/>
      <c r="O133" s="529">
        <v>1.6379999999999999E-2</v>
      </c>
      <c r="P133" s="529">
        <v>6.1409999999999999E-2</v>
      </c>
      <c r="Q133" s="288">
        <f t="shared" si="30"/>
        <v>0.47057663512559494</v>
      </c>
      <c r="R133" s="30">
        <f t="shared" si="31"/>
        <v>98.397574404761897</v>
      </c>
      <c r="S133" s="30">
        <f t="shared" si="32"/>
        <v>110.7024255952381</v>
      </c>
      <c r="T133" s="107">
        <v>140.20285714285714</v>
      </c>
      <c r="U133" s="107">
        <v>94.821845238095236</v>
      </c>
      <c r="V133" s="107">
        <v>66.552916666666661</v>
      </c>
      <c r="W133" s="107">
        <v>92.012678571428566</v>
      </c>
      <c r="X133" s="288">
        <f t="shared" si="33"/>
        <v>0.54728293995742749</v>
      </c>
      <c r="Y133" s="289">
        <f t="shared" si="34"/>
        <v>114.4368627450981</v>
      </c>
      <c r="Z133" s="289">
        <f t="shared" si="35"/>
        <v>16.039288340336199</v>
      </c>
      <c r="AA133" s="107">
        <v>174.50494117647085</v>
      </c>
      <c r="AB133" s="107">
        <v>102.72650980392159</v>
      </c>
      <c r="AC133" s="107">
        <v>68.185137254901932</v>
      </c>
      <c r="AD133" s="107">
        <v>112.33086274509803</v>
      </c>
      <c r="AE133" s="106">
        <v>1</v>
      </c>
      <c r="AF133" s="32" t="str">
        <f>IF(AE133=0,"",VLOOKUP(AE133,tab_tipo_expansao!$A$2:$B$4,2,0))</f>
        <v>opcional</v>
      </c>
      <c r="AG133" s="125">
        <v>2030</v>
      </c>
      <c r="AH133" s="125">
        <v>2100</v>
      </c>
      <c r="AI133" s="125">
        <v>30</v>
      </c>
      <c r="AJ133" s="530">
        <v>1935.8291889221532</v>
      </c>
      <c r="AK133" s="24">
        <f>AL133/constantes!$B$4</f>
        <v>2373.8233318889911</v>
      </c>
      <c r="AL133" s="33">
        <f t="shared" si="36"/>
        <v>9257.9109943670646</v>
      </c>
      <c r="AM133" s="87">
        <v>2</v>
      </c>
      <c r="AN133" s="531">
        <v>0</v>
      </c>
      <c r="AO133" s="23"/>
      <c r="AP133" s="532">
        <f t="shared" si="37"/>
        <v>1935.8291889221532</v>
      </c>
      <c r="AR133" s="35">
        <f t="shared" si="38"/>
        <v>9257.9109943670646</v>
      </c>
      <c r="AS133" s="36">
        <f ca="1">OFFSET(cod_desembolso!$A$1,AM133,23)</f>
        <v>1.1245293369208682</v>
      </c>
      <c r="AT133" s="37">
        <f ca="1">IF(AP133=0,0,AP133*(OFFSET(cod_desembolso!$A$1,AM133,23)))</f>
        <v>2176.8967142106912</v>
      </c>
      <c r="AU133" s="38">
        <f>(constantes!$B$3*(1+constantes!$B$3)^(AI133))/((1+constantes!$B$3)^(AI133)-1)</f>
        <v>8.8827433387272267E-2</v>
      </c>
      <c r="AV133" s="37">
        <f t="shared" ca="1" si="39"/>
        <v>203.82314787252207</v>
      </c>
      <c r="AW133" s="37">
        <f ca="1">IF(AP133=0,AY133/constantes!$B$3,AV133/constantes!$B$3)</f>
        <v>2547.7893484065257</v>
      </c>
      <c r="AX133" s="39">
        <f ca="1">IF(AP133=0,0,PV(constantes!$B$3,AI133,-AV133)*constantes!$B$3)</f>
        <v>183.56774712504713</v>
      </c>
      <c r="AY133" s="40">
        <f>constantes!$B$10*F133/1000</f>
        <v>10.455</v>
      </c>
      <c r="AZ133" s="533">
        <f>constantes!$B$12</f>
        <v>0</v>
      </c>
      <c r="BA133" s="20">
        <v>318</v>
      </c>
      <c r="BB133" s="43"/>
      <c r="BC133" s="3" t="s">
        <v>2217</v>
      </c>
      <c r="BE133" s="534">
        <v>1</v>
      </c>
      <c r="BF133" s="535">
        <v>2035</v>
      </c>
      <c r="BG133" s="536">
        <v>3</v>
      </c>
      <c r="BH133" s="537">
        <v>2050</v>
      </c>
    </row>
    <row r="134" spans="1:60" ht="14.45" hidden="1">
      <c r="A134" s="125">
        <v>1133</v>
      </c>
      <c r="B134" s="125">
        <v>1133</v>
      </c>
      <c r="C134" s="538" t="s">
        <v>2376</v>
      </c>
      <c r="D134" s="538" t="s">
        <v>2376</v>
      </c>
      <c r="E134" s="546"/>
      <c r="F134" s="526">
        <v>51.4</v>
      </c>
      <c r="G134" s="3" t="s">
        <v>2211</v>
      </c>
      <c r="H134" s="3" t="s">
        <v>2337</v>
      </c>
      <c r="I134" s="3">
        <v>-45.568610999999997</v>
      </c>
      <c r="J134" s="3">
        <v>-18.683889000000001</v>
      </c>
      <c r="K134" s="539" t="s">
        <v>152</v>
      </c>
      <c r="L134" s="539" t="s">
        <v>152</v>
      </c>
      <c r="M134" s="662">
        <v>1</v>
      </c>
      <c r="N134" s="107"/>
      <c r="O134" s="529">
        <v>2.068E-2</v>
      </c>
      <c r="P134" s="529">
        <v>4.6600000000000003E-2</v>
      </c>
      <c r="Q134" s="288">
        <f t="shared" si="30"/>
        <v>0.37477736473967016</v>
      </c>
      <c r="R134" s="30">
        <f t="shared" si="31"/>
        <v>19.263556547619046</v>
      </c>
      <c r="S134" s="30">
        <f t="shared" si="32"/>
        <v>32.136443452380952</v>
      </c>
      <c r="T134" s="107">
        <v>15.178571428571431</v>
      </c>
      <c r="U134" s="107">
        <v>14.779583333333333</v>
      </c>
      <c r="V134" s="107">
        <v>26.232916666666668</v>
      </c>
      <c r="W134" s="107">
        <v>20.863154761904759</v>
      </c>
      <c r="X134" s="288">
        <f t="shared" si="33"/>
        <v>0.38010872053101397</v>
      </c>
      <c r="Y134" s="289">
        <f t="shared" si="34"/>
        <v>19.537588235294116</v>
      </c>
      <c r="Z134" s="289">
        <f t="shared" si="35"/>
        <v>0.27403168767506969</v>
      </c>
      <c r="AA134" s="107">
        <v>24.76</v>
      </c>
      <c r="AB134" s="107">
        <v>11.806862745098035</v>
      </c>
      <c r="AC134" s="107">
        <v>20.072431372549023</v>
      </c>
      <c r="AD134" s="107">
        <v>21.511058823529407</v>
      </c>
      <c r="AE134" s="106">
        <v>1</v>
      </c>
      <c r="AF134" s="32" t="str">
        <f>IF(AE134=0,"",VLOOKUP(AE134,tab_tipo_expansao!$A$2:$B$4,2,0))</f>
        <v>opcional</v>
      </c>
      <c r="AG134" s="125">
        <v>2028</v>
      </c>
      <c r="AH134" s="125">
        <v>2100</v>
      </c>
      <c r="AI134" s="125">
        <v>30</v>
      </c>
      <c r="AJ134" s="530">
        <v>468.24991803033868</v>
      </c>
      <c r="AK134" s="24">
        <f>AL134/constantes!$B$4</f>
        <v>2335.8770728840605</v>
      </c>
      <c r="AL134" s="33">
        <f t="shared" si="36"/>
        <v>9109.920584247835</v>
      </c>
      <c r="AM134" s="87">
        <v>2</v>
      </c>
      <c r="AN134" s="531">
        <v>0</v>
      </c>
      <c r="AO134" s="23"/>
      <c r="AP134" s="532">
        <f t="shared" si="37"/>
        <v>468.24991803033868</v>
      </c>
      <c r="AR134" s="35">
        <f t="shared" si="38"/>
        <v>9109.9205842478332</v>
      </c>
      <c r="AS134" s="36">
        <f ca="1">OFFSET(cod_desembolso!$A$1,AM134,23)</f>
        <v>1.1245293369208682</v>
      </c>
      <c r="AT134" s="37">
        <f ca="1">IF(AP134=0,0,AP134*(OFFSET(cod_desembolso!$A$1,AM134,23)))</f>
        <v>526.56076983590765</v>
      </c>
      <c r="AU134" s="38">
        <f>(constantes!$B$3*(1+constantes!$B$3)^(AI134))/((1+constantes!$B$3)^(AI134)-1)</f>
        <v>8.8827433387272267E-2</v>
      </c>
      <c r="AV134" s="37">
        <f t="shared" ca="1" si="39"/>
        <v>49.34304170694989</v>
      </c>
      <c r="AW134" s="37">
        <f ca="1">IF(AP134=0,AY134/constantes!$B$3,AV134/constantes!$B$3)</f>
        <v>616.78802133687361</v>
      </c>
      <c r="AX134" s="39">
        <f ca="1">IF(AP134=0,0,PV(constantes!$B$3,AI134,-AV134)*constantes!$B$3)</f>
        <v>44.439461842219615</v>
      </c>
      <c r="AY134" s="40">
        <f>constantes!$B$10*F134/1000</f>
        <v>2.57</v>
      </c>
      <c r="AZ134" s="533">
        <f>constantes!$B$12</f>
        <v>0</v>
      </c>
      <c r="BA134" s="20">
        <v>318</v>
      </c>
      <c r="BB134" s="43"/>
      <c r="BC134" s="3" t="s">
        <v>2197</v>
      </c>
      <c r="BE134" s="534">
        <v>1</v>
      </c>
      <c r="BF134" s="535">
        <v>2027</v>
      </c>
      <c r="BG134" s="536">
        <v>1</v>
      </c>
      <c r="BH134" s="537">
        <v>2027</v>
      </c>
    </row>
    <row r="135" spans="1:60" ht="14.45" hidden="1" customHeight="1">
      <c r="A135" s="125">
        <v>1134</v>
      </c>
      <c r="B135" s="125">
        <v>1134</v>
      </c>
      <c r="C135" s="538" t="s">
        <v>2377</v>
      </c>
      <c r="D135" s="538" t="s">
        <v>2377</v>
      </c>
      <c r="E135" s="546"/>
      <c r="F135" s="526">
        <v>73</v>
      </c>
      <c r="G135" s="3" t="s">
        <v>2199</v>
      </c>
      <c r="H135" s="3" t="s">
        <v>2350</v>
      </c>
      <c r="I135" s="3">
        <v>-47.879998999999998</v>
      </c>
      <c r="J135" s="3">
        <v>-9.8308160000000004</v>
      </c>
      <c r="K135" s="539" t="s">
        <v>1983</v>
      </c>
      <c r="L135" s="539" t="s">
        <v>1983</v>
      </c>
      <c r="M135" s="662">
        <v>1</v>
      </c>
      <c r="N135" s="107"/>
      <c r="O135" s="529">
        <v>1.9820000000000001E-2</v>
      </c>
      <c r="P135" s="529">
        <v>5.2919999999999995E-2</v>
      </c>
      <c r="Q135" s="288">
        <f t="shared" si="30"/>
        <v>0.64508765492498366</v>
      </c>
      <c r="R135" s="30">
        <f t="shared" si="31"/>
        <v>47.09139880952381</v>
      </c>
      <c r="S135" s="30">
        <f t="shared" si="32"/>
        <v>25.90860119047619</v>
      </c>
      <c r="T135" s="107">
        <v>63.467142857142846</v>
      </c>
      <c r="U135" s="107">
        <v>50.906845238095237</v>
      </c>
      <c r="V135" s="107">
        <v>27.707083333333333</v>
      </c>
      <c r="W135" s="107">
        <v>46.284523809523812</v>
      </c>
      <c r="X135" s="288">
        <f t="shared" si="33"/>
        <v>0.68069339242546334</v>
      </c>
      <c r="Y135" s="289">
        <f t="shared" si="34"/>
        <v>49.690617647058822</v>
      </c>
      <c r="Z135" s="289">
        <f t="shared" si="35"/>
        <v>2.5992188375350125</v>
      </c>
      <c r="AA135" s="107">
        <v>60.986431372549028</v>
      </c>
      <c r="AB135" s="107">
        <v>53.710941176470584</v>
      </c>
      <c r="AC135" s="107">
        <v>33.266352941176471</v>
      </c>
      <c r="AD135" s="107">
        <v>50.798745098039213</v>
      </c>
      <c r="AE135" s="106">
        <v>1</v>
      </c>
      <c r="AF135" s="32" t="str">
        <f>IF(AE135=0,"",VLOOKUP(AE135,tab_tipo_expansao!$A$2:$B$4,2,0))</f>
        <v>opcional</v>
      </c>
      <c r="AG135" s="125">
        <v>2028</v>
      </c>
      <c r="AH135" s="125">
        <v>2100</v>
      </c>
      <c r="AI135" s="125">
        <v>30</v>
      </c>
      <c r="AJ135" s="530">
        <v>489.19277661235088</v>
      </c>
      <c r="AK135" s="24">
        <f>AL135/constantes!$B$4</f>
        <v>1718.2745929481941</v>
      </c>
      <c r="AL135" s="33">
        <f t="shared" si="36"/>
        <v>6701.2709124979574</v>
      </c>
      <c r="AM135" s="87">
        <v>2</v>
      </c>
      <c r="AN135" s="531">
        <v>0</v>
      </c>
      <c r="AO135" s="23"/>
      <c r="AP135" s="532">
        <f t="shared" si="37"/>
        <v>489.19277661235088</v>
      </c>
      <c r="AR135" s="35">
        <f t="shared" si="38"/>
        <v>6701.2709124979574</v>
      </c>
      <c r="AS135" s="36">
        <f ca="1">OFFSET(cod_desembolso!$A$1,AM135,23)</f>
        <v>1.1245293369208682</v>
      </c>
      <c r="AT135" s="37">
        <f ca="1">IF(AP135=0,0,AP135*(OFFSET(cod_desembolso!$A$1,AM135,23)))</f>
        <v>550.11162871036538</v>
      </c>
      <c r="AU135" s="38">
        <f>(constantes!$B$3*(1+constantes!$B$3)^(AI135))/((1+constantes!$B$3)^(AI135)-1)</f>
        <v>8.8827433387272267E-2</v>
      </c>
      <c r="AV135" s="37">
        <f t="shared" ca="1" si="39"/>
        <v>52.515004054833831</v>
      </c>
      <c r="AW135" s="37">
        <f ca="1">IF(AP135=0,AY135/constantes!$B$3,AV135/constantes!$B$3)</f>
        <v>656.43755068542282</v>
      </c>
      <c r="AX135" s="39">
        <f ca="1">IF(AP135=0,0,PV(constantes!$B$3,AI135,-AV135)*constantes!$B$3)</f>
        <v>47.296203033022451</v>
      </c>
      <c r="AY135" s="40">
        <f>constantes!$B$10*F135/1000</f>
        <v>3.65</v>
      </c>
      <c r="AZ135" s="533">
        <f>constantes!$B$12</f>
        <v>0</v>
      </c>
      <c r="BA135" s="20">
        <v>318</v>
      </c>
      <c r="BB135" s="43"/>
      <c r="BC135" s="3" t="s">
        <v>2197</v>
      </c>
      <c r="BE135" s="534">
        <v>1</v>
      </c>
      <c r="BF135" s="535">
        <v>2027</v>
      </c>
      <c r="BG135" s="536">
        <v>1</v>
      </c>
      <c r="BH135" s="537">
        <v>2027</v>
      </c>
    </row>
    <row r="136" spans="1:60" ht="14.45" hidden="1" customHeight="1">
      <c r="A136" s="125">
        <v>1135</v>
      </c>
      <c r="B136" s="125">
        <v>1135</v>
      </c>
      <c r="C136" s="625" t="s">
        <v>2378</v>
      </c>
      <c r="D136" s="538" t="s">
        <v>2378</v>
      </c>
      <c r="E136" s="546"/>
      <c r="F136" s="526">
        <v>86</v>
      </c>
      <c r="G136" s="3" t="s">
        <v>2199</v>
      </c>
      <c r="H136" s="3" t="s">
        <v>2339</v>
      </c>
      <c r="I136" s="3">
        <v>-48.715268000000002</v>
      </c>
      <c r="J136" s="3">
        <v>-14.760691</v>
      </c>
      <c r="K136" s="539" t="s">
        <v>2005</v>
      </c>
      <c r="L136" s="539" t="s">
        <v>2005</v>
      </c>
      <c r="M136" s="662">
        <v>1</v>
      </c>
      <c r="N136" s="107"/>
      <c r="O136" s="529">
        <v>2.068E-2</v>
      </c>
      <c r="P136" s="529">
        <v>4.6600000000000003E-2</v>
      </c>
      <c r="Q136" s="288">
        <f t="shared" si="30"/>
        <v>0.46599425526024363</v>
      </c>
      <c r="R136" s="30">
        <f t="shared" si="31"/>
        <v>40.075505952380951</v>
      </c>
      <c r="S136" s="30">
        <f t="shared" si="32"/>
        <v>45.924494047619049</v>
      </c>
      <c r="T136" s="107">
        <v>49.13047619047618</v>
      </c>
      <c r="U136" s="107">
        <v>33.704702380952376</v>
      </c>
      <c r="V136" s="107">
        <v>32.401250000000005</v>
      </c>
      <c r="W136" s="107">
        <v>45.065595238095234</v>
      </c>
      <c r="X136" s="288">
        <f t="shared" si="33"/>
        <v>0.59706304149566791</v>
      </c>
      <c r="Y136" s="289">
        <f t="shared" si="34"/>
        <v>51.347421568627439</v>
      </c>
      <c r="Z136" s="289">
        <f t="shared" si="35"/>
        <v>11.271915616246488</v>
      </c>
      <c r="AA136" s="107">
        <v>67.081411764705848</v>
      </c>
      <c r="AB136" s="107">
        <v>47.931098039215669</v>
      </c>
      <c r="AC136" s="107">
        <v>40.531019607843149</v>
      </c>
      <c r="AD136" s="107">
        <v>49.84615686274509</v>
      </c>
      <c r="AE136" s="106">
        <v>1</v>
      </c>
      <c r="AF136" s="32" t="str">
        <f>IF(AE136=0,"",VLOOKUP(AE136,tab_tipo_expansao!$A$2:$B$4,2,0))</f>
        <v>opcional</v>
      </c>
      <c r="AG136" s="125">
        <v>2026</v>
      </c>
      <c r="AH136" s="125">
        <v>2100</v>
      </c>
      <c r="AI136" s="125">
        <v>30</v>
      </c>
      <c r="AJ136" s="530">
        <v>1696.8176661984116</v>
      </c>
      <c r="AK136" s="24">
        <f>AL136/constantes!$B$4</f>
        <v>5059.086661295205</v>
      </c>
      <c r="AL136" s="33">
        <f t="shared" si="36"/>
        <v>19730.437979051298</v>
      </c>
      <c r="AM136" s="87">
        <v>2</v>
      </c>
      <c r="AN136" s="531">
        <v>0</v>
      </c>
      <c r="AO136" s="23"/>
      <c r="AP136" s="532">
        <f t="shared" si="37"/>
        <v>1696.8176661984116</v>
      </c>
      <c r="AR136" s="35">
        <f t="shared" si="38"/>
        <v>19730.437979051298</v>
      </c>
      <c r="AS136" s="36">
        <f ca="1">OFFSET(cod_desembolso!$A$1,AM136,23)</f>
        <v>1.1245293369208682</v>
      </c>
      <c r="AT136" s="37">
        <f ca="1">IF(AP136=0,0,AP136*(OFFSET(cod_desembolso!$A$1,AM136,23)))</f>
        <v>1908.1212450457149</v>
      </c>
      <c r="AU136" s="38">
        <f>(constantes!$B$3*(1+constantes!$B$3)^(AI136))/((1+constantes!$B$3)^(AI136)-1)</f>
        <v>8.8827433387272267E-2</v>
      </c>
      <c r="AV136" s="37">
        <f t="shared" ca="1" si="39"/>
        <v>173.79351278913728</v>
      </c>
      <c r="AW136" s="37">
        <f ca="1">IF(AP136=0,AY136/constantes!$B$3,AV136/constantes!$B$3)</f>
        <v>2172.4189098642159</v>
      </c>
      <c r="AX136" s="39">
        <f ca="1">IF(AP136=0,0,PV(constantes!$B$3,AI136,-AV136)*constantes!$B$3)</f>
        <v>156.52237707369306</v>
      </c>
      <c r="AY136" s="40">
        <f>constantes!$B$10*F136/1000</f>
        <v>4.3</v>
      </c>
      <c r="AZ136" s="533">
        <f>constantes!$B$12</f>
        <v>0</v>
      </c>
      <c r="BA136" s="20">
        <v>318</v>
      </c>
      <c r="BB136" s="43"/>
      <c r="BC136" s="3" t="s">
        <v>2209</v>
      </c>
      <c r="BE136" s="534">
        <v>1</v>
      </c>
      <c r="BF136" s="535">
        <v>2026</v>
      </c>
      <c r="BG136" s="536">
        <v>1</v>
      </c>
      <c r="BH136" s="537">
        <v>2026</v>
      </c>
    </row>
    <row r="137" spans="1:60" ht="14.45" customHeight="1">
      <c r="A137" s="125">
        <v>1136</v>
      </c>
      <c r="B137" s="125">
        <v>1136</v>
      </c>
      <c r="C137" s="538" t="s">
        <v>2379</v>
      </c>
      <c r="D137" s="538" t="s">
        <v>2379</v>
      </c>
      <c r="E137" s="546"/>
      <c r="F137" s="526">
        <v>54</v>
      </c>
      <c r="G137" s="3" t="s">
        <v>2181</v>
      </c>
      <c r="H137" s="3" t="s">
        <v>2224</v>
      </c>
      <c r="I137" s="3">
        <v>-51.938205000000004</v>
      </c>
      <c r="J137" s="3">
        <v>1.040449</v>
      </c>
      <c r="K137" s="539" t="s">
        <v>2001</v>
      </c>
      <c r="L137" s="539" t="s">
        <v>2001</v>
      </c>
      <c r="M137" s="662">
        <v>7</v>
      </c>
      <c r="N137" s="107"/>
      <c r="O137" s="529">
        <v>2.068E-2</v>
      </c>
      <c r="P137" s="529">
        <v>4.6600000000000003E-2</v>
      </c>
      <c r="Q137" s="288">
        <f t="shared" si="30"/>
        <v>0.6001179453262786</v>
      </c>
      <c r="R137" s="30">
        <f t="shared" si="31"/>
        <v>32.406369047619044</v>
      </c>
      <c r="S137" s="30">
        <f t="shared" si="32"/>
        <v>21.593630952380956</v>
      </c>
      <c r="T137" s="107">
        <v>33.820476190476199</v>
      </c>
      <c r="U137" s="107">
        <v>46.045119047619046</v>
      </c>
      <c r="V137" s="107">
        <v>38.448333333333331</v>
      </c>
      <c r="W137" s="107">
        <v>11.311547619047618</v>
      </c>
      <c r="X137" s="288">
        <f t="shared" si="33"/>
        <v>0.59135475671750182</v>
      </c>
      <c r="Y137" s="289">
        <f t="shared" si="34"/>
        <v>31.933156862745101</v>
      </c>
      <c r="Z137" s="289">
        <f t="shared" si="35"/>
        <v>-0.4732121848739439</v>
      </c>
      <c r="AA137" s="107">
        <v>37.341725490196097</v>
      </c>
      <c r="AB137" s="107">
        <v>46.369372549019609</v>
      </c>
      <c r="AC137" s="107">
        <v>35.568745098039223</v>
      </c>
      <c r="AD137" s="107">
        <v>8.452784313725493</v>
      </c>
      <c r="AE137" s="106">
        <v>1</v>
      </c>
      <c r="AF137" s="32" t="str">
        <f>IF(AE137=0,"",VLOOKUP(AE137,tab_tipo_expansao!$A$2:$B$4,2,0))</f>
        <v>opcional</v>
      </c>
      <c r="AG137" s="125">
        <v>2030</v>
      </c>
      <c r="AH137" s="125">
        <v>2100</v>
      </c>
      <c r="AI137" s="125">
        <v>30</v>
      </c>
      <c r="AJ137" s="530">
        <v>676.8548817936362</v>
      </c>
      <c r="AK137" s="24">
        <f>AL137/constantes!$B$4</f>
        <v>3213.9358109859268</v>
      </c>
      <c r="AL137" s="33">
        <f t="shared" si="36"/>
        <v>12534.349662845114</v>
      </c>
      <c r="AM137" s="87">
        <v>2</v>
      </c>
      <c r="AN137" s="531">
        <v>0</v>
      </c>
      <c r="AO137" s="23"/>
      <c r="AP137" s="532">
        <f t="shared" si="37"/>
        <v>676.8548817936362</v>
      </c>
      <c r="AR137" s="35">
        <f t="shared" si="38"/>
        <v>12534.349662845116</v>
      </c>
      <c r="AS137" s="36">
        <f ca="1">OFFSET(cod_desembolso!$A$1,AM137,23)</f>
        <v>1.1245293369208682</v>
      </c>
      <c r="AT137" s="37">
        <f ca="1">IF(AP137=0,0,AP137*(OFFSET(cod_desembolso!$A$1,AM137,23)))</f>
        <v>761.14317141505035</v>
      </c>
      <c r="AU137" s="38">
        <f>(constantes!$B$3*(1+constantes!$B$3)^(AI137))/((1+constantes!$B$3)^(AI137)-1)</f>
        <v>8.8827433387272267E-2</v>
      </c>
      <c r="AV137" s="37">
        <f t="shared" ca="1" si="39"/>
        <v>70.310394357047542</v>
      </c>
      <c r="AW137" s="37">
        <f ca="1">IF(AP137=0,AY137/constantes!$B$3,AV137/constantes!$B$3)</f>
        <v>878.8799294630943</v>
      </c>
      <c r="AX137" s="39">
        <f ca="1">IF(AP137=0,0,PV(constantes!$B$3,AI137,-AV137)*constantes!$B$3)</f>
        <v>63.323134915319564</v>
      </c>
      <c r="AY137" s="40">
        <f>constantes!$B$10*F137/1000</f>
        <v>2.7</v>
      </c>
      <c r="AZ137" s="533">
        <f>constantes!$B$12</f>
        <v>0</v>
      </c>
      <c r="BA137" s="20">
        <v>318</v>
      </c>
      <c r="BB137" s="43"/>
      <c r="BC137" s="3" t="s">
        <v>2185</v>
      </c>
      <c r="BE137" s="534">
        <v>1</v>
      </c>
      <c r="BF137" s="535">
        <v>2030</v>
      </c>
      <c r="BG137" s="536">
        <v>1</v>
      </c>
      <c r="BH137" s="537">
        <v>2030</v>
      </c>
    </row>
    <row r="138" spans="1:60" ht="14.45" hidden="1" customHeight="1">
      <c r="A138" s="125">
        <v>1137</v>
      </c>
      <c r="B138" s="125">
        <v>1137</v>
      </c>
      <c r="C138" s="538" t="s">
        <v>2380</v>
      </c>
      <c r="D138" s="538" t="s">
        <v>2380</v>
      </c>
      <c r="E138" s="546"/>
      <c r="F138" s="526">
        <v>49.3</v>
      </c>
      <c r="G138" s="3" t="s">
        <v>2097</v>
      </c>
      <c r="H138" s="3" t="s">
        <v>2202</v>
      </c>
      <c r="I138" s="3">
        <v>-52.916153000000001</v>
      </c>
      <c r="J138" s="3">
        <v>-26.942931000000002</v>
      </c>
      <c r="K138" s="539" t="s">
        <v>1991</v>
      </c>
      <c r="L138" s="539" t="s">
        <v>1991</v>
      </c>
      <c r="M138" s="662">
        <v>2</v>
      </c>
      <c r="N138" s="107"/>
      <c r="O138" s="529">
        <v>2.068E-2</v>
      </c>
      <c r="P138" s="529">
        <v>4.6600000000000003E-2</v>
      </c>
      <c r="Q138" s="288">
        <f t="shared" si="30"/>
        <v>0.51852301265333722</v>
      </c>
      <c r="R138" s="30">
        <f t="shared" si="31"/>
        <v>25.563184523809525</v>
      </c>
      <c r="S138" s="30">
        <f t="shared" si="32"/>
        <v>23.736815476190472</v>
      </c>
      <c r="T138" s="107">
        <v>17.926190476190474</v>
      </c>
      <c r="U138" s="107">
        <v>26.555714285714284</v>
      </c>
      <c r="V138" s="107">
        <v>29.350833333333338</v>
      </c>
      <c r="W138" s="107">
        <v>28.419999999999998</v>
      </c>
      <c r="X138" s="288">
        <f t="shared" si="33"/>
        <v>0.59374438213419256</v>
      </c>
      <c r="Y138" s="289">
        <f t="shared" si="34"/>
        <v>29.271598039215689</v>
      </c>
      <c r="Z138" s="289">
        <f t="shared" si="35"/>
        <v>3.7084135154061642</v>
      </c>
      <c r="AA138" s="107">
        <v>23.012901960784308</v>
      </c>
      <c r="AB138" s="107">
        <v>28.526039215686264</v>
      </c>
      <c r="AC138" s="107">
        <v>33.955529411764722</v>
      </c>
      <c r="AD138" s="107">
        <v>31.591921568627466</v>
      </c>
      <c r="AE138" s="106">
        <v>1</v>
      </c>
      <c r="AF138" s="32" t="str">
        <f>IF(AE138=0,"",VLOOKUP(AE138,tab_tipo_expansao!$A$2:$B$4,2,0))</f>
        <v>opcional</v>
      </c>
      <c r="AG138" s="125">
        <v>2028</v>
      </c>
      <c r="AH138" s="125">
        <v>2100</v>
      </c>
      <c r="AI138" s="125">
        <v>30</v>
      </c>
      <c r="AJ138" s="530">
        <v>612.04883631501502</v>
      </c>
      <c r="AK138" s="24">
        <f>AL138/constantes!$B$4</f>
        <v>3183.2778713008529</v>
      </c>
      <c r="AL138" s="33">
        <f t="shared" si="36"/>
        <v>12414.783698073326</v>
      </c>
      <c r="AM138" s="87">
        <v>2</v>
      </c>
      <c r="AN138" s="531">
        <v>0</v>
      </c>
      <c r="AO138" s="23"/>
      <c r="AP138" s="532">
        <f t="shared" si="37"/>
        <v>612.04883631501502</v>
      </c>
      <c r="AR138" s="35">
        <f t="shared" si="38"/>
        <v>12414.783698073326</v>
      </c>
      <c r="AS138" s="36">
        <f ca="1">OFFSET(cod_desembolso!$A$1,AM138,23)</f>
        <v>1.1245293369208682</v>
      </c>
      <c r="AT138" s="37">
        <f ca="1">IF(AP138=0,0,AP138*(OFFSET(cod_desembolso!$A$1,AM138,23)))</f>
        <v>688.26687206451288</v>
      </c>
      <c r="AU138" s="38">
        <f>(constantes!$B$3*(1+constantes!$B$3)^(AI138))/((1+constantes!$B$3)^(AI138)-1)</f>
        <v>8.8827433387272267E-2</v>
      </c>
      <c r="AV138" s="37">
        <f t="shared" ca="1" si="39"/>
        <v>63.601979730976765</v>
      </c>
      <c r="AW138" s="37">
        <f ca="1">IF(AP138=0,AY138/constantes!$B$3,AV138/constantes!$B$3)</f>
        <v>795.02474663720955</v>
      </c>
      <c r="AX138" s="39">
        <f ca="1">IF(AP138=0,0,PV(constantes!$B$3,AI138,-AV138)*constantes!$B$3)</f>
        <v>57.28138464042577</v>
      </c>
      <c r="AY138" s="40">
        <f>constantes!$B$10*F138/1000</f>
        <v>2.4649999999999999</v>
      </c>
      <c r="AZ138" s="533">
        <f>constantes!$B$12</f>
        <v>0</v>
      </c>
      <c r="BA138" s="20">
        <v>318</v>
      </c>
      <c r="BB138" s="43"/>
      <c r="BC138" s="3" t="s">
        <v>2197</v>
      </c>
      <c r="BE138" s="534">
        <v>1</v>
      </c>
      <c r="BF138" s="535">
        <v>2027</v>
      </c>
      <c r="BG138" s="536">
        <v>1</v>
      </c>
      <c r="BH138" s="537">
        <v>2027</v>
      </c>
    </row>
    <row r="139" spans="1:60" ht="14.45" hidden="1" customHeight="1">
      <c r="A139" s="125">
        <v>1138</v>
      </c>
      <c r="B139" s="125">
        <v>1138</v>
      </c>
      <c r="C139" s="625" t="s">
        <v>2381</v>
      </c>
      <c r="D139" s="538" t="s">
        <v>2381</v>
      </c>
      <c r="E139" s="546"/>
      <c r="F139" s="526">
        <v>81</v>
      </c>
      <c r="G139" s="3" t="s">
        <v>2196</v>
      </c>
      <c r="H139" s="3" t="s">
        <v>2316</v>
      </c>
      <c r="I139" s="3">
        <v>-52.102997000000002</v>
      </c>
      <c r="J139" s="3">
        <v>-20.169316999999999</v>
      </c>
      <c r="K139" s="539" t="s">
        <v>2092</v>
      </c>
      <c r="L139" s="539" t="s">
        <v>2092</v>
      </c>
      <c r="M139" s="662">
        <v>1</v>
      </c>
      <c r="N139" s="107"/>
      <c r="O139" s="529">
        <v>1.9820000000000001E-2</v>
      </c>
      <c r="P139" s="529">
        <v>5.2919999999999995E-2</v>
      </c>
      <c r="Q139" s="288">
        <f t="shared" si="30"/>
        <v>0.59667621987066433</v>
      </c>
      <c r="R139" s="30">
        <f t="shared" si="31"/>
        <v>48.330773809523812</v>
      </c>
      <c r="S139" s="30">
        <f t="shared" si="32"/>
        <v>32.669226190476188</v>
      </c>
      <c r="T139" s="107">
        <v>60.674761904761908</v>
      </c>
      <c r="U139" s="107">
        <v>48.636785714285715</v>
      </c>
      <c r="V139" s="107">
        <v>36.809166666666663</v>
      </c>
      <c r="W139" s="107">
        <v>47.202380952380956</v>
      </c>
      <c r="X139" s="288">
        <f t="shared" si="33"/>
        <v>0.68330985233599595</v>
      </c>
      <c r="Y139" s="289">
        <f t="shared" si="34"/>
        <v>55.348098039215671</v>
      </c>
      <c r="Z139" s="289">
        <f t="shared" si="35"/>
        <v>7.0173242296918588</v>
      </c>
      <c r="AA139" s="107">
        <v>68.168862745097996</v>
      </c>
      <c r="AB139" s="107">
        <v>55.666000000000004</v>
      </c>
      <c r="AC139" s="107">
        <v>43.822509803921569</v>
      </c>
      <c r="AD139" s="107">
        <v>53.735019607843107</v>
      </c>
      <c r="AE139" s="106">
        <v>1</v>
      </c>
      <c r="AF139" s="32" t="str">
        <f>IF(AE139=0,"",VLOOKUP(AE139,tab_tipo_expansao!$A$2:$B$4,2,0))</f>
        <v>opcional</v>
      </c>
      <c r="AG139" s="125">
        <v>2026</v>
      </c>
      <c r="AH139" s="125">
        <v>2100</v>
      </c>
      <c r="AI139" s="125">
        <v>30</v>
      </c>
      <c r="AJ139" s="530">
        <v>659.8264682337508</v>
      </c>
      <c r="AK139" s="24">
        <f>AL139/constantes!$B$4</f>
        <v>2088.7194309393822</v>
      </c>
      <c r="AL139" s="33">
        <f t="shared" si="36"/>
        <v>8146.0057806635896</v>
      </c>
      <c r="AM139" s="87">
        <v>2</v>
      </c>
      <c r="AN139" s="531">
        <v>0</v>
      </c>
      <c r="AO139" s="23"/>
      <c r="AP139" s="532">
        <f t="shared" si="37"/>
        <v>659.8264682337508</v>
      </c>
      <c r="AR139" s="35">
        <f t="shared" si="38"/>
        <v>8146.0057806635896</v>
      </c>
      <c r="AS139" s="36">
        <f ca="1">OFFSET(cod_desembolso!$A$1,AM139,23)</f>
        <v>1.1245293369208682</v>
      </c>
      <c r="AT139" s="37">
        <f ca="1">IF(AP139=0,0,AP139*(OFFSET(cod_desembolso!$A$1,AM139,23)))</f>
        <v>741.99422080573811</v>
      </c>
      <c r="AU139" s="38">
        <f>(constantes!$B$3*(1+constantes!$B$3)^(AI139))/((1+constantes!$B$3)^(AI139)-1)</f>
        <v>8.8827433387272267E-2</v>
      </c>
      <c r="AV139" s="37">
        <f t="shared" ca="1" si="39"/>
        <v>69.959442222362682</v>
      </c>
      <c r="AW139" s="37">
        <f ca="1">IF(AP139=0,AY139/constantes!$B$3,AV139/constantes!$B$3)</f>
        <v>874.49302777953346</v>
      </c>
      <c r="AX139" s="39">
        <f ca="1">IF(AP139=0,0,PV(constantes!$B$3,AI139,-AV139)*constantes!$B$3)</f>
        <v>63.007059467632345</v>
      </c>
      <c r="AY139" s="40">
        <f>constantes!$B$10*F139/1000</f>
        <v>4.05</v>
      </c>
      <c r="AZ139" s="533">
        <f>constantes!$B$12</f>
        <v>0</v>
      </c>
      <c r="BA139" s="20">
        <v>318</v>
      </c>
      <c r="BB139" s="43"/>
      <c r="BC139" s="3" t="s">
        <v>2209</v>
      </c>
      <c r="BE139" s="534">
        <v>1</v>
      </c>
      <c r="BF139" s="535">
        <v>2026</v>
      </c>
      <c r="BG139" s="536">
        <v>1</v>
      </c>
      <c r="BH139" s="537">
        <v>2026</v>
      </c>
    </row>
    <row r="140" spans="1:60" ht="14.45" hidden="1" customHeight="1">
      <c r="A140" s="125">
        <v>1139</v>
      </c>
      <c r="B140" s="125">
        <v>1139</v>
      </c>
      <c r="C140" s="538" t="s">
        <v>2382</v>
      </c>
      <c r="D140" s="538" t="s">
        <v>2382</v>
      </c>
      <c r="E140" s="546"/>
      <c r="F140" s="526">
        <v>47.35</v>
      </c>
      <c r="G140" s="3" t="s">
        <v>2196</v>
      </c>
      <c r="H140" s="3" t="s">
        <v>2341</v>
      </c>
      <c r="I140" s="3">
        <v>-51.643335999999998</v>
      </c>
      <c r="J140" s="3">
        <v>-23.995552</v>
      </c>
      <c r="K140" s="539" t="s">
        <v>153</v>
      </c>
      <c r="L140" s="539" t="s">
        <v>153</v>
      </c>
      <c r="M140" s="662">
        <v>2</v>
      </c>
      <c r="N140" s="107"/>
      <c r="O140" s="529">
        <v>2.068E-2</v>
      </c>
      <c r="P140" s="529">
        <v>4.6600000000000003E-2</v>
      </c>
      <c r="Q140" s="288">
        <f t="shared" si="30"/>
        <v>0.56527002564489359</v>
      </c>
      <c r="R140" s="30">
        <f t="shared" si="31"/>
        <v>26.765535714285711</v>
      </c>
      <c r="S140" s="30">
        <f t="shared" si="32"/>
        <v>20.58446428571429</v>
      </c>
      <c r="T140" s="107">
        <v>28.27333333333333</v>
      </c>
      <c r="U140" s="107">
        <v>26.978095238095236</v>
      </c>
      <c r="V140" s="107">
        <v>23.407083333333333</v>
      </c>
      <c r="W140" s="107">
        <v>28.403630952380951</v>
      </c>
      <c r="X140" s="288">
        <f t="shared" si="33"/>
        <v>0.64948154129656066</v>
      </c>
      <c r="Y140" s="289">
        <f t="shared" si="34"/>
        <v>30.75295098039215</v>
      </c>
      <c r="Z140" s="289">
        <f t="shared" si="35"/>
        <v>3.9874152661064386</v>
      </c>
      <c r="AA140" s="107">
        <v>33.300117647058805</v>
      </c>
      <c r="AB140" s="107">
        <v>27.703019607843135</v>
      </c>
      <c r="AC140" s="107">
        <v>28.998745098039212</v>
      </c>
      <c r="AD140" s="107">
        <v>33.009921568627441</v>
      </c>
      <c r="AE140" s="106">
        <v>1</v>
      </c>
      <c r="AF140" s="32" t="str">
        <f>IF(AE140=0,"",VLOOKUP(AE140,tab_tipo_expansao!$A$2:$B$4,2,0))</f>
        <v>opcional</v>
      </c>
      <c r="AG140" s="125">
        <v>2028</v>
      </c>
      <c r="AH140" s="125">
        <v>2100</v>
      </c>
      <c r="AI140" s="125">
        <v>30</v>
      </c>
      <c r="AJ140" s="530">
        <v>434.91472931684729</v>
      </c>
      <c r="AK140" s="24">
        <f>AL140/constantes!$B$4</f>
        <v>2355.1551691812056</v>
      </c>
      <c r="AL140" s="33">
        <f t="shared" si="36"/>
        <v>9185.1051598067006</v>
      </c>
      <c r="AM140" s="87">
        <v>2</v>
      </c>
      <c r="AN140" s="531">
        <v>0</v>
      </c>
      <c r="AO140" s="23"/>
      <c r="AP140" s="532">
        <f t="shared" si="37"/>
        <v>434.91472931684729</v>
      </c>
      <c r="AR140" s="35">
        <f t="shared" si="38"/>
        <v>9185.1051598067006</v>
      </c>
      <c r="AS140" s="36">
        <f ca="1">OFFSET(cod_desembolso!$A$1,AM140,23)</f>
        <v>1.1245293369208682</v>
      </c>
      <c r="AT140" s="37">
        <f ca="1">IF(AP140=0,0,AP140*(OFFSET(cod_desembolso!$A$1,AM140,23)))</f>
        <v>489.07437217579314</v>
      </c>
      <c r="AU140" s="38">
        <f>(constantes!$B$3*(1+constantes!$B$3)^(AI140))/((1+constantes!$B$3)^(AI140)-1)</f>
        <v>8.8827433387272267E-2</v>
      </c>
      <c r="AV140" s="37">
        <f t="shared" ca="1" si="39"/>
        <v>45.810721215867268</v>
      </c>
      <c r="AW140" s="37">
        <f ca="1">IF(AP140=0,AY140/constantes!$B$3,AV140/constantes!$B$3)</f>
        <v>572.63401519834088</v>
      </c>
      <c r="AX140" s="39">
        <f ca="1">IF(AP140=0,0,PV(constantes!$B$3,AI140,-AV140)*constantes!$B$3)</f>
        <v>41.25817393925179</v>
      </c>
      <c r="AY140" s="40">
        <f>constantes!$B$10*F140/1000</f>
        <v>2.3675000000000002</v>
      </c>
      <c r="AZ140" s="533">
        <f>constantes!$B$12</f>
        <v>0</v>
      </c>
      <c r="BA140" s="20">
        <v>318</v>
      </c>
      <c r="BB140" s="43"/>
      <c r="BC140" s="3" t="s">
        <v>2197</v>
      </c>
      <c r="BE140" s="534">
        <v>1</v>
      </c>
      <c r="BF140" s="535">
        <v>2027</v>
      </c>
      <c r="BG140" s="536">
        <v>1</v>
      </c>
      <c r="BH140" s="537">
        <v>2027</v>
      </c>
    </row>
    <row r="141" spans="1:60" ht="14.45" customHeight="1">
      <c r="A141" s="125">
        <v>1140</v>
      </c>
      <c r="B141" s="125">
        <v>1140</v>
      </c>
      <c r="C141" s="538" t="s">
        <v>2383</v>
      </c>
      <c r="D141" s="538" t="s">
        <v>2383</v>
      </c>
      <c r="E141" s="546"/>
      <c r="F141" s="526">
        <v>796.4</v>
      </c>
      <c r="G141" s="3" t="s">
        <v>2181</v>
      </c>
      <c r="H141" s="3" t="s">
        <v>2313</v>
      </c>
      <c r="I141" s="3">
        <v>-60.652225999999999</v>
      </c>
      <c r="J141" s="3">
        <v>-7.2280569999999997</v>
      </c>
      <c r="K141" s="539" t="s">
        <v>156</v>
      </c>
      <c r="L141" s="539" t="s">
        <v>156</v>
      </c>
      <c r="M141" s="662">
        <v>7</v>
      </c>
      <c r="N141" s="107"/>
      <c r="O141" s="529">
        <v>1.6379999999999999E-2</v>
      </c>
      <c r="P141" s="529">
        <v>6.1409999999999999E-2</v>
      </c>
      <c r="Q141" s="288">
        <f t="shared" si="30"/>
        <v>0.48077739335940306</v>
      </c>
      <c r="R141" s="30">
        <f t="shared" si="31"/>
        <v>382.8911160714286</v>
      </c>
      <c r="S141" s="30">
        <f t="shared" si="32"/>
        <v>413.50888392857138</v>
      </c>
      <c r="T141" s="107">
        <v>544.07809523809522</v>
      </c>
      <c r="U141" s="107">
        <v>538.31083333333333</v>
      </c>
      <c r="V141" s="107">
        <v>179.60958333333335</v>
      </c>
      <c r="W141" s="107">
        <v>269.56595238095241</v>
      </c>
      <c r="X141" s="288">
        <f t="shared" si="33"/>
        <v>0.46974746654060917</v>
      </c>
      <c r="Y141" s="289">
        <f t="shared" si="34"/>
        <v>374.10688235294111</v>
      </c>
      <c r="Z141" s="289">
        <f t="shared" si="35"/>
        <v>-8.784233718487485</v>
      </c>
      <c r="AA141" s="107">
        <v>542.09407843137251</v>
      </c>
      <c r="AB141" s="107">
        <v>529.55772549019605</v>
      </c>
      <c r="AC141" s="107">
        <v>160.60800000000003</v>
      </c>
      <c r="AD141" s="107">
        <v>264.16772549019601</v>
      </c>
      <c r="AE141" s="106">
        <v>1</v>
      </c>
      <c r="AF141" s="32" t="str">
        <f>IF(AE141=0,"",VLOOKUP(AE141,tab_tipo_expansao!$A$2:$B$4,2,0))</f>
        <v>opcional</v>
      </c>
      <c r="AG141" s="125">
        <v>2030</v>
      </c>
      <c r="AH141" s="125">
        <v>2100</v>
      </c>
      <c r="AI141" s="125">
        <v>30</v>
      </c>
      <c r="AJ141" s="530">
        <v>6443.0038127891939</v>
      </c>
      <c r="AK141" s="24">
        <f>AL141/constantes!$B$4</f>
        <v>2074.4001251752097</v>
      </c>
      <c r="AL141" s="33">
        <f t="shared" si="36"/>
        <v>8090.1604881833173</v>
      </c>
      <c r="AM141" s="87">
        <v>3</v>
      </c>
      <c r="AN141" s="531">
        <v>0</v>
      </c>
      <c r="AO141" s="23"/>
      <c r="AP141" s="532">
        <f t="shared" si="37"/>
        <v>6443.0038127891939</v>
      </c>
      <c r="AR141" s="35">
        <f t="shared" si="38"/>
        <v>8090.1604881833182</v>
      </c>
      <c r="AS141" s="36">
        <f ca="1">OFFSET(cod_desembolso!$A$1,AM141,23)</f>
        <v>1.1255071012622904</v>
      </c>
      <c r="AT141" s="37">
        <f ca="1">IF(AP141=0,0,AP141*(OFFSET(cod_desembolso!$A$1,AM141,23)))</f>
        <v>7251.6465447542505</v>
      </c>
      <c r="AU141" s="38">
        <f>(constantes!$B$3*(1+constantes!$B$3)^(AI141))/((1+constantes!$B$3)^(AI141)-1)</f>
        <v>8.8827433387272267E-2</v>
      </c>
      <c r="AV141" s="37">
        <f t="shared" ca="1" si="39"/>
        <v>683.96515040220129</v>
      </c>
      <c r="AW141" s="37">
        <f ca="1">IF(AP141=0,AY141/constantes!$B$3,AV141/constantes!$B$3)</f>
        <v>8549.5643800275157</v>
      </c>
      <c r="AX141" s="39">
        <f ca="1">IF(AP141=0,0,PV(constantes!$B$3,AI141,-AV141)*constantes!$B$3)</f>
        <v>615.99451819820695</v>
      </c>
      <c r="AY141" s="40">
        <f>constantes!$B$10*F141/1000</f>
        <v>39.82</v>
      </c>
      <c r="AZ141" s="533">
        <f>constantes!$B$12</f>
        <v>0</v>
      </c>
      <c r="BA141" s="20">
        <v>318</v>
      </c>
      <c r="BB141" s="43"/>
      <c r="BC141" s="3" t="s">
        <v>2185</v>
      </c>
      <c r="BE141" s="534">
        <v>1</v>
      </c>
      <c r="BF141" s="535">
        <v>2030</v>
      </c>
      <c r="BG141" s="536">
        <v>1</v>
      </c>
      <c r="BH141" s="537">
        <v>2030</v>
      </c>
    </row>
    <row r="142" spans="1:60" ht="14.45" customHeight="1">
      <c r="A142" s="125">
        <v>1141</v>
      </c>
      <c r="B142" s="125">
        <v>1141</v>
      </c>
      <c r="C142" s="538" t="s">
        <v>2384</v>
      </c>
      <c r="D142" s="538" t="s">
        <v>2384</v>
      </c>
      <c r="E142" s="546"/>
      <c r="F142" s="526">
        <v>267.8</v>
      </c>
      <c r="G142" s="3" t="s">
        <v>2181</v>
      </c>
      <c r="H142" s="3" t="s">
        <v>2313</v>
      </c>
      <c r="I142" s="3">
        <v>-59.385260000000002</v>
      </c>
      <c r="J142" s="3">
        <v>-9.1169449999999994</v>
      </c>
      <c r="K142" s="539" t="s">
        <v>160</v>
      </c>
      <c r="L142" s="539" t="s">
        <v>160</v>
      </c>
      <c r="M142" s="662">
        <v>7</v>
      </c>
      <c r="N142" s="107"/>
      <c r="O142" s="529">
        <v>1.6379999999999999E-2</v>
      </c>
      <c r="P142" s="529">
        <v>6.1409999999999999E-2</v>
      </c>
      <c r="Q142" s="288">
        <f t="shared" si="30"/>
        <v>0.4905492060528468</v>
      </c>
      <c r="R142" s="30">
        <f t="shared" si="31"/>
        <v>131.36907738095238</v>
      </c>
      <c r="S142" s="30">
        <f t="shared" si="32"/>
        <v>136.43092261904764</v>
      </c>
      <c r="T142" s="107">
        <v>212.71285714285716</v>
      </c>
      <c r="U142" s="107">
        <v>181.49303571428572</v>
      </c>
      <c r="V142" s="107">
        <v>53.44</v>
      </c>
      <c r="W142" s="107">
        <v>77.830416666666665</v>
      </c>
      <c r="X142" s="288">
        <f t="shared" si="33"/>
        <v>0.47630679904523426</v>
      </c>
      <c r="Y142" s="289">
        <f t="shared" si="34"/>
        <v>127.55496078431374</v>
      </c>
      <c r="Z142" s="289">
        <f t="shared" si="35"/>
        <v>-3.814116596638641</v>
      </c>
      <c r="AA142" s="107">
        <v>217.82509803921573</v>
      </c>
      <c r="AB142" s="107">
        <v>182.10247058823529</v>
      </c>
      <c r="AC142" s="107">
        <v>41.628901960784326</v>
      </c>
      <c r="AD142" s="107">
        <v>68.663372549019599</v>
      </c>
      <c r="AE142" s="106">
        <v>1</v>
      </c>
      <c r="AF142" s="32" t="str">
        <f>IF(AE142=0,"",VLOOKUP(AE142,tab_tipo_expansao!$A$2:$B$4,2,0))</f>
        <v>opcional</v>
      </c>
      <c r="AG142" s="125">
        <v>2030</v>
      </c>
      <c r="AH142" s="125">
        <v>2100</v>
      </c>
      <c r="AI142" s="125">
        <v>30</v>
      </c>
      <c r="AJ142" s="530">
        <v>2190.557621130175</v>
      </c>
      <c r="AK142" s="24">
        <f>AL142/constantes!$B$4</f>
        <v>2097.3914910957037</v>
      </c>
      <c r="AL142" s="33">
        <f t="shared" si="36"/>
        <v>8179.8268152732444</v>
      </c>
      <c r="AM142" s="87">
        <v>2</v>
      </c>
      <c r="AN142" s="531">
        <v>0</v>
      </c>
      <c r="AO142" s="23"/>
      <c r="AP142" s="532">
        <f t="shared" si="37"/>
        <v>2190.557621130175</v>
      </c>
      <c r="AR142" s="35">
        <f t="shared" si="38"/>
        <v>8179.8268152732444</v>
      </c>
      <c r="AS142" s="36">
        <f ca="1">OFFSET(cod_desembolso!$A$1,AM142,23)</f>
        <v>1.1245293369208682</v>
      </c>
      <c r="AT142" s="37">
        <f ca="1">IF(AP142=0,0,AP142*(OFFSET(cod_desembolso!$A$1,AM142,23)))</f>
        <v>2463.3463091764702</v>
      </c>
      <c r="AU142" s="38">
        <f>(constantes!$B$3*(1+constantes!$B$3)^(AI142))/((1+constantes!$B$3)^(AI142)-1)</f>
        <v>8.8827433387272267E-2</v>
      </c>
      <c r="AV142" s="37">
        <f t="shared" ca="1" si="39"/>
        <v>232.2027301881559</v>
      </c>
      <c r="AW142" s="37">
        <f ca="1">IF(AP142=0,AY142/constantes!$B$3,AV142/constantes!$B$3)</f>
        <v>2902.5341273519484</v>
      </c>
      <c r="AX142" s="39">
        <f ca="1">IF(AP142=0,0,PV(constantes!$B$3,AI142,-AV142)*constantes!$B$3)</f>
        <v>209.12704225127578</v>
      </c>
      <c r="AY142" s="40">
        <f>constantes!$B$10*F142/1000</f>
        <v>13.39</v>
      </c>
      <c r="AZ142" s="533">
        <f>constantes!$B$12</f>
        <v>0</v>
      </c>
      <c r="BA142" s="20">
        <v>318</v>
      </c>
      <c r="BB142" s="43"/>
      <c r="BC142" s="3" t="s">
        <v>2217</v>
      </c>
      <c r="BE142" s="534">
        <v>1</v>
      </c>
      <c r="BF142" s="535">
        <v>2035</v>
      </c>
      <c r="BG142" s="536">
        <v>3</v>
      </c>
      <c r="BH142" s="537">
        <v>2050</v>
      </c>
    </row>
    <row r="143" spans="1:60" ht="14.45" customHeight="1">
      <c r="A143" s="125">
        <v>1142</v>
      </c>
      <c r="B143" s="125">
        <v>1142</v>
      </c>
      <c r="C143" s="538" t="s">
        <v>2385</v>
      </c>
      <c r="D143" s="538" t="s">
        <v>2385</v>
      </c>
      <c r="E143" s="546"/>
      <c r="F143" s="526">
        <v>144</v>
      </c>
      <c r="G143" s="3" t="s">
        <v>2231</v>
      </c>
      <c r="H143" s="3" t="s">
        <v>2234</v>
      </c>
      <c r="I143" s="3">
        <v>-41.277549</v>
      </c>
      <c r="J143" s="3">
        <v>-19.276880999999999</v>
      </c>
      <c r="K143" s="539" t="s">
        <v>152</v>
      </c>
      <c r="L143" s="539" t="s">
        <v>152</v>
      </c>
      <c r="M143" s="662">
        <v>1</v>
      </c>
      <c r="N143" s="107"/>
      <c r="O143" s="529">
        <v>1.9820000000000001E-2</v>
      </c>
      <c r="P143" s="529">
        <v>5.2919999999999995E-2</v>
      </c>
      <c r="Q143" s="288">
        <f t="shared" si="30"/>
        <v>0.47395130621693127</v>
      </c>
      <c r="R143" s="30">
        <f t="shared" si="31"/>
        <v>68.248988095238104</v>
      </c>
      <c r="S143" s="30">
        <f t="shared" si="32"/>
        <v>75.751011904761896</v>
      </c>
      <c r="T143" s="107">
        <v>96.627142857142871</v>
      </c>
      <c r="U143" s="107">
        <v>64.835059523809534</v>
      </c>
      <c r="V143" s="107">
        <v>42.294583333333335</v>
      </c>
      <c r="W143" s="107">
        <v>69.239166666666662</v>
      </c>
      <c r="X143" s="288">
        <f t="shared" si="33"/>
        <v>0.4892988834422658</v>
      </c>
      <c r="Y143" s="289">
        <f t="shared" si="34"/>
        <v>70.459039215686275</v>
      </c>
      <c r="Z143" s="289">
        <f t="shared" si="35"/>
        <v>2.2100511204481705</v>
      </c>
      <c r="AA143" s="107">
        <v>103.71580392156865</v>
      </c>
      <c r="AB143" s="107">
        <v>62.34650980392157</v>
      </c>
      <c r="AC143" s="107">
        <v>40.213607843137254</v>
      </c>
      <c r="AD143" s="107">
        <v>75.560235294117646</v>
      </c>
      <c r="AE143" s="106">
        <v>1</v>
      </c>
      <c r="AF143" s="32" t="str">
        <f>IF(AE143=0,"",VLOOKUP(AE143,tab_tipo_expansao!$A$2:$B$4,2,0))</f>
        <v>opcional</v>
      </c>
      <c r="AG143" s="125">
        <v>2030</v>
      </c>
      <c r="AH143" s="125">
        <v>2100</v>
      </c>
      <c r="AI143" s="125">
        <v>30</v>
      </c>
      <c r="AJ143" s="530">
        <v>1062.7975601808771</v>
      </c>
      <c r="AK143" s="24">
        <f>AL143/constantes!$B$4</f>
        <v>1892.4457980428722</v>
      </c>
      <c r="AL143" s="33">
        <f t="shared" si="36"/>
        <v>7380.5386123672015</v>
      </c>
      <c r="AM143" s="87">
        <v>2</v>
      </c>
      <c r="AN143" s="531">
        <v>0</v>
      </c>
      <c r="AO143" s="23"/>
      <c r="AP143" s="532">
        <f t="shared" si="37"/>
        <v>1062.7975601808771</v>
      </c>
      <c r="AR143" s="35">
        <f t="shared" si="38"/>
        <v>7380.5386123672024</v>
      </c>
      <c r="AS143" s="36">
        <f ca="1">OFFSET(cod_desembolso!$A$1,AM143,23)</f>
        <v>1.1245293369208682</v>
      </c>
      <c r="AT143" s="37">
        <f ca="1">IF(AP143=0,0,AP143*(OFFSET(cod_desembolso!$A$1,AM143,23)))</f>
        <v>1195.1470356313182</v>
      </c>
      <c r="AU143" s="38">
        <f>(constantes!$B$3*(1+constantes!$B$3)^(AI143))/((1+constantes!$B$3)^(AI143)-1)</f>
        <v>8.8827433387272267E-2</v>
      </c>
      <c r="AV143" s="37">
        <f t="shared" ca="1" si="39"/>
        <v>113.36184369553683</v>
      </c>
      <c r="AW143" s="37">
        <f ca="1">IF(AP143=0,AY143/constantes!$B$3,AV143/constantes!$B$3)</f>
        <v>1417.0230461942103</v>
      </c>
      <c r="AX143" s="39">
        <f ca="1">IF(AP143=0,0,PV(constantes!$B$3,AI143,-AV143)*constantes!$B$3)</f>
        <v>102.09624605614688</v>
      </c>
      <c r="AY143" s="40">
        <f>constantes!$B$10*F143/1000</f>
        <v>7.2</v>
      </c>
      <c r="AZ143" s="533">
        <f>constantes!$B$12</f>
        <v>0</v>
      </c>
      <c r="BA143" s="20">
        <v>318</v>
      </c>
      <c r="BB143" s="43"/>
      <c r="BC143" s="3" t="s">
        <v>2217</v>
      </c>
      <c r="BE143" s="534">
        <v>1</v>
      </c>
      <c r="BF143" s="535">
        <v>2035</v>
      </c>
      <c r="BG143" s="536">
        <v>3</v>
      </c>
      <c r="BH143" s="537">
        <v>2050</v>
      </c>
    </row>
    <row r="144" spans="1:60" ht="14.45" customHeight="1">
      <c r="A144" s="125">
        <v>1143</v>
      </c>
      <c r="B144" s="125">
        <v>1143</v>
      </c>
      <c r="C144" s="538" t="s">
        <v>2386</v>
      </c>
      <c r="D144" s="538" t="s">
        <v>2386</v>
      </c>
      <c r="E144" s="546"/>
      <c r="F144" s="526">
        <v>276</v>
      </c>
      <c r="G144" s="3" t="s">
        <v>2211</v>
      </c>
      <c r="H144" s="3" t="s">
        <v>2211</v>
      </c>
      <c r="I144" s="3">
        <v>-39.679105</v>
      </c>
      <c r="J144" s="3">
        <v>-8.7879959999999997</v>
      </c>
      <c r="K144" s="539" t="s">
        <v>154</v>
      </c>
      <c r="L144" s="539" t="s">
        <v>154</v>
      </c>
      <c r="M144" s="662">
        <v>3</v>
      </c>
      <c r="N144" s="107"/>
      <c r="O144" s="529">
        <v>1.9820000000000001E-2</v>
      </c>
      <c r="P144" s="529">
        <v>5.2919999999999995E-2</v>
      </c>
      <c r="Q144" s="288">
        <f t="shared" si="30"/>
        <v>0.59613699102829532</v>
      </c>
      <c r="R144" s="30">
        <f t="shared" si="31"/>
        <v>164.53380952380951</v>
      </c>
      <c r="S144" s="30">
        <f t="shared" si="32"/>
        <v>111.46619047619049</v>
      </c>
      <c r="T144" s="107">
        <v>156.19714285714284</v>
      </c>
      <c r="U144" s="107">
        <v>145.5014880952381</v>
      </c>
      <c r="V144" s="107">
        <v>194.47375</v>
      </c>
      <c r="W144" s="107">
        <v>161.96285714285713</v>
      </c>
      <c r="X144" s="288">
        <f t="shared" si="33"/>
        <v>0.58565167661267392</v>
      </c>
      <c r="Y144" s="289">
        <f t="shared" si="34"/>
        <v>161.63986274509801</v>
      </c>
      <c r="Z144" s="289">
        <f t="shared" si="35"/>
        <v>-2.893946778711495</v>
      </c>
      <c r="AA144" s="107">
        <v>182.37780392156856</v>
      </c>
      <c r="AB144" s="107">
        <v>149.02117647058822</v>
      </c>
      <c r="AC144" s="107">
        <v>165.52505882352941</v>
      </c>
      <c r="AD144" s="107">
        <v>149.63541176470588</v>
      </c>
      <c r="AE144" s="106">
        <v>1</v>
      </c>
      <c r="AF144" s="32" t="str">
        <f>IF(AE144=0,"",VLOOKUP(AE144,tab_tipo_expansao!$A$2:$B$4,2,0))</f>
        <v>opcional</v>
      </c>
      <c r="AG144" s="125">
        <v>2030</v>
      </c>
      <c r="AH144" s="125">
        <v>2100</v>
      </c>
      <c r="AI144" s="125">
        <v>30</v>
      </c>
      <c r="AJ144" s="530">
        <v>3188.8395977074038</v>
      </c>
      <c r="AK144" s="24">
        <f>AL144/constantes!$B$4</f>
        <v>2962.5042713743997</v>
      </c>
      <c r="AL144" s="33">
        <f t="shared" si="36"/>
        <v>11553.766658360159</v>
      </c>
      <c r="AM144" s="87">
        <v>2</v>
      </c>
      <c r="AN144" s="531">
        <v>0</v>
      </c>
      <c r="AO144" s="23"/>
      <c r="AP144" s="532">
        <f t="shared" si="37"/>
        <v>3188.8395977074038</v>
      </c>
      <c r="AR144" s="35">
        <f t="shared" si="38"/>
        <v>11553.766658360159</v>
      </c>
      <c r="AS144" s="36">
        <f ca="1">OFFSET(cod_desembolso!$A$1,AM144,23)</f>
        <v>1.1245293369208682</v>
      </c>
      <c r="AT144" s="37">
        <f ca="1">IF(AP144=0,0,AP144*(OFFSET(cod_desembolso!$A$1,AM144,23)))</f>
        <v>3585.9436783569149</v>
      </c>
      <c r="AU144" s="38">
        <f>(constantes!$B$3*(1+constantes!$B$3)^(AI144))/((1+constantes!$B$3)^(AI144)-1)</f>
        <v>8.8827433387272267E-2</v>
      </c>
      <c r="AV144" s="37">
        <f t="shared" ca="1" si="39"/>
        <v>332.33017321975893</v>
      </c>
      <c r="AW144" s="37">
        <f ca="1">IF(AP144=0,AY144/constantes!$B$3,AV144/constantes!$B$3)</f>
        <v>4154.1271652469868</v>
      </c>
      <c r="AX144" s="39">
        <f ca="1">IF(AP144=0,0,PV(constantes!$B$3,AI144,-AV144)*constantes!$B$3)</f>
        <v>299.30408707936596</v>
      </c>
      <c r="AY144" s="40">
        <f>constantes!$B$10*F144/1000</f>
        <v>13.8</v>
      </c>
      <c r="AZ144" s="533">
        <f>constantes!$B$12</f>
        <v>0</v>
      </c>
      <c r="BA144" s="20">
        <v>318</v>
      </c>
      <c r="BB144" s="43"/>
      <c r="BC144" s="3" t="s">
        <v>2217</v>
      </c>
      <c r="BE144" s="534">
        <v>1</v>
      </c>
      <c r="BF144" s="535">
        <v>2035</v>
      </c>
      <c r="BG144" s="536">
        <v>3</v>
      </c>
      <c r="BH144" s="537">
        <v>2050</v>
      </c>
    </row>
    <row r="145" spans="1:60" ht="14.45" hidden="1" customHeight="1">
      <c r="A145" s="125">
        <v>1144</v>
      </c>
      <c r="B145" s="125">
        <v>1144</v>
      </c>
      <c r="C145" s="538" t="s">
        <v>2387</v>
      </c>
      <c r="D145" s="538" t="s">
        <v>2387</v>
      </c>
      <c r="E145" s="546"/>
      <c r="F145" s="526">
        <v>113</v>
      </c>
      <c r="G145" s="3" t="s">
        <v>2246</v>
      </c>
      <c r="H145" s="3" t="s">
        <v>2246</v>
      </c>
      <c r="I145" s="3">
        <v>-45.320118999999998</v>
      </c>
      <c r="J145" s="3">
        <v>-7.5749339999999998</v>
      </c>
      <c r="K145" s="539" t="s">
        <v>1985</v>
      </c>
      <c r="L145" s="539" t="s">
        <v>1985</v>
      </c>
      <c r="M145" s="662">
        <v>3</v>
      </c>
      <c r="N145" s="107"/>
      <c r="O145" s="529">
        <v>1.9820000000000001E-2</v>
      </c>
      <c r="P145" s="529">
        <v>5.2919999999999995E-2</v>
      </c>
      <c r="Q145" s="288">
        <f t="shared" si="30"/>
        <v>0.70435471976401176</v>
      </c>
      <c r="R145" s="30">
        <f t="shared" si="31"/>
        <v>79.592083333333335</v>
      </c>
      <c r="S145" s="30">
        <f t="shared" si="32"/>
        <v>33.407916666666665</v>
      </c>
      <c r="T145" s="107">
        <v>97.428095238095239</v>
      </c>
      <c r="U145" s="107">
        <v>83.004107142857137</v>
      </c>
      <c r="V145" s="107">
        <v>57.84708333333333</v>
      </c>
      <c r="W145" s="107">
        <v>80.089047619047619</v>
      </c>
      <c r="X145" s="288">
        <f t="shared" si="33"/>
        <v>0.72819226097518608</v>
      </c>
      <c r="Y145" s="289">
        <f t="shared" si="34"/>
        <v>82.285725490196029</v>
      </c>
      <c r="Z145" s="289">
        <f t="shared" si="35"/>
        <v>2.693642156862694</v>
      </c>
      <c r="AA145" s="107">
        <v>102.30639215686263</v>
      </c>
      <c r="AB145" s="107">
        <v>87.638117647058777</v>
      </c>
      <c r="AC145" s="107">
        <v>56.799607843137245</v>
      </c>
      <c r="AD145" s="107">
        <v>82.398784313725457</v>
      </c>
      <c r="AE145" s="106">
        <v>1</v>
      </c>
      <c r="AF145" s="32" t="str">
        <f>IF(AE145=0,"",VLOOKUP(AE145,tab_tipo_expansao!$A$2:$B$4,2,0))</f>
        <v>opcional</v>
      </c>
      <c r="AG145" s="125">
        <v>2028</v>
      </c>
      <c r="AH145" s="125">
        <v>2100</v>
      </c>
      <c r="AI145" s="125">
        <v>30</v>
      </c>
      <c r="AJ145" s="530">
        <v>902.79813764465632</v>
      </c>
      <c r="AK145" s="24">
        <f>AL145/constantes!$B$4</f>
        <v>2048.5548846032593</v>
      </c>
      <c r="AL145" s="33">
        <f t="shared" si="36"/>
        <v>7989.364049952711</v>
      </c>
      <c r="AM145" s="87">
        <v>2</v>
      </c>
      <c r="AN145" s="531">
        <v>0</v>
      </c>
      <c r="AO145" s="23"/>
      <c r="AP145" s="532">
        <f t="shared" si="37"/>
        <v>902.79813764465632</v>
      </c>
      <c r="AR145" s="35">
        <f t="shared" si="38"/>
        <v>7989.364049952711</v>
      </c>
      <c r="AS145" s="36">
        <f ca="1">OFFSET(cod_desembolso!$A$1,AM145,23)</f>
        <v>1.1245293369208682</v>
      </c>
      <c r="AT145" s="37">
        <f ca="1">IF(AP145=0,0,AP145*(OFFSET(cod_desembolso!$A$1,AM145,23)))</f>
        <v>1015.22299109894</v>
      </c>
      <c r="AU145" s="38">
        <f>(constantes!$B$3*(1+constantes!$B$3)^(AI145))/((1+constantes!$B$3)^(AI145)-1)</f>
        <v>8.8827433387272267E-2</v>
      </c>
      <c r="AV145" s="37">
        <f t="shared" ca="1" si="39"/>
        <v>95.829652615068412</v>
      </c>
      <c r="AW145" s="37">
        <f ca="1">IF(AP145=0,AY145/constantes!$B$3,AV145/constantes!$B$3)</f>
        <v>1197.8706576883551</v>
      </c>
      <c r="AX145" s="39">
        <f ca="1">IF(AP145=0,0,PV(constantes!$B$3,AI145,-AV145)*constantes!$B$3)</f>
        <v>86.306357359008842</v>
      </c>
      <c r="AY145" s="40">
        <f>constantes!$B$10*F145/1000</f>
        <v>5.65</v>
      </c>
      <c r="AZ145" s="533">
        <f>constantes!$B$12</f>
        <v>0</v>
      </c>
      <c r="BA145" s="20">
        <v>318</v>
      </c>
      <c r="BB145" s="43"/>
      <c r="BC145" s="3" t="s">
        <v>2197</v>
      </c>
      <c r="BE145" s="534">
        <v>1</v>
      </c>
      <c r="BF145" s="535">
        <v>2027</v>
      </c>
      <c r="BG145" s="536">
        <v>1</v>
      </c>
      <c r="BH145" s="537">
        <v>2027</v>
      </c>
    </row>
    <row r="146" spans="1:60" ht="15" customHeight="1">
      <c r="A146" s="125">
        <v>1145</v>
      </c>
      <c r="B146" s="125">
        <v>1145</v>
      </c>
      <c r="C146" s="538" t="s">
        <v>2388</v>
      </c>
      <c r="D146" s="538" t="s">
        <v>2388</v>
      </c>
      <c r="E146" s="546"/>
      <c r="F146" s="526">
        <v>56.7</v>
      </c>
      <c r="G146" s="3" t="s">
        <v>2199</v>
      </c>
      <c r="H146" s="3" t="s">
        <v>2248</v>
      </c>
      <c r="I146" s="3">
        <v>-47.927337999999999</v>
      </c>
      <c r="J146" s="3">
        <v>-9.5029710000000005</v>
      </c>
      <c r="K146" s="539" t="s">
        <v>1983</v>
      </c>
      <c r="L146" s="539" t="s">
        <v>1983</v>
      </c>
      <c r="M146" s="662">
        <v>1</v>
      </c>
      <c r="N146" s="107"/>
      <c r="O146" s="529">
        <v>2.068E-2</v>
      </c>
      <c r="P146" s="529">
        <v>4.6600000000000003E-2</v>
      </c>
      <c r="Q146" s="288">
        <f t="shared" si="30"/>
        <v>0.532119300920186</v>
      </c>
      <c r="R146" s="30">
        <f t="shared" si="31"/>
        <v>30.171164362174547</v>
      </c>
      <c r="S146" s="30">
        <f t="shared" si="32"/>
        <v>26.528835637825456</v>
      </c>
      <c r="T146" s="107">
        <v>37.809565702734353</v>
      </c>
      <c r="U146" s="107">
        <v>33.191053244326547</v>
      </c>
      <c r="V146" s="107">
        <v>23.544128164396469</v>
      </c>
      <c r="W146" s="107">
        <v>26.139910337240821</v>
      </c>
      <c r="X146" s="288">
        <f t="shared" si="33"/>
        <v>0.56765074645560576</v>
      </c>
      <c r="Y146" s="289">
        <f t="shared" si="34"/>
        <v>32.185797324032848</v>
      </c>
      <c r="Z146" s="289">
        <f t="shared" si="35"/>
        <v>2.0146329618583003</v>
      </c>
      <c r="AA146" s="107">
        <v>42.068608302386608</v>
      </c>
      <c r="AB146" s="107">
        <v>34.998193764417756</v>
      </c>
      <c r="AC146" s="107">
        <v>24.095678183979363</v>
      </c>
      <c r="AD146" s="107">
        <v>27.580709045347664</v>
      </c>
      <c r="AE146" s="106">
        <v>1</v>
      </c>
      <c r="AF146" s="32" t="str">
        <f>IF(AE146=0,"",VLOOKUP(AE146,tab_tipo_expansao!$A$2:$B$4,2,0))</f>
        <v>opcional</v>
      </c>
      <c r="AG146" s="125">
        <v>2030</v>
      </c>
      <c r="AH146" s="125">
        <v>2100</v>
      </c>
      <c r="AI146" s="125">
        <v>30</v>
      </c>
      <c r="AJ146" s="530">
        <v>543.7790305741438</v>
      </c>
      <c r="AK146" s="24">
        <f>AL146/constantes!$B$4</f>
        <v>2459.0920751329249</v>
      </c>
      <c r="AL146" s="33">
        <f t="shared" si="36"/>
        <v>9590.4590930184077</v>
      </c>
      <c r="AM146" s="87">
        <v>2</v>
      </c>
      <c r="AN146" s="531">
        <v>0</v>
      </c>
      <c r="AO146" s="23"/>
      <c r="AP146" s="532">
        <f t="shared" si="37"/>
        <v>543.7790305741438</v>
      </c>
      <c r="AR146" s="35">
        <f t="shared" si="38"/>
        <v>9590.4590930184077</v>
      </c>
      <c r="AS146" s="36">
        <f ca="1">OFFSET(cod_desembolso!$A$1,AM146,23)</f>
        <v>1.1245293369208682</v>
      </c>
      <c r="AT146" s="37">
        <f ca="1">IF(AP146=0,0,AP146*(OFFSET(cod_desembolso!$A$1,AM146,23)))</f>
        <v>611.49547268301444</v>
      </c>
      <c r="AU146" s="38">
        <f>(constantes!$B$3*(1+constantes!$B$3)^(AI146))/((1+constantes!$B$3)^(AI146)-1)</f>
        <v>8.8827433387272267E-2</v>
      </c>
      <c r="AV146" s="37">
        <f t="shared" ca="1" si="39"/>
        <v>57.152573366369033</v>
      </c>
      <c r="AW146" s="37">
        <f ca="1">IF(AP146=0,AY146/constantes!$B$3,AV146/constantes!$B$3)</f>
        <v>714.40716707961292</v>
      </c>
      <c r="AX146" s="39">
        <f ca="1">IF(AP146=0,0,PV(constantes!$B$3,AI146,-AV146)*constantes!$B$3)</f>
        <v>51.472903076862465</v>
      </c>
      <c r="AY146" s="40">
        <f>constantes!$B$10*F146/1000</f>
        <v>2.835</v>
      </c>
      <c r="AZ146" s="533">
        <f>constantes!$B$12</f>
        <v>0</v>
      </c>
      <c r="BA146" s="20">
        <v>318</v>
      </c>
      <c r="BB146" s="43"/>
      <c r="BC146" s="3" t="s">
        <v>2217</v>
      </c>
      <c r="BE146" s="534">
        <v>1</v>
      </c>
      <c r="BF146" s="535">
        <v>2035</v>
      </c>
      <c r="BG146" s="536">
        <v>3</v>
      </c>
      <c r="BH146" s="537">
        <v>2050</v>
      </c>
    </row>
    <row r="147" spans="1:60" ht="15" customHeight="1">
      <c r="A147" s="125">
        <v>1146</v>
      </c>
      <c r="B147" s="125">
        <v>1146</v>
      </c>
      <c r="C147" s="538" t="s">
        <v>2389</v>
      </c>
      <c r="D147" s="538" t="s">
        <v>2389</v>
      </c>
      <c r="E147" s="546"/>
      <c r="F147" s="526">
        <v>134</v>
      </c>
      <c r="G147" s="3" t="s">
        <v>2181</v>
      </c>
      <c r="H147" s="3" t="s">
        <v>2335</v>
      </c>
      <c r="I147" s="3">
        <v>-57.644294000000002</v>
      </c>
      <c r="J147" s="3">
        <v>-12.266425</v>
      </c>
      <c r="K147" s="539" t="s">
        <v>160</v>
      </c>
      <c r="L147" s="539" t="s">
        <v>160</v>
      </c>
      <c r="M147" s="662">
        <v>10</v>
      </c>
      <c r="N147" s="107"/>
      <c r="O147" s="529">
        <v>1.6379999999999999E-2</v>
      </c>
      <c r="P147" s="529">
        <v>6.1409999999999999E-2</v>
      </c>
      <c r="Q147" s="288">
        <f t="shared" si="30"/>
        <v>0.36069163113006397</v>
      </c>
      <c r="R147" s="30">
        <f t="shared" si="31"/>
        <v>48.332678571428573</v>
      </c>
      <c r="S147" s="30">
        <f t="shared" si="32"/>
        <v>85.667321428571427</v>
      </c>
      <c r="T147" s="107">
        <v>60.083333333333336</v>
      </c>
      <c r="U147" s="107">
        <v>49.228392857142865</v>
      </c>
      <c r="V147" s="107">
        <v>37.947083333333332</v>
      </c>
      <c r="W147" s="107">
        <v>46.071904761904761</v>
      </c>
      <c r="X147" s="288">
        <f t="shared" si="33"/>
        <v>0.3539332748024584</v>
      </c>
      <c r="Y147" s="289">
        <f t="shared" si="34"/>
        <v>47.427058823529428</v>
      </c>
      <c r="Z147" s="289">
        <f t="shared" si="35"/>
        <v>-0.90561974789914501</v>
      </c>
      <c r="AA147" s="107">
        <v>62.363921568627482</v>
      </c>
      <c r="AB147" s="107">
        <v>48.397725490196102</v>
      </c>
      <c r="AC147" s="107">
        <v>34.571960784313731</v>
      </c>
      <c r="AD147" s="107">
        <v>44.374627450980391</v>
      </c>
      <c r="AE147" s="106">
        <v>1</v>
      </c>
      <c r="AF147" s="32" t="str">
        <f>IF(AE147=0,"",VLOOKUP(AE147,tab_tipo_expansao!$A$2:$B$4,2,0))</f>
        <v>opcional</v>
      </c>
      <c r="AG147" s="125">
        <v>2030</v>
      </c>
      <c r="AH147" s="125">
        <v>2100</v>
      </c>
      <c r="AI147" s="125">
        <v>30</v>
      </c>
      <c r="AJ147" s="530">
        <v>1858.4445228780801</v>
      </c>
      <c r="AK147" s="24">
        <f>AL147/constantes!$B$4</f>
        <v>3556.1510196672029</v>
      </c>
      <c r="AL147" s="33">
        <f t="shared" si="36"/>
        <v>13868.98897670209</v>
      </c>
      <c r="AM147" s="87">
        <v>2</v>
      </c>
      <c r="AN147" s="531">
        <v>0</v>
      </c>
      <c r="AO147" s="23"/>
      <c r="AP147" s="532">
        <f t="shared" si="37"/>
        <v>1858.4445228780801</v>
      </c>
      <c r="AR147" s="35">
        <f t="shared" si="38"/>
        <v>13868.98897670209</v>
      </c>
      <c r="AS147" s="36">
        <f ca="1">OFFSET(cod_desembolso!$A$1,AM147,23)</f>
        <v>1.1245293369208682</v>
      </c>
      <c r="AT147" s="37">
        <f ca="1">IF(AP147=0,0,AP147*(OFFSET(cod_desembolso!$A$1,AM147,23)))</f>
        <v>2089.8753870163068</v>
      </c>
      <c r="AU147" s="38">
        <f>(constantes!$B$3*(1+constantes!$B$3)^(AI147))/((1+constantes!$B$3)^(AI147)-1)</f>
        <v>8.8827433387272267E-2</v>
      </c>
      <c r="AV147" s="37">
        <f t="shared" ca="1" si="39"/>
        <v>192.33826672789084</v>
      </c>
      <c r="AW147" s="37">
        <f ca="1">IF(AP147=0,AY147/constantes!$B$3,AV147/constantes!$B$3)</f>
        <v>2404.2283340986355</v>
      </c>
      <c r="AX147" s="39">
        <f ca="1">IF(AP147=0,0,PV(constantes!$B$3,AI147,-AV147)*constantes!$B$3)</f>
        <v>173.22420283322089</v>
      </c>
      <c r="AY147" s="40">
        <f>constantes!$B$10*F147/1000</f>
        <v>6.7</v>
      </c>
      <c r="AZ147" s="533">
        <f>constantes!$B$12</f>
        <v>0</v>
      </c>
      <c r="BA147" s="20">
        <v>318</v>
      </c>
      <c r="BB147" s="43"/>
      <c r="BC147" s="3" t="s">
        <v>2217</v>
      </c>
      <c r="BE147" s="534">
        <v>1</v>
      </c>
      <c r="BF147" s="535">
        <v>2035</v>
      </c>
      <c r="BG147" s="536">
        <v>3</v>
      </c>
      <c r="BH147" s="537">
        <v>2050</v>
      </c>
    </row>
    <row r="148" spans="1:60" ht="15" hidden="1" customHeight="1">
      <c r="A148" s="125">
        <v>1147</v>
      </c>
      <c r="B148" s="125">
        <v>1147</v>
      </c>
      <c r="C148" s="538" t="s">
        <v>2390</v>
      </c>
      <c r="D148" s="538" t="s">
        <v>2390</v>
      </c>
      <c r="E148" s="546"/>
      <c r="F148" s="526">
        <v>50</v>
      </c>
      <c r="G148" s="3" t="s">
        <v>2211</v>
      </c>
      <c r="H148" s="3" t="s">
        <v>2391</v>
      </c>
      <c r="I148" s="3">
        <v>-44.490765000000003</v>
      </c>
      <c r="J148" s="3">
        <v>-13.653444</v>
      </c>
      <c r="K148" s="539" t="s">
        <v>154</v>
      </c>
      <c r="L148" s="539" t="s">
        <v>154</v>
      </c>
      <c r="M148" s="662">
        <v>3</v>
      </c>
      <c r="N148" s="107"/>
      <c r="O148" s="529">
        <v>2.068E-2</v>
      </c>
      <c r="P148" s="529">
        <v>4.6600000000000003E-2</v>
      </c>
      <c r="Q148" s="288">
        <f t="shared" si="30"/>
        <v>0.82545535714285723</v>
      </c>
      <c r="R148" s="30">
        <f t="shared" si="31"/>
        <v>41.27276785714286</v>
      </c>
      <c r="S148" s="30">
        <f t="shared" si="32"/>
        <v>8.7272321428571402</v>
      </c>
      <c r="T148" s="107">
        <v>44.300476190476189</v>
      </c>
      <c r="U148" s="107">
        <v>40.772321428571423</v>
      </c>
      <c r="V148" s="107">
        <v>37.080833333333338</v>
      </c>
      <c r="W148" s="107">
        <v>42.937440476190481</v>
      </c>
      <c r="X148" s="288">
        <f t="shared" si="33"/>
        <v>0.82813549019607857</v>
      </c>
      <c r="Y148" s="289">
        <f t="shared" si="34"/>
        <v>41.406774509803931</v>
      </c>
      <c r="Z148" s="289">
        <f t="shared" si="35"/>
        <v>0.13400665266107126</v>
      </c>
      <c r="AA148" s="107">
        <v>44.933803921568632</v>
      </c>
      <c r="AB148" s="107">
        <v>41.363372549019623</v>
      </c>
      <c r="AC148" s="107">
        <v>37.023019607843132</v>
      </c>
      <c r="AD148" s="107">
        <v>42.306901960784323</v>
      </c>
      <c r="AE148" s="106">
        <v>1</v>
      </c>
      <c r="AF148" s="32" t="str">
        <f>IF(AE148=0,"",VLOOKUP(AE148,tab_tipo_expansao!$A$2:$B$4,2,0))</f>
        <v>opcional</v>
      </c>
      <c r="AG148" s="125">
        <v>2028</v>
      </c>
      <c r="AH148" s="125">
        <v>2100</v>
      </c>
      <c r="AI148" s="125">
        <v>30</v>
      </c>
      <c r="AJ148" s="530">
        <v>474.62946604084328</v>
      </c>
      <c r="AK148" s="24">
        <f>AL148/constantes!$B$4</f>
        <v>2433.9972617479143</v>
      </c>
      <c r="AL148" s="33">
        <f t="shared" si="36"/>
        <v>9492.5893208168654</v>
      </c>
      <c r="AM148" s="87">
        <v>2</v>
      </c>
      <c r="AN148" s="531">
        <v>0</v>
      </c>
      <c r="AO148" s="23"/>
      <c r="AP148" s="532">
        <f t="shared" si="37"/>
        <v>474.62946604084328</v>
      </c>
      <c r="AR148" s="35">
        <f t="shared" si="38"/>
        <v>9492.5893208168654</v>
      </c>
      <c r="AS148" s="36">
        <f ca="1">OFFSET(cod_desembolso!$A$1,AM148,23)</f>
        <v>1.1245293369208682</v>
      </c>
      <c r="AT148" s="37">
        <f ca="1">IF(AP148=0,0,AP148*(OFFSET(cod_desembolso!$A$1,AM148,23)))</f>
        <v>533.73475873001519</v>
      </c>
      <c r="AU148" s="38">
        <f>(constantes!$B$3*(1+constantes!$B$3)^(AI148))/((1+constantes!$B$3)^(AI148)-1)</f>
        <v>8.8827433387272267E-2</v>
      </c>
      <c r="AV148" s="37">
        <f t="shared" ca="1" si="39"/>
        <v>49.910288727562261</v>
      </c>
      <c r="AW148" s="37">
        <f ca="1">IF(AP148=0,AY148/constantes!$B$3,AV148/constantes!$B$3)</f>
        <v>623.8786090945282</v>
      </c>
      <c r="AX148" s="39">
        <f ca="1">IF(AP148=0,0,PV(constantes!$B$3,AI148,-AV148)*constantes!$B$3)</f>
        <v>44.950337367026712</v>
      </c>
      <c r="AY148" s="40">
        <f>constantes!$B$10*F148/1000</f>
        <v>2.5</v>
      </c>
      <c r="AZ148" s="533">
        <f>constantes!$B$12</f>
        <v>0</v>
      </c>
      <c r="BA148" s="20">
        <v>318</v>
      </c>
      <c r="BB148" s="43"/>
      <c r="BC148" s="3" t="s">
        <v>2197</v>
      </c>
      <c r="BE148" s="534">
        <v>1</v>
      </c>
      <c r="BF148" s="535">
        <v>2027</v>
      </c>
      <c r="BG148" s="536">
        <v>1</v>
      </c>
      <c r="BH148" s="537">
        <v>2027</v>
      </c>
    </row>
    <row r="149" spans="1:60" ht="15" hidden="1" customHeight="1">
      <c r="A149" s="125">
        <v>1148</v>
      </c>
      <c r="B149" s="125">
        <v>1148</v>
      </c>
      <c r="C149" s="538" t="s">
        <v>2392</v>
      </c>
      <c r="D149" s="538" t="s">
        <v>2392</v>
      </c>
      <c r="E149" s="546"/>
      <c r="F149" s="526">
        <v>36.67</v>
      </c>
      <c r="G149" s="3" t="s">
        <v>2196</v>
      </c>
      <c r="H149" s="3" t="s">
        <v>2341</v>
      </c>
      <c r="I149" s="3">
        <v>-51.444417000000001</v>
      </c>
      <c r="J149" s="3">
        <v>-24.374361</v>
      </c>
      <c r="K149" s="539" t="s">
        <v>153</v>
      </c>
      <c r="L149" s="539" t="s">
        <v>153</v>
      </c>
      <c r="M149" s="662">
        <v>2</v>
      </c>
      <c r="N149" s="107"/>
      <c r="O149" s="529">
        <v>2.068E-2</v>
      </c>
      <c r="P149" s="529">
        <v>4.6600000000000003E-2</v>
      </c>
      <c r="Q149" s="288">
        <f t="shared" si="30"/>
        <v>0.59806332541197549</v>
      </c>
      <c r="R149" s="30">
        <f t="shared" si="31"/>
        <v>21.930982142857143</v>
      </c>
      <c r="S149" s="30">
        <f t="shared" si="32"/>
        <v>14.739017857142859</v>
      </c>
      <c r="T149" s="107">
        <v>22.81904761904762</v>
      </c>
      <c r="U149" s="107">
        <v>22.133452380952381</v>
      </c>
      <c r="V149" s="107">
        <v>19.377916666666668</v>
      </c>
      <c r="W149" s="107">
        <v>23.393511904761908</v>
      </c>
      <c r="X149" s="288">
        <f t="shared" si="33"/>
        <v>0.68116775480303915</v>
      </c>
      <c r="Y149" s="289">
        <f t="shared" si="34"/>
        <v>24.978421568627446</v>
      </c>
      <c r="Z149" s="289">
        <f t="shared" si="35"/>
        <v>3.0474394257703032</v>
      </c>
      <c r="AA149" s="107">
        <v>26.405176470588231</v>
      </c>
      <c r="AB149" s="107">
        <v>22.577490196078429</v>
      </c>
      <c r="AC149" s="107">
        <v>23.939294117647052</v>
      </c>
      <c r="AD149" s="107">
        <v>26.991725490196071</v>
      </c>
      <c r="AE149" s="106">
        <v>1</v>
      </c>
      <c r="AF149" s="32" t="str">
        <f>IF(AE149=0,"",VLOOKUP(AE149,tab_tipo_expansao!$A$2:$B$4,2,0))</f>
        <v>opcional</v>
      </c>
      <c r="AG149" s="125">
        <v>2028</v>
      </c>
      <c r="AH149" s="125">
        <v>2100</v>
      </c>
      <c r="AI149" s="125">
        <v>30</v>
      </c>
      <c r="AJ149" s="530">
        <v>496.87769434735964</v>
      </c>
      <c r="AK149" s="24">
        <f>AL149/constantes!$B$4</f>
        <v>3474.3533409365555</v>
      </c>
      <c r="AL149" s="33">
        <f t="shared" si="36"/>
        <v>13549.978029652566</v>
      </c>
      <c r="AM149" s="87">
        <v>2</v>
      </c>
      <c r="AN149" s="531">
        <v>0</v>
      </c>
      <c r="AO149" s="23"/>
      <c r="AP149" s="532">
        <f t="shared" si="37"/>
        <v>496.87769434735964</v>
      </c>
      <c r="AR149" s="35">
        <f t="shared" si="38"/>
        <v>13549.978029652566</v>
      </c>
      <c r="AS149" s="36">
        <f ca="1">OFFSET(cod_desembolso!$A$1,AM149,23)</f>
        <v>1.1245293369208682</v>
      </c>
      <c r="AT149" s="37">
        <f ca="1">IF(AP149=0,0,AP149*(OFFSET(cod_desembolso!$A$1,AM149,23)))</f>
        <v>558.7535441552061</v>
      </c>
      <c r="AU149" s="38">
        <f>(constantes!$B$3*(1+constantes!$B$3)^(AI149))/((1+constantes!$B$3)^(AI149)-1)</f>
        <v>8.8827433387272267E-2</v>
      </c>
      <c r="AV149" s="37">
        <f t="shared" ca="1" si="39"/>
        <v>51.466143223348865</v>
      </c>
      <c r="AW149" s="37">
        <f ca="1">IF(AP149=0,AY149/constantes!$B$3,AV149/constantes!$B$3)</f>
        <v>643.32679029186079</v>
      </c>
      <c r="AX149" s="39">
        <f ca="1">IF(AP149=0,0,PV(constantes!$B$3,AI149,-AV149)*constantes!$B$3)</f>
        <v>46.351575193186427</v>
      </c>
      <c r="AY149" s="40">
        <f>constantes!$B$10*F149/1000</f>
        <v>1.8334999999999999</v>
      </c>
      <c r="AZ149" s="533">
        <f>constantes!$B$12</f>
        <v>0</v>
      </c>
      <c r="BA149" s="20">
        <v>318</v>
      </c>
      <c r="BB149" s="43"/>
      <c r="BC149" s="3" t="s">
        <v>2197</v>
      </c>
      <c r="BE149" s="534">
        <v>1</v>
      </c>
      <c r="BF149" s="535">
        <v>2027</v>
      </c>
      <c r="BG149" s="536">
        <v>1</v>
      </c>
      <c r="BH149" s="537">
        <v>2027</v>
      </c>
    </row>
    <row r="150" spans="1:60" ht="15" customHeight="1">
      <c r="A150" s="125">
        <v>1149</v>
      </c>
      <c r="B150" s="125">
        <v>1149</v>
      </c>
      <c r="C150" s="538" t="s">
        <v>2393</v>
      </c>
      <c r="D150" s="538" t="s">
        <v>2393</v>
      </c>
      <c r="E150" s="546"/>
      <c r="F150" s="526">
        <v>1461</v>
      </c>
      <c r="G150" s="3" t="s">
        <v>2181</v>
      </c>
      <c r="H150" s="3" t="s">
        <v>2255</v>
      </c>
      <c r="I150" s="3">
        <v>-58.558360999999998</v>
      </c>
      <c r="J150" s="3">
        <v>-8.8850829999999998</v>
      </c>
      <c r="K150" s="539" t="s">
        <v>160</v>
      </c>
      <c r="L150" s="539" t="s">
        <v>160</v>
      </c>
      <c r="M150" s="662">
        <v>10</v>
      </c>
      <c r="N150" s="107"/>
      <c r="O150" s="529">
        <v>1.6379999999999999E-2</v>
      </c>
      <c r="P150" s="529">
        <v>6.1409999999999999E-2</v>
      </c>
      <c r="Q150" s="288">
        <f t="shared" si="30"/>
        <v>0.51934833447410456</v>
      </c>
      <c r="R150" s="30">
        <f t="shared" si="31"/>
        <v>758.76791666666668</v>
      </c>
      <c r="S150" s="30">
        <f t="shared" si="32"/>
        <v>702.23208333333332</v>
      </c>
      <c r="T150" s="107">
        <v>1075.5152380952379</v>
      </c>
      <c r="U150" s="107">
        <v>1009.4453571428572</v>
      </c>
      <c r="V150" s="107">
        <v>445.95708333333329</v>
      </c>
      <c r="W150" s="107">
        <v>504.15398809523805</v>
      </c>
      <c r="X150" s="288">
        <f t="shared" si="33"/>
        <v>0.49891822683899023</v>
      </c>
      <c r="Y150" s="289">
        <f t="shared" si="34"/>
        <v>728.91952941176476</v>
      </c>
      <c r="Z150" s="289">
        <f t="shared" si="35"/>
        <v>-29.848387254901922</v>
      </c>
      <c r="AA150" s="107">
        <v>1075.494274509804</v>
      </c>
      <c r="AB150" s="107">
        <v>916.8664313725493</v>
      </c>
      <c r="AC150" s="107">
        <v>408.28101960784306</v>
      </c>
      <c r="AD150" s="107">
        <v>515.03639215686269</v>
      </c>
      <c r="AE150" s="106">
        <v>1</v>
      </c>
      <c r="AF150" s="32" t="str">
        <f>IF(AE150=0,"",VLOOKUP(AE150,tab_tipo_expansao!$A$2:$B$4,2,0))</f>
        <v>opcional</v>
      </c>
      <c r="AG150" s="125">
        <v>2030</v>
      </c>
      <c r="AH150" s="125">
        <v>2100</v>
      </c>
      <c r="AI150" s="125">
        <v>30</v>
      </c>
      <c r="AJ150" s="530">
        <v>13770.974615289537</v>
      </c>
      <c r="AK150" s="24">
        <f>AL150/constantes!$B$4</f>
        <v>2416.850877567093</v>
      </c>
      <c r="AL150" s="33">
        <f t="shared" si="36"/>
        <v>9425.7184225116616</v>
      </c>
      <c r="AM150" s="87">
        <v>4</v>
      </c>
      <c r="AN150" s="531">
        <v>0</v>
      </c>
      <c r="AO150" s="23"/>
      <c r="AP150" s="532">
        <f t="shared" si="37"/>
        <v>13770.974615289537</v>
      </c>
      <c r="AR150" s="35">
        <f t="shared" si="38"/>
        <v>9425.7184225116616</v>
      </c>
      <c r="AS150" s="36">
        <f ca="1">OFFSET(cod_desembolso!$A$1,AM150,23)</f>
        <v>1.103153897336226</v>
      </c>
      <c r="AT150" s="37">
        <f ca="1">IF(AP150=0,0,AP150*(OFFSET(cod_desembolso!$A$1,AM150,23)))</f>
        <v>15191.504316974888</v>
      </c>
      <c r="AU150" s="38">
        <f>(constantes!$B$3*(1+constantes!$B$3)^(AI150))/((1+constantes!$B$3)^(AI150)-1)</f>
        <v>8.8827433387272267E-2</v>
      </c>
      <c r="AV150" s="37">
        <f t="shared" ca="1" si="39"/>
        <v>1422.4723377685459</v>
      </c>
      <c r="AW150" s="37">
        <f ca="1">IF(AP150=0,AY150/constantes!$B$3,AV150/constantes!$B$3)</f>
        <v>17780.904222106823</v>
      </c>
      <c r="AX150" s="39">
        <f ca="1">IF(AP150=0,0,PV(constantes!$B$3,AI150,-AV150)*constantes!$B$3)</f>
        <v>1281.110831215228</v>
      </c>
      <c r="AY150" s="40">
        <f>constantes!$B$10*F150/1000</f>
        <v>73.05</v>
      </c>
      <c r="AZ150" s="533">
        <f>constantes!$B$12</f>
        <v>0</v>
      </c>
      <c r="BA150" s="20">
        <v>318</v>
      </c>
      <c r="BB150" s="43"/>
      <c r="BC150" s="3" t="s">
        <v>2217</v>
      </c>
      <c r="BE150" s="534">
        <v>1</v>
      </c>
      <c r="BF150" s="535">
        <v>2035</v>
      </c>
      <c r="BG150" s="536">
        <v>3</v>
      </c>
      <c r="BH150" s="537">
        <v>2050</v>
      </c>
    </row>
    <row r="151" spans="1:60" ht="15" hidden="1" customHeight="1">
      <c r="A151" s="125">
        <v>1150</v>
      </c>
      <c r="B151" s="125">
        <v>1150</v>
      </c>
      <c r="C151" s="538" t="s">
        <v>2394</v>
      </c>
      <c r="D151" s="538" t="s">
        <v>2394</v>
      </c>
      <c r="E151" s="546"/>
      <c r="F151" s="526">
        <v>201.65</v>
      </c>
      <c r="G151" s="3" t="s">
        <v>2206</v>
      </c>
      <c r="H151" s="3" t="s">
        <v>2207</v>
      </c>
      <c r="I151" s="3">
        <v>-39.963774999999998</v>
      </c>
      <c r="J151" s="3">
        <v>-16.001995999999998</v>
      </c>
      <c r="K151" s="539" t="s">
        <v>152</v>
      </c>
      <c r="L151" s="539" t="s">
        <v>152</v>
      </c>
      <c r="M151" s="662">
        <v>1</v>
      </c>
      <c r="N151" s="107"/>
      <c r="O151" s="529">
        <v>1.6379999999999999E-2</v>
      </c>
      <c r="P151" s="529">
        <v>6.1409999999999999E-2</v>
      </c>
      <c r="Q151" s="288">
        <f t="shared" si="30"/>
        <v>0.50260794870886616</v>
      </c>
      <c r="R151" s="30">
        <f t="shared" si="31"/>
        <v>101.35089285714285</v>
      </c>
      <c r="S151" s="30">
        <f t="shared" si="32"/>
        <v>100.29910714285715</v>
      </c>
      <c r="T151" s="107">
        <v>73.247142857142848</v>
      </c>
      <c r="U151" s="107">
        <v>60.233630952380963</v>
      </c>
      <c r="V151" s="107">
        <v>130.33833333333334</v>
      </c>
      <c r="W151" s="107">
        <v>141.58446428571426</v>
      </c>
      <c r="X151" s="288">
        <f t="shared" si="33"/>
        <v>0.5166190205315947</v>
      </c>
      <c r="Y151" s="289">
        <f t="shared" si="34"/>
        <v>104.17622549019607</v>
      </c>
      <c r="Z151" s="289">
        <f t="shared" si="35"/>
        <v>2.8253326330532218</v>
      </c>
      <c r="AA151" s="107">
        <v>122.45149019607844</v>
      </c>
      <c r="AB151" s="107">
        <v>69.298705882352934</v>
      </c>
      <c r="AC151" s="107">
        <v>102.32196078431372</v>
      </c>
      <c r="AD151" s="107">
        <v>122.63274509803922</v>
      </c>
      <c r="AE151" s="106">
        <v>1</v>
      </c>
      <c r="AF151" s="32" t="str">
        <f>IF(AE151=0,"",VLOOKUP(AE151,tab_tipo_expansao!$A$2:$B$4,2,0))</f>
        <v>opcional</v>
      </c>
      <c r="AG151" s="125">
        <v>2028</v>
      </c>
      <c r="AH151" s="125">
        <v>2100</v>
      </c>
      <c r="AI151" s="125">
        <v>30</v>
      </c>
      <c r="AJ151" s="530">
        <v>3209.014583875422</v>
      </c>
      <c r="AK151" s="24">
        <f>AL151/constantes!$B$4</f>
        <v>4080.4574871100876</v>
      </c>
      <c r="AL151" s="33">
        <f t="shared" si="36"/>
        <v>15913.784199729342</v>
      </c>
      <c r="AM151" s="87">
        <v>2</v>
      </c>
      <c r="AN151" s="531">
        <v>0</v>
      </c>
      <c r="AO151" s="23"/>
      <c r="AP151" s="532">
        <f t="shared" si="37"/>
        <v>3209.014583875422</v>
      </c>
      <c r="AR151" s="35">
        <f t="shared" si="38"/>
        <v>15913.784199729342</v>
      </c>
      <c r="AS151" s="36">
        <f ca="1">OFFSET(cod_desembolso!$A$1,AM151,23)</f>
        <v>1.1245293369208682</v>
      </c>
      <c r="AT151" s="37">
        <f ca="1">IF(AP151=0,0,AP151*(OFFSET(cod_desembolso!$A$1,AM151,23)))</f>
        <v>3608.631042174824</v>
      </c>
      <c r="AU151" s="38">
        <f>(constantes!$B$3*(1+constantes!$B$3)^(AI151))/((1+constantes!$B$3)^(AI151)-1)</f>
        <v>8.8827433387272267E-2</v>
      </c>
      <c r="AV151" s="37">
        <f t="shared" ca="1" si="39"/>
        <v>330.62793351802708</v>
      </c>
      <c r="AW151" s="37">
        <f ca="1">IF(AP151=0,AY151/constantes!$B$3,AV151/constantes!$B$3)</f>
        <v>4132.8491689753382</v>
      </c>
      <c r="AX151" s="39">
        <f ca="1">IF(AP151=0,0,PV(constantes!$B$3,AI151,-AV151)*constantes!$B$3)</f>
        <v>297.77101141855252</v>
      </c>
      <c r="AY151" s="40">
        <f>constantes!$B$10*F151/1000</f>
        <v>10.0825</v>
      </c>
      <c r="AZ151" s="533">
        <f>constantes!$B$12</f>
        <v>0</v>
      </c>
      <c r="BA151" s="20">
        <v>318</v>
      </c>
      <c r="BB151" s="43"/>
      <c r="BC151" s="3" t="s">
        <v>2197</v>
      </c>
      <c r="BE151" s="534">
        <v>1</v>
      </c>
      <c r="BF151" s="535">
        <v>2027</v>
      </c>
      <c r="BG151" s="536">
        <v>1</v>
      </c>
      <c r="BH151" s="537">
        <v>2027</v>
      </c>
    </row>
    <row r="152" spans="1:60" ht="15" hidden="1" customHeight="1">
      <c r="A152" s="125">
        <v>1151</v>
      </c>
      <c r="B152" s="125">
        <v>1151</v>
      </c>
      <c r="C152" s="538" t="s">
        <v>2395</v>
      </c>
      <c r="D152" s="538" t="s">
        <v>2395</v>
      </c>
      <c r="E152" s="546"/>
      <c r="F152" s="526">
        <v>36.1</v>
      </c>
      <c r="G152" s="3" t="s">
        <v>2196</v>
      </c>
      <c r="H152" s="3" t="s">
        <v>2281</v>
      </c>
      <c r="I152" s="3">
        <v>-51.255222000000003</v>
      </c>
      <c r="J152" s="3">
        <v>-18.348807999999998</v>
      </c>
      <c r="K152" s="539" t="s">
        <v>2005</v>
      </c>
      <c r="L152" s="539" t="s">
        <v>2005</v>
      </c>
      <c r="M152" s="662">
        <v>1</v>
      </c>
      <c r="N152" s="107"/>
      <c r="O152" s="529">
        <v>2.068E-2</v>
      </c>
      <c r="P152" s="529">
        <v>4.6600000000000003E-2</v>
      </c>
      <c r="Q152" s="288">
        <f t="shared" si="30"/>
        <v>0.61520989974937335</v>
      </c>
      <c r="R152" s="30">
        <f t="shared" si="31"/>
        <v>22.20907738095238</v>
      </c>
      <c r="S152" s="30">
        <f t="shared" si="32"/>
        <v>13.890922619047622</v>
      </c>
      <c r="T152" s="107">
        <v>31.156666666666666</v>
      </c>
      <c r="U152" s="107">
        <v>21.716547619047621</v>
      </c>
      <c r="V152" s="107">
        <v>12.855416666666665</v>
      </c>
      <c r="W152" s="107">
        <v>23.107678571428568</v>
      </c>
      <c r="X152" s="288">
        <f t="shared" si="33"/>
        <v>0.69260197707892046</v>
      </c>
      <c r="Y152" s="289">
        <f t="shared" si="34"/>
        <v>25.002931372549028</v>
      </c>
      <c r="Z152" s="289">
        <f t="shared" si="35"/>
        <v>2.7938539915966487</v>
      </c>
      <c r="AA152" s="107">
        <v>33.217803921568652</v>
      </c>
      <c r="AB152" s="107">
        <v>26.13427450980392</v>
      </c>
      <c r="AC152" s="107">
        <v>15.419490196078437</v>
      </c>
      <c r="AD152" s="107">
        <v>25.240156862745096</v>
      </c>
      <c r="AE152" s="106">
        <v>1</v>
      </c>
      <c r="AF152" s="32" t="str">
        <f>IF(AE152=0,"",VLOOKUP(AE152,tab_tipo_expansao!$A$2:$B$4,2,0))</f>
        <v>opcional</v>
      </c>
      <c r="AG152" s="125">
        <v>2028</v>
      </c>
      <c r="AH152" s="125">
        <v>2100</v>
      </c>
      <c r="AI152" s="125">
        <v>30</v>
      </c>
      <c r="AJ152" s="530">
        <v>315.1798739040384</v>
      </c>
      <c r="AK152" s="24">
        <f>AL152/constantes!$B$4</f>
        <v>2238.652417814038</v>
      </c>
      <c r="AL152" s="33">
        <f t="shared" si="36"/>
        <v>8730.7444294747474</v>
      </c>
      <c r="AM152" s="87">
        <v>2</v>
      </c>
      <c r="AN152" s="531">
        <v>0</v>
      </c>
      <c r="AO152" s="23"/>
      <c r="AP152" s="532">
        <f t="shared" si="37"/>
        <v>315.1798739040384</v>
      </c>
      <c r="AR152" s="35">
        <f t="shared" si="38"/>
        <v>8730.7444294747474</v>
      </c>
      <c r="AS152" s="36">
        <f ca="1">OFFSET(cod_desembolso!$A$1,AM152,23)</f>
        <v>1.1245293369208682</v>
      </c>
      <c r="AT152" s="37">
        <f ca="1">IF(AP152=0,0,AP152*(OFFSET(cod_desembolso!$A$1,AM152,23)))</f>
        <v>354.42901461211113</v>
      </c>
      <c r="AU152" s="38">
        <f>(constantes!$B$3*(1+constantes!$B$3)^(AI152))/((1+constantes!$B$3)^(AI152)-1)</f>
        <v>8.8827433387272267E-2</v>
      </c>
      <c r="AV152" s="37">
        <f t="shared" ca="1" si="39"/>
        <v>33.28801968597385</v>
      </c>
      <c r="AW152" s="37">
        <f ca="1">IF(AP152=0,AY152/constantes!$B$3,AV152/constantes!$B$3)</f>
        <v>416.10024607467312</v>
      </c>
      <c r="AX152" s="39">
        <f ca="1">IF(AP152=0,0,PV(constantes!$B$3,AI152,-AV152)*constantes!$B$3)</f>
        <v>29.979945083716498</v>
      </c>
      <c r="AY152" s="40">
        <f>constantes!$B$10*F152/1000</f>
        <v>1.8049999999999999</v>
      </c>
      <c r="AZ152" s="533">
        <f>constantes!$B$12</f>
        <v>0</v>
      </c>
      <c r="BA152" s="20">
        <v>318</v>
      </c>
      <c r="BB152" s="43"/>
      <c r="BC152" s="3" t="s">
        <v>2197</v>
      </c>
      <c r="BE152" s="534">
        <v>1</v>
      </c>
      <c r="BF152" s="535">
        <v>2027</v>
      </c>
      <c r="BG152" s="536">
        <v>1</v>
      </c>
      <c r="BH152" s="537">
        <v>2027</v>
      </c>
    </row>
    <row r="153" spans="1:60" ht="14.45" hidden="1">
      <c r="A153" s="125">
        <v>1152</v>
      </c>
      <c r="B153" s="125">
        <v>1152</v>
      </c>
      <c r="C153" s="538" t="s">
        <v>2396</v>
      </c>
      <c r="D153" s="538" t="s">
        <v>2396</v>
      </c>
      <c r="E153" s="546"/>
      <c r="F153" s="526">
        <v>47</v>
      </c>
      <c r="G153" s="3" t="s">
        <v>2196</v>
      </c>
      <c r="H153" s="3" t="s">
        <v>2397</v>
      </c>
      <c r="I153" s="3">
        <v>-52.739159000000001</v>
      </c>
      <c r="J153" s="3">
        <v>-25.99306</v>
      </c>
      <c r="K153" s="539" t="s">
        <v>153</v>
      </c>
      <c r="L153" s="539" t="s">
        <v>153</v>
      </c>
      <c r="M153" s="662">
        <v>2</v>
      </c>
      <c r="N153" s="107"/>
      <c r="O153" s="529">
        <v>2.068E-2</v>
      </c>
      <c r="P153" s="529">
        <v>4.6600000000000003E-2</v>
      </c>
      <c r="Q153" s="288">
        <f t="shared" si="30"/>
        <v>1.7012075734549137</v>
      </c>
      <c r="R153" s="30">
        <f t="shared" si="31"/>
        <v>79.956755952380945</v>
      </c>
      <c r="S153" s="30">
        <f t="shared" si="32"/>
        <v>-32.956755952380945</v>
      </c>
      <c r="T153" s="107">
        <v>95.765238095238089</v>
      </c>
      <c r="U153" s="107">
        <v>83.166785714285709</v>
      </c>
      <c r="V153" s="107">
        <v>63.122916666666676</v>
      </c>
      <c r="W153" s="107">
        <v>77.772083333333342</v>
      </c>
      <c r="X153" s="288">
        <f t="shared" si="33"/>
        <v>1.6434134334584889</v>
      </c>
      <c r="Y153" s="289">
        <f t="shared" si="34"/>
        <v>77.240431372548983</v>
      </c>
      <c r="Z153" s="289">
        <f t="shared" si="35"/>
        <v>-2.7163245798319622</v>
      </c>
      <c r="AA153" s="107">
        <v>94.289647058823462</v>
      </c>
      <c r="AB153" s="107">
        <v>78.379058823529405</v>
      </c>
      <c r="AC153" s="107">
        <v>53.735137254901964</v>
      </c>
      <c r="AD153" s="107">
        <v>82.557882352941135</v>
      </c>
      <c r="AE153" s="106">
        <v>1</v>
      </c>
      <c r="AF153" s="32" t="str">
        <f>IF(AE153=0,"",VLOOKUP(AE153,tab_tipo_expansao!$A$2:$B$4,2,0))</f>
        <v>opcional</v>
      </c>
      <c r="AG153" s="125">
        <v>2028</v>
      </c>
      <c r="AH153" s="125">
        <v>2100</v>
      </c>
      <c r="AI153" s="125">
        <v>30</v>
      </c>
      <c r="AJ153" s="530">
        <v>470</v>
      </c>
      <c r="AK153" s="24">
        <f>AL153/constantes!$B$4</f>
        <v>2564.102564102564</v>
      </c>
      <c r="AL153" s="33">
        <f t="shared" si="36"/>
        <v>10000</v>
      </c>
      <c r="AM153" s="87">
        <v>2</v>
      </c>
      <c r="AN153" s="531">
        <v>0</v>
      </c>
      <c r="AO153" s="23"/>
      <c r="AP153" s="532">
        <f t="shared" si="37"/>
        <v>470</v>
      </c>
      <c r="AR153" s="35">
        <f t="shared" si="38"/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528.52878835280808</v>
      </c>
      <c r="AU153" s="38">
        <f>(constantes!$B$3*(1+constantes!$B$3)^(AI153))/((1+constantes!$B$3)^(AI153)-1)</f>
        <v>8.8827433387272267E-2</v>
      </c>
      <c r="AV153" s="37">
        <f t="shared" ca="1" si="39"/>
        <v>49.297855740664787</v>
      </c>
      <c r="AW153" s="37">
        <f ca="1">IF(AP153=0,AY153/constantes!$B$3,AV153/constantes!$B$3)</f>
        <v>616.22319675830977</v>
      </c>
      <c r="AX153" s="39">
        <f ca="1">IF(AP153=0,0,PV(constantes!$B$3,AI153,-AV153)*constantes!$B$3)</f>
        <v>44.398766336732614</v>
      </c>
      <c r="AY153" s="40">
        <f>constantes!$B$10*F153/1000</f>
        <v>2.35</v>
      </c>
      <c r="AZ153" s="533">
        <f>constantes!$B$12</f>
        <v>0</v>
      </c>
      <c r="BA153" s="20">
        <v>318</v>
      </c>
      <c r="BB153" s="43"/>
      <c r="BC153" s="3" t="s">
        <v>2197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4.45">
      <c r="A154" s="125">
        <v>1153</v>
      </c>
      <c r="B154" s="125">
        <v>1153</v>
      </c>
      <c r="C154" s="538" t="s">
        <v>2398</v>
      </c>
      <c r="D154" s="538" t="s">
        <v>2398</v>
      </c>
      <c r="E154" s="546"/>
      <c r="F154" s="526">
        <v>76</v>
      </c>
      <c r="G154" s="3" t="s">
        <v>2181</v>
      </c>
      <c r="H154" s="3" t="s">
        <v>2296</v>
      </c>
      <c r="I154" s="3">
        <v>-58.281908000000001</v>
      </c>
      <c r="J154" s="3">
        <v>-13.028667</v>
      </c>
      <c r="K154" s="539" t="s">
        <v>160</v>
      </c>
      <c r="L154" s="539" t="s">
        <v>160</v>
      </c>
      <c r="M154" s="662">
        <v>10</v>
      </c>
      <c r="N154" s="107"/>
      <c r="O154" s="529">
        <v>1.9820000000000001E-2</v>
      </c>
      <c r="P154" s="529">
        <v>5.2919999999999995E-2</v>
      </c>
      <c r="Q154" s="288">
        <f t="shared" si="30"/>
        <v>0.76250802788220551</v>
      </c>
      <c r="R154" s="30">
        <f t="shared" si="31"/>
        <v>57.950610119047617</v>
      </c>
      <c r="S154" s="30">
        <f t="shared" si="32"/>
        <v>18.049389880952383</v>
      </c>
      <c r="T154" s="107">
        <v>67.869047619047635</v>
      </c>
      <c r="U154" s="107">
        <v>63.530833333333334</v>
      </c>
      <c r="V154" s="107">
        <v>47.625</v>
      </c>
      <c r="W154" s="107">
        <v>52.777559523809522</v>
      </c>
      <c r="X154" s="288">
        <f t="shared" si="33"/>
        <v>0.73734146026831826</v>
      </c>
      <c r="Y154" s="289">
        <f t="shared" si="34"/>
        <v>56.037950980392189</v>
      </c>
      <c r="Z154" s="289">
        <f t="shared" si="35"/>
        <v>-1.9126591386554281</v>
      </c>
      <c r="AA154" s="107">
        <v>66.977019607843204</v>
      </c>
      <c r="AB154" s="107">
        <v>59.527176470588266</v>
      </c>
      <c r="AC154" s="107">
        <v>45.417176470588231</v>
      </c>
      <c r="AD154" s="107">
        <v>52.230431372549042</v>
      </c>
      <c r="AE154" s="106">
        <v>1</v>
      </c>
      <c r="AF154" s="32" t="str">
        <f>IF(AE154=0,"",VLOOKUP(AE154,tab_tipo_expansao!$A$2:$B$4,2,0))</f>
        <v>opcional</v>
      </c>
      <c r="AG154" s="125">
        <v>2030</v>
      </c>
      <c r="AH154" s="125">
        <v>2100</v>
      </c>
      <c r="AI154" s="125">
        <v>30</v>
      </c>
      <c r="AJ154" s="530">
        <v>835.35992347801403</v>
      </c>
      <c r="AK154" s="24">
        <f>AL154/constantes!$B$4</f>
        <v>2818.35331807697</v>
      </c>
      <c r="AL154" s="33">
        <f t="shared" si="36"/>
        <v>10991.577940500183</v>
      </c>
      <c r="AM154" s="87">
        <v>2</v>
      </c>
      <c r="AN154" s="531">
        <v>0</v>
      </c>
      <c r="AO154" s="23"/>
      <c r="AP154" s="532">
        <f t="shared" si="37"/>
        <v>835.35992347801403</v>
      </c>
      <c r="AR154" s="35">
        <f t="shared" si="38"/>
        <v>10991.577940500185</v>
      </c>
      <c r="AS154" s="36">
        <f ca="1">OFFSET(cod_desembolso!$A$1,AM154,23)</f>
        <v>1.1245293369208682</v>
      </c>
      <c r="AT154" s="37">
        <f ca="1">IF(AP154=0,0,AP154*(OFFSET(cod_desembolso!$A$1,AM154,23)))</f>
        <v>939.38674083899832</v>
      </c>
      <c r="AU154" s="38">
        <f>(constantes!$B$3*(1+constantes!$B$3)^(AI154))/((1+constantes!$B$3)^(AI154)-1)</f>
        <v>8.8827433387272267E-2</v>
      </c>
      <c r="AV154" s="37">
        <f t="shared" ca="1" si="39"/>
        <v>87.243313146762915</v>
      </c>
      <c r="AW154" s="37">
        <f ca="1">IF(AP154=0,AY154/constantes!$B$3,AV154/constantes!$B$3)</f>
        <v>1090.5414143345365</v>
      </c>
      <c r="AX154" s="39">
        <f ca="1">IF(AP154=0,0,PV(constantes!$B$3,AI154,-AV154)*constantes!$B$3)</f>
        <v>78.573305403430609</v>
      </c>
      <c r="AY154" s="40">
        <f>constantes!$B$10*F154/1000</f>
        <v>3.8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4.45" hidden="1">
      <c r="A155" s="125">
        <v>1154</v>
      </c>
      <c r="B155" s="125">
        <v>1154</v>
      </c>
      <c r="C155" s="538" t="s">
        <v>2399</v>
      </c>
      <c r="D155" s="538" t="s">
        <v>2399</v>
      </c>
      <c r="E155" s="546"/>
      <c r="F155" s="526">
        <v>48.5</v>
      </c>
      <c r="G155" s="3" t="s">
        <v>2196</v>
      </c>
      <c r="H155" s="3" t="s">
        <v>2305</v>
      </c>
      <c r="I155" s="3">
        <v>-50.186543999999998</v>
      </c>
      <c r="J155" s="3">
        <v>-18.126525000000001</v>
      </c>
      <c r="K155" s="539" t="s">
        <v>2005</v>
      </c>
      <c r="L155" s="539" t="s">
        <v>2005</v>
      </c>
      <c r="M155" s="662">
        <v>1</v>
      </c>
      <c r="N155" s="107"/>
      <c r="O155" s="529">
        <v>2.068E-2</v>
      </c>
      <c r="P155" s="529">
        <v>4.6600000000000003E-2</v>
      </c>
      <c r="Q155" s="288">
        <f t="shared" si="30"/>
        <v>0.532119300920186</v>
      </c>
      <c r="R155" s="30">
        <f t="shared" si="31"/>
        <v>25.807786094629019</v>
      </c>
      <c r="S155" s="30">
        <f t="shared" si="32"/>
        <v>22.692213905370981</v>
      </c>
      <c r="T155" s="107">
        <v>32.341515636377707</v>
      </c>
      <c r="U155" s="107">
        <v>28.390936196646155</v>
      </c>
      <c r="V155" s="107">
        <v>20.139157248205091</v>
      </c>
      <c r="W155" s="107">
        <v>22.359535297287124</v>
      </c>
      <c r="X155" s="288">
        <f t="shared" si="33"/>
        <v>0.56765074645560576</v>
      </c>
      <c r="Y155" s="289">
        <f t="shared" si="34"/>
        <v>27.531061203096879</v>
      </c>
      <c r="Z155" s="289">
        <f t="shared" si="35"/>
        <v>1.7232751084678597</v>
      </c>
      <c r="AA155" s="107">
        <v>35.984612039960325</v>
      </c>
      <c r="AB155" s="107">
        <v>29.936726588611311</v>
      </c>
      <c r="AC155" s="107">
        <v>20.610941656490279</v>
      </c>
      <c r="AD155" s="107">
        <v>23.591964527325604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477.61009648318816</v>
      </c>
      <c r="AK155" s="24">
        <f>AL155/constantes!$B$4</f>
        <v>2525.0335526470431</v>
      </c>
      <c r="AL155" s="33">
        <f t="shared" si="36"/>
        <v>9847.6308553234685</v>
      </c>
      <c r="AM155" s="87">
        <v>2</v>
      </c>
      <c r="AN155" s="531">
        <v>0</v>
      </c>
      <c r="AO155" s="23"/>
      <c r="AP155" s="532">
        <f t="shared" si="37"/>
        <v>477.61009648318816</v>
      </c>
      <c r="AR155" s="35">
        <f t="shared" si="38"/>
        <v>9847.6308553234667</v>
      </c>
      <c r="AS155" s="36">
        <f ca="1">OFFSET(cod_desembolso!$A$1,AM155,23)</f>
        <v>1.1245293369208682</v>
      </c>
      <c r="AT155" s="37">
        <f ca="1">IF(AP155=0,0,AP155*(OFFSET(cod_desembolso!$A$1,AM155,23)))</f>
        <v>537.08656510495143</v>
      </c>
      <c r="AU155" s="38">
        <f>(constantes!$B$3*(1+constantes!$B$3)^(AI155))/((1+constantes!$B$3)^(AI155)-1)</f>
        <v>8.8827433387272267E-2</v>
      </c>
      <c r="AV155" s="37">
        <f t="shared" ca="1" si="39"/>
        <v>50.133021085058942</v>
      </c>
      <c r="AW155" s="37">
        <f ca="1">IF(AP155=0,AY155/constantes!$B$3,AV155/constantes!$B$3)</f>
        <v>626.66276356323681</v>
      </c>
      <c r="AX155" s="39">
        <f ca="1">IF(AP155=0,0,PV(constantes!$B$3,AI155,-AV155)*constantes!$B$3)</f>
        <v>45.15093517696284</v>
      </c>
      <c r="AY155" s="40">
        <f>constantes!$B$10*F155/1000</f>
        <v>2.4249999999999998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4.45">
      <c r="A156" s="125">
        <v>1155</v>
      </c>
      <c r="B156" s="125">
        <v>1155</v>
      </c>
      <c r="C156" s="538" t="s">
        <v>2400</v>
      </c>
      <c r="D156" s="538" t="s">
        <v>2400</v>
      </c>
      <c r="E156" s="546"/>
      <c r="F156" s="526">
        <v>1087</v>
      </c>
      <c r="G156" s="3" t="s">
        <v>2199</v>
      </c>
      <c r="H156" s="3" t="s">
        <v>2268</v>
      </c>
      <c r="I156" s="3">
        <v>-48.336517000000001</v>
      </c>
      <c r="J156" s="3">
        <v>-6.1365280000000002</v>
      </c>
      <c r="K156" s="539" t="s">
        <v>1983</v>
      </c>
      <c r="L156" s="539" t="s">
        <v>1983</v>
      </c>
      <c r="M156" s="662">
        <v>4</v>
      </c>
      <c r="N156" s="107"/>
      <c r="O156" s="529">
        <v>1.6379999999999999E-2</v>
      </c>
      <c r="P156" s="529">
        <v>6.1409999999999999E-2</v>
      </c>
      <c r="Q156" s="288">
        <f t="shared" si="30"/>
        <v>0.53569966487054799</v>
      </c>
      <c r="R156" s="30">
        <f t="shared" si="31"/>
        <v>582.30553571428561</v>
      </c>
      <c r="S156" s="30">
        <f t="shared" si="32"/>
        <v>504.69446428571439</v>
      </c>
      <c r="T156" s="107">
        <v>930.27809523809503</v>
      </c>
      <c r="U156" s="107">
        <v>888.20249999999999</v>
      </c>
      <c r="V156" s="107">
        <v>237.15499999999997</v>
      </c>
      <c r="W156" s="107">
        <v>273.58654761904762</v>
      </c>
      <c r="X156" s="288">
        <f t="shared" si="33"/>
        <v>0.6135091004202966</v>
      </c>
      <c r="Y156" s="289">
        <f t="shared" si="34"/>
        <v>666.88439215686242</v>
      </c>
      <c r="Z156" s="289">
        <f t="shared" si="35"/>
        <v>84.578856442576807</v>
      </c>
      <c r="AA156" s="107">
        <v>978.35694117647006</v>
      </c>
      <c r="AB156" s="107">
        <v>926.24054901960733</v>
      </c>
      <c r="AC156" s="107">
        <v>311.98192156862746</v>
      </c>
      <c r="AD156" s="107">
        <v>450.95815686274517</v>
      </c>
      <c r="AE156" s="106">
        <v>1</v>
      </c>
      <c r="AF156" s="32" t="str">
        <f>IF(AE156=0,"",VLOOKUP(AE156,tab_tipo_expansao!$A$2:$B$4,2,0))</f>
        <v>opcional</v>
      </c>
      <c r="AG156" s="125">
        <v>2030</v>
      </c>
      <c r="AH156" s="125">
        <v>2100</v>
      </c>
      <c r="AI156" s="125">
        <v>30</v>
      </c>
      <c r="AJ156" s="530">
        <v>4962.0843378228656</v>
      </c>
      <c r="AK156" s="24">
        <f>AL156/constantes!$B$4</f>
        <v>1170.4961521531541</v>
      </c>
      <c r="AL156" s="33">
        <f t="shared" si="36"/>
        <v>4564.9349933973008</v>
      </c>
      <c r="AM156" s="87">
        <v>4</v>
      </c>
      <c r="AN156" s="531">
        <v>0</v>
      </c>
      <c r="AO156" s="23"/>
      <c r="AP156" s="532">
        <f t="shared" si="37"/>
        <v>4962.0843378228656</v>
      </c>
      <c r="AR156" s="35">
        <f t="shared" si="38"/>
        <v>4564.9349933973008</v>
      </c>
      <c r="AS156" s="36">
        <f ca="1">OFFSET(cod_desembolso!$A$1,AM156,23)</f>
        <v>1.103153897336226</v>
      </c>
      <c r="AT156" s="37">
        <f ca="1">IF(AP156=0,0,AP156*(OFFSET(cod_desembolso!$A$1,AM156,23)))</f>
        <v>5473.9426761803406</v>
      </c>
      <c r="AU156" s="38">
        <f>(constantes!$B$3*(1+constantes!$B$3)^(AI156))/((1+constantes!$B$3)^(AI156)-1)</f>
        <v>8.8827433387272267E-2</v>
      </c>
      <c r="AV156" s="37">
        <f t="shared" ca="1" si="39"/>
        <v>540.58627843415604</v>
      </c>
      <c r="AW156" s="37">
        <f ca="1">IF(AP156=0,AY156/constantes!$B$3,AV156/constantes!$B$3)</f>
        <v>6757.3284804269506</v>
      </c>
      <c r="AX156" s="39">
        <f ca="1">IF(AP156=0,0,PV(constantes!$B$3,AI156,-AV156)*constantes!$B$3)</f>
        <v>486.8642560703455</v>
      </c>
      <c r="AY156" s="40">
        <f>constantes!$B$10*F156/1000</f>
        <v>54.35</v>
      </c>
      <c r="AZ156" s="533">
        <f>constantes!$B$12</f>
        <v>0</v>
      </c>
      <c r="BA156" s="20">
        <v>318</v>
      </c>
      <c r="BB156" s="43"/>
      <c r="BC156" s="3" t="s">
        <v>2217</v>
      </c>
      <c r="BE156" s="534">
        <v>1</v>
      </c>
      <c r="BF156" s="535">
        <v>2035</v>
      </c>
      <c r="BG156" s="536">
        <v>3</v>
      </c>
      <c r="BH156" s="537">
        <v>2050</v>
      </c>
    </row>
    <row r="157" spans="1:60" ht="14.45" hidden="1">
      <c r="A157" s="125">
        <v>1156</v>
      </c>
      <c r="B157" s="125">
        <v>1156</v>
      </c>
      <c r="C157" s="538" t="s">
        <v>2401</v>
      </c>
      <c r="D157" s="538" t="s">
        <v>2401</v>
      </c>
      <c r="E157" s="546"/>
      <c r="F157" s="526">
        <v>48</v>
      </c>
      <c r="G157" s="3" t="s">
        <v>2196</v>
      </c>
      <c r="H157" s="3" t="s">
        <v>2316</v>
      </c>
      <c r="I157" s="3">
        <v>-52.150545000000001</v>
      </c>
      <c r="J157" s="3">
        <v>-20.093761000000001</v>
      </c>
      <c r="K157" s="539" t="s">
        <v>2092</v>
      </c>
      <c r="L157" s="539" t="s">
        <v>2092</v>
      </c>
      <c r="M157" s="662">
        <v>1</v>
      </c>
      <c r="N157" s="107"/>
      <c r="O157" s="529">
        <v>2.068E-2</v>
      </c>
      <c r="P157" s="529">
        <v>4.6600000000000003E-2</v>
      </c>
      <c r="Q157" s="288">
        <f t="shared" si="30"/>
        <v>0.532119300920186</v>
      </c>
      <c r="R157" s="30">
        <f t="shared" si="31"/>
        <v>25.541726444168926</v>
      </c>
      <c r="S157" s="30">
        <f t="shared" si="32"/>
        <v>22.458273555831074</v>
      </c>
      <c r="T157" s="107">
        <v>32.008097949404743</v>
      </c>
      <c r="U157" s="107">
        <v>28.098246132763212</v>
      </c>
      <c r="V157" s="107">
        <v>19.931537070388543</v>
      </c>
      <c r="W157" s="107">
        <v>22.129024624119211</v>
      </c>
      <c r="X157" s="288">
        <f t="shared" si="33"/>
        <v>0.56765074645560565</v>
      </c>
      <c r="Y157" s="289">
        <f t="shared" si="34"/>
        <v>27.247235829869073</v>
      </c>
      <c r="Z157" s="289">
        <f t="shared" si="35"/>
        <v>1.7055093857001467</v>
      </c>
      <c r="AA157" s="107">
        <v>35.613636658105058</v>
      </c>
      <c r="AB157" s="107">
        <v>29.62810054130604</v>
      </c>
      <c r="AC157" s="107">
        <v>20.398457721887286</v>
      </c>
      <c r="AD157" s="107">
        <v>23.348748398177918</v>
      </c>
      <c r="AE157" s="106">
        <v>1</v>
      </c>
      <c r="AF157" s="32" t="str">
        <f>IF(AE157=0,"",VLOOKUP(AE157,tab_tipo_expansao!$A$2:$B$4,2,0))</f>
        <v>opcional</v>
      </c>
      <c r="AG157" s="125">
        <v>2028</v>
      </c>
      <c r="AH157" s="125">
        <v>2100</v>
      </c>
      <c r="AI157" s="125">
        <v>30</v>
      </c>
      <c r="AJ157" s="530">
        <v>480</v>
      </c>
      <c r="AK157" s="24">
        <f>AL157/constantes!$B$4</f>
        <v>2564.102564102564</v>
      </c>
      <c r="AL157" s="33">
        <f t="shared" si="36"/>
        <v>10000</v>
      </c>
      <c r="AM157" s="87">
        <v>2</v>
      </c>
      <c r="AN157" s="531">
        <v>0</v>
      </c>
      <c r="AO157" s="23"/>
      <c r="AP157" s="532">
        <f t="shared" si="37"/>
        <v>480</v>
      </c>
      <c r="AR157" s="35">
        <f t="shared" si="38"/>
        <v>10000</v>
      </c>
      <c r="AS157" s="36">
        <f ca="1">OFFSET(cod_desembolso!$A$1,AM157,23)</f>
        <v>1.1245293369208682</v>
      </c>
      <c r="AT157" s="37">
        <f ca="1">IF(AP157=0,0,AP157*(OFFSET(cod_desembolso!$A$1,AM157,23)))</f>
        <v>539.77408172201672</v>
      </c>
      <c r="AU157" s="38">
        <f>(constantes!$B$3*(1+constantes!$B$3)^(AI157))/((1+constantes!$B$3)^(AI157)-1)</f>
        <v>8.8827433387272267E-2</v>
      </c>
      <c r="AV157" s="37">
        <f t="shared" ca="1" si="39"/>
        <v>50.346746288338494</v>
      </c>
      <c r="AW157" s="37">
        <f ca="1">IF(AP157=0,AY157/constantes!$B$3,AV157/constantes!$B$3)</f>
        <v>629.33432860423113</v>
      </c>
      <c r="AX157" s="39">
        <f ca="1">IF(AP157=0,0,PV(constantes!$B$3,AI157,-AV157)*constantes!$B$3)</f>
        <v>45.34342093964181</v>
      </c>
      <c r="AY157" s="40">
        <f>constantes!$B$10*F157/1000</f>
        <v>2.4</v>
      </c>
      <c r="AZ157" s="533">
        <f>constantes!$B$12</f>
        <v>0</v>
      </c>
      <c r="BA157" s="20">
        <v>318</v>
      </c>
      <c r="BB157" s="43"/>
      <c r="BC157" s="3" t="s">
        <v>2197</v>
      </c>
      <c r="BE157" s="534">
        <v>1</v>
      </c>
      <c r="BF157" s="535">
        <v>2027</v>
      </c>
      <c r="BG157" s="536">
        <v>1</v>
      </c>
      <c r="BH157" s="537">
        <v>2027</v>
      </c>
    </row>
    <row r="158" spans="1:60" ht="14.45" hidden="1">
      <c r="A158" s="125">
        <v>1157</v>
      </c>
      <c r="B158" s="125">
        <v>1157</v>
      </c>
      <c r="C158" s="538" t="s">
        <v>2402</v>
      </c>
      <c r="D158" s="538" t="s">
        <v>2402</v>
      </c>
      <c r="E158" s="546"/>
      <c r="F158" s="526">
        <v>84.3</v>
      </c>
      <c r="G158" s="3" t="s">
        <v>2097</v>
      </c>
      <c r="H158" s="3" t="s">
        <v>2202</v>
      </c>
      <c r="I158" s="3">
        <v>-52.810988000000002</v>
      </c>
      <c r="J158" s="3">
        <v>-26.876702999999999</v>
      </c>
      <c r="K158" s="539" t="s">
        <v>1991</v>
      </c>
      <c r="L158" s="539" t="s">
        <v>1991</v>
      </c>
      <c r="M158" s="662">
        <v>2</v>
      </c>
      <c r="N158" s="107"/>
      <c r="O158" s="529">
        <v>1.9820000000000001E-2</v>
      </c>
      <c r="P158" s="529">
        <v>5.2919999999999995E-2</v>
      </c>
      <c r="Q158" s="288">
        <f t="shared" si="30"/>
        <v>0.48581790515731804</v>
      </c>
      <c r="R158" s="30">
        <f t="shared" si="31"/>
        <v>40.95444940476191</v>
      </c>
      <c r="S158" s="30">
        <f t="shared" si="32"/>
        <v>43.345550595238088</v>
      </c>
      <c r="T158" s="107">
        <v>27.774761904761903</v>
      </c>
      <c r="U158" s="107">
        <v>42.96595238095238</v>
      </c>
      <c r="V158" s="107">
        <v>47.243749999999999</v>
      </c>
      <c r="W158" s="107">
        <v>45.833333333333336</v>
      </c>
      <c r="X158" s="288">
        <f t="shared" si="33"/>
        <v>0.55823855046170312</v>
      </c>
      <c r="Y158" s="289">
        <f t="shared" si="34"/>
        <v>47.059509803921571</v>
      </c>
      <c r="Z158" s="289">
        <f t="shared" si="35"/>
        <v>6.1050603991596617</v>
      </c>
      <c r="AA158" s="107">
        <v>36.420588235294119</v>
      </c>
      <c r="AB158" s="107">
        <v>45.816039215686281</v>
      </c>
      <c r="AC158" s="107">
        <v>54.859176470588245</v>
      </c>
      <c r="AD158" s="107">
        <v>51.142235294117654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505.77370515722032</v>
      </c>
      <c r="AK158" s="24">
        <f>AL158/constantes!$B$4</f>
        <v>1538.3815590145705</v>
      </c>
      <c r="AL158" s="33">
        <f t="shared" si="36"/>
        <v>5999.688080156825</v>
      </c>
      <c r="AM158" s="87">
        <v>2</v>
      </c>
      <c r="AN158" s="531">
        <v>0</v>
      </c>
      <c r="AO158" s="23"/>
      <c r="AP158" s="532">
        <f t="shared" si="37"/>
        <v>505.77370515722032</v>
      </c>
      <c r="AR158" s="35">
        <f t="shared" si="38"/>
        <v>5999.688080156825</v>
      </c>
      <c r="AS158" s="36">
        <f ca="1">OFFSET(cod_desembolso!$A$1,AM158,23)</f>
        <v>1.1245293369208682</v>
      </c>
      <c r="AT158" s="37">
        <f ca="1">IF(AP158=0,0,AP158*(OFFSET(cod_desembolso!$A$1,AM158,23)))</f>
        <v>568.75736929245966</v>
      </c>
      <c r="AU158" s="38">
        <f>(constantes!$B$3*(1+constantes!$B$3)^(AI158))/((1+constantes!$B$3)^(AI158)-1)</f>
        <v>8.8827433387272267E-2</v>
      </c>
      <c r="AV158" s="37">
        <f t="shared" ca="1" si="39"/>
        <v>54.736257334346178</v>
      </c>
      <c r="AW158" s="37">
        <f ca="1">IF(AP158=0,AY158/constantes!$B$3,AV158/constantes!$B$3)</f>
        <v>684.20321667932717</v>
      </c>
      <c r="AX158" s="39">
        <f ca="1">IF(AP158=0,0,PV(constantes!$B$3,AI158,-AV158)*constantes!$B$3)</f>
        <v>49.29671408669936</v>
      </c>
      <c r="AY158" s="40">
        <f>constantes!$B$10*F158/1000</f>
        <v>4.2149999999999999</v>
      </c>
      <c r="AZ158" s="533">
        <f>constantes!$B$12</f>
        <v>0</v>
      </c>
      <c r="BA158" s="20">
        <v>318</v>
      </c>
      <c r="BB158" s="43"/>
      <c r="BC158" s="3" t="s">
        <v>2209</v>
      </c>
      <c r="BE158" s="534">
        <v>1</v>
      </c>
      <c r="BF158" s="535">
        <v>2026</v>
      </c>
      <c r="BG158" s="536">
        <v>1</v>
      </c>
      <c r="BH158" s="537">
        <v>2026</v>
      </c>
    </row>
    <row r="159" spans="1:60" ht="14.45" hidden="1" customHeight="1">
      <c r="A159" s="125">
        <v>1158</v>
      </c>
      <c r="B159" s="125">
        <v>1158</v>
      </c>
      <c r="C159" s="538" t="s">
        <v>2403</v>
      </c>
      <c r="D159" s="538" t="s">
        <v>2403</v>
      </c>
      <c r="E159" s="546"/>
      <c r="F159" s="526">
        <v>47.82</v>
      </c>
      <c r="G159" s="3" t="s">
        <v>2196</v>
      </c>
      <c r="H159" s="3" t="s">
        <v>2341</v>
      </c>
      <c r="I159" s="3">
        <v>-51.766666999999998</v>
      </c>
      <c r="J159" s="3">
        <v>-23.937781000000001</v>
      </c>
      <c r="K159" s="539" t="s">
        <v>153</v>
      </c>
      <c r="L159" s="539" t="s">
        <v>153</v>
      </c>
      <c r="M159" s="662">
        <v>2</v>
      </c>
      <c r="N159" s="107"/>
      <c r="O159" s="529">
        <v>2.068E-2</v>
      </c>
      <c r="P159" s="529">
        <v>4.6600000000000003E-2</v>
      </c>
      <c r="Q159" s="288">
        <f t="shared" si="30"/>
        <v>0.56511925922606598</v>
      </c>
      <c r="R159" s="30">
        <f t="shared" si="31"/>
        <v>27.024002976190477</v>
      </c>
      <c r="S159" s="30">
        <f t="shared" si="32"/>
        <v>20.795997023809523</v>
      </c>
      <c r="T159" s="107">
        <v>28.258095238095237</v>
      </c>
      <c r="U159" s="107">
        <v>27.348988095238095</v>
      </c>
      <c r="V159" s="107">
        <v>23.662499999999998</v>
      </c>
      <c r="W159" s="107">
        <v>28.826428571428576</v>
      </c>
      <c r="X159" s="288">
        <f t="shared" si="33"/>
        <v>0.65602073953797335</v>
      </c>
      <c r="Y159" s="289">
        <f t="shared" si="34"/>
        <v>31.370911764705887</v>
      </c>
      <c r="Z159" s="289">
        <f t="shared" si="35"/>
        <v>4.3469087885154103</v>
      </c>
      <c r="AA159" s="107">
        <v>34.061686274509825</v>
      </c>
      <c r="AB159" s="107">
        <v>28.29545098039215</v>
      </c>
      <c r="AC159" s="107">
        <v>29.320274509803923</v>
      </c>
      <c r="AD159" s="107">
        <v>33.806235294117663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515.55455071968947</v>
      </c>
      <c r="AK159" s="24">
        <f>AL159/constantes!$B$4</f>
        <v>2764.3972091909272</v>
      </c>
      <c r="AL159" s="33">
        <f t="shared" si="36"/>
        <v>10781.149115844615</v>
      </c>
      <c r="AM159" s="87">
        <v>2</v>
      </c>
      <c r="AN159" s="531">
        <v>0</v>
      </c>
      <c r="AO159" s="23"/>
      <c r="AP159" s="532">
        <f t="shared" si="37"/>
        <v>515.55455071968947</v>
      </c>
      <c r="AR159" s="35">
        <f t="shared" si="38"/>
        <v>10781.149115844615</v>
      </c>
      <c r="AS159" s="36">
        <f ca="1">OFFSET(cod_desembolso!$A$1,AM159,23)</f>
        <v>1.1245293369208682</v>
      </c>
      <c r="AT159" s="37">
        <f ca="1">IF(AP159=0,0,AP159*(OFFSET(cod_desembolso!$A$1,AM159,23)))</f>
        <v>579.75621706734853</v>
      </c>
      <c r="AU159" s="38">
        <f>(constantes!$B$3*(1+constantes!$B$3)^(AI159))/((1+constantes!$B$3)^(AI159)-1)</f>
        <v>8.8827433387272267E-2</v>
      </c>
      <c r="AV159" s="37">
        <f t="shared" ca="1" si="39"/>
        <v>53.889256752406858</v>
      </c>
      <c r="AW159" s="37">
        <f ca="1">IF(AP159=0,AY159/constantes!$B$3,AV159/constantes!$B$3)</f>
        <v>673.61570940508568</v>
      </c>
      <c r="AX159" s="39">
        <f ca="1">IF(AP159=0,0,PV(constantes!$B$3,AI159,-AV159)*constantes!$B$3)</f>
        <v>48.533886163261307</v>
      </c>
      <c r="AY159" s="40">
        <f>constantes!$B$10*F159/1000</f>
        <v>2.391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4.45">
      <c r="A160" s="125">
        <v>1159</v>
      </c>
      <c r="B160" s="125">
        <v>1159</v>
      </c>
      <c r="C160" s="538" t="s">
        <v>2404</v>
      </c>
      <c r="D160" s="538" t="s">
        <v>2404</v>
      </c>
      <c r="E160" s="546"/>
      <c r="F160" s="526">
        <v>50</v>
      </c>
      <c r="G160" s="3" t="s">
        <v>2196</v>
      </c>
      <c r="H160" s="3" t="s">
        <v>2355</v>
      </c>
      <c r="I160" s="3">
        <v>-47.747132000000001</v>
      </c>
      <c r="J160" s="3">
        <v>-12.991012</v>
      </c>
      <c r="K160" s="539" t="s">
        <v>1983</v>
      </c>
      <c r="L160" s="539" t="s">
        <v>1983</v>
      </c>
      <c r="M160" s="662">
        <v>1</v>
      </c>
      <c r="N160" s="107"/>
      <c r="O160" s="529">
        <v>2.068E-2</v>
      </c>
      <c r="P160" s="529">
        <v>4.6600000000000003E-2</v>
      </c>
      <c r="Q160" s="288">
        <f t="shared" si="30"/>
        <v>0.532119300920186</v>
      </c>
      <c r="R160" s="30">
        <f t="shared" si="31"/>
        <v>26.605965046009299</v>
      </c>
      <c r="S160" s="30">
        <f t="shared" si="32"/>
        <v>23.394034953990701</v>
      </c>
      <c r="T160" s="107">
        <v>33.341768697296608</v>
      </c>
      <c r="U160" s="107">
        <v>29.269006388295008</v>
      </c>
      <c r="V160" s="107">
        <v>20.762017781654734</v>
      </c>
      <c r="W160" s="107">
        <v>23.051067316790849</v>
      </c>
      <c r="X160" s="288">
        <f t="shared" si="33"/>
        <v>0.56765074645560576</v>
      </c>
      <c r="Y160" s="289">
        <f t="shared" si="34"/>
        <v>28.382537322780287</v>
      </c>
      <c r="Z160" s="289">
        <f t="shared" si="35"/>
        <v>1.7765722767709882</v>
      </c>
      <c r="AA160" s="107">
        <v>37.097538185526105</v>
      </c>
      <c r="AB160" s="107">
        <v>30.862604730527124</v>
      </c>
      <c r="AC160" s="107">
        <v>21.248393460299258</v>
      </c>
      <c r="AD160" s="107">
        <v>24.321612914768664</v>
      </c>
      <c r="AE160" s="106">
        <v>1</v>
      </c>
      <c r="AF160" s="32" t="str">
        <f>IF(AE160=0,"",VLOOKUP(AE160,tab_tipo_expansao!$A$2:$B$4,2,0))</f>
        <v>opcional</v>
      </c>
      <c r="AG160" s="125">
        <v>2030</v>
      </c>
      <c r="AH160" s="125">
        <v>2100</v>
      </c>
      <c r="AI160" s="125">
        <v>30</v>
      </c>
      <c r="AJ160" s="530">
        <v>500</v>
      </c>
      <c r="AK160" s="24">
        <f>AL160/constantes!$B$4</f>
        <v>2564.102564102564</v>
      </c>
      <c r="AL160" s="33">
        <f t="shared" si="36"/>
        <v>10000</v>
      </c>
      <c r="AM160" s="87">
        <v>2</v>
      </c>
      <c r="AN160" s="531">
        <v>0</v>
      </c>
      <c r="AO160" s="23"/>
      <c r="AP160" s="532">
        <f t="shared" si="37"/>
        <v>500</v>
      </c>
      <c r="AR160" s="35">
        <f t="shared" si="38"/>
        <v>10000</v>
      </c>
      <c r="AS160" s="36">
        <f ca="1">OFFSET(cod_desembolso!$A$1,AM160,23)</f>
        <v>1.1245293369208682</v>
      </c>
      <c r="AT160" s="37">
        <f ca="1">IF(AP160=0,0,AP160*(OFFSET(cod_desembolso!$A$1,AM160,23)))</f>
        <v>562.26466846043411</v>
      </c>
      <c r="AU160" s="38">
        <f>(constantes!$B$3*(1+constantes!$B$3)^(AI160))/((1+constantes!$B$3)^(AI160)-1)</f>
        <v>8.8827433387272267E-2</v>
      </c>
      <c r="AV160" s="37">
        <f t="shared" ca="1" si="39"/>
        <v>52.444527383685937</v>
      </c>
      <c r="AW160" s="37">
        <f ca="1">IF(AP160=0,AY160/constantes!$B$3,AV160/constantes!$B$3)</f>
        <v>655.5565922960742</v>
      </c>
      <c r="AX160" s="39">
        <f ca="1">IF(AP160=0,0,PV(constantes!$B$3,AI160,-AV160)*constantes!$B$3)</f>
        <v>47.232730145460231</v>
      </c>
      <c r="AY160" s="40">
        <f>constantes!$B$10*F160/1000</f>
        <v>2.5</v>
      </c>
      <c r="AZ160" s="533">
        <f>constantes!$B$12</f>
        <v>0</v>
      </c>
      <c r="BA160" s="20">
        <v>318</v>
      </c>
      <c r="BB160" s="43"/>
      <c r="BC160" s="3" t="s">
        <v>2217</v>
      </c>
      <c r="BE160" s="534">
        <v>1</v>
      </c>
      <c r="BF160" s="535">
        <v>2035</v>
      </c>
      <c r="BG160" s="536">
        <v>3</v>
      </c>
      <c r="BH160" s="537">
        <v>2050</v>
      </c>
    </row>
    <row r="161" spans="1:60" ht="14.45" customHeight="1">
      <c r="A161" s="125">
        <v>1160</v>
      </c>
      <c r="B161" s="125">
        <v>1160</v>
      </c>
      <c r="C161" s="538" t="s">
        <v>2405</v>
      </c>
      <c r="D161" s="538" t="s">
        <v>2405</v>
      </c>
      <c r="E161" s="546"/>
      <c r="F161" s="526">
        <v>331</v>
      </c>
      <c r="G161" s="3" t="s">
        <v>2196</v>
      </c>
      <c r="H161" s="3" t="s">
        <v>2078</v>
      </c>
      <c r="I161" s="3">
        <v>-50.913578999999999</v>
      </c>
      <c r="J161" s="3">
        <v>-23.725216</v>
      </c>
      <c r="K161" s="539" t="s">
        <v>153</v>
      </c>
      <c r="L161" s="539" t="s">
        <v>153</v>
      </c>
      <c r="M161" s="662">
        <v>2</v>
      </c>
      <c r="N161" s="107"/>
      <c r="O161" s="529">
        <v>1.6379999999999999E-2</v>
      </c>
      <c r="P161" s="529">
        <v>6.1409999999999999E-2</v>
      </c>
      <c r="Q161" s="288">
        <f t="shared" si="30"/>
        <v>0.48115527442094669</v>
      </c>
      <c r="R161" s="30">
        <f t="shared" si="31"/>
        <v>159.26239583333336</v>
      </c>
      <c r="S161" s="30">
        <f t="shared" si="32"/>
        <v>171.73760416666664</v>
      </c>
      <c r="T161" s="107">
        <v>144.56190476190477</v>
      </c>
      <c r="U161" s="107">
        <v>141.47898809523812</v>
      </c>
      <c r="V161" s="107">
        <v>166.96916666666667</v>
      </c>
      <c r="W161" s="107">
        <v>184.03952380952384</v>
      </c>
      <c r="X161" s="288">
        <f t="shared" si="33"/>
        <v>0.5994141046146555</v>
      </c>
      <c r="Y161" s="289">
        <f t="shared" si="34"/>
        <v>198.40606862745096</v>
      </c>
      <c r="Z161" s="289">
        <f t="shared" si="35"/>
        <v>39.143672794117606</v>
      </c>
      <c r="AA161" s="107">
        <v>213.00003921568626</v>
      </c>
      <c r="AB161" s="107">
        <v>171.61490196078429</v>
      </c>
      <c r="AC161" s="107">
        <v>198.0320392156863</v>
      </c>
      <c r="AD161" s="107">
        <v>210.97729411764703</v>
      </c>
      <c r="AE161" s="106">
        <v>1</v>
      </c>
      <c r="AF161" s="32" t="str">
        <f>IF(AE161=0,"",VLOOKUP(AE161,tab_tipo_expansao!$A$2:$B$4,2,0))</f>
        <v>opcional</v>
      </c>
      <c r="AG161" s="125">
        <v>2030</v>
      </c>
      <c r="AH161" s="125">
        <v>2100</v>
      </c>
      <c r="AI161" s="125">
        <v>30</v>
      </c>
      <c r="AJ161" s="530">
        <v>1558.9687832303612</v>
      </c>
      <c r="AK161" s="24">
        <f>AL161/constantes!$B$4</f>
        <v>1207.6603789839346</v>
      </c>
      <c r="AL161" s="33">
        <f t="shared" si="36"/>
        <v>4709.8754780373447</v>
      </c>
      <c r="AM161" s="87">
        <v>2</v>
      </c>
      <c r="AN161" s="531">
        <v>0</v>
      </c>
      <c r="AO161" s="23"/>
      <c r="AP161" s="532">
        <f t="shared" si="37"/>
        <v>1558.9687832303612</v>
      </c>
      <c r="AR161" s="35">
        <f t="shared" si="38"/>
        <v>4709.8754780373447</v>
      </c>
      <c r="AS161" s="36">
        <f ca="1">OFFSET(cod_desembolso!$A$1,AM161,23)</f>
        <v>1.1245293369208682</v>
      </c>
      <c r="AT161" s="37">
        <f ca="1">IF(AP161=0,0,AP161*(OFFSET(cod_desembolso!$A$1,AM161,23)))</f>
        <v>1753.1061320863707</v>
      </c>
      <c r="AU161" s="38">
        <f>(constantes!$B$3*(1+constantes!$B$3)^(AI161))/((1+constantes!$B$3)^(AI161)-1)</f>
        <v>8.8827433387272267E-2</v>
      </c>
      <c r="AV161" s="37">
        <f t="shared" ca="1" si="39"/>
        <v>172.27391816872066</v>
      </c>
      <c r="AW161" s="37">
        <f ca="1">IF(AP161=0,AY161/constantes!$B$3,AV161/constantes!$B$3)</f>
        <v>2153.4239771090083</v>
      </c>
      <c r="AX161" s="39">
        <f ca="1">IF(AP161=0,0,PV(constantes!$B$3,AI161,-AV161)*constantes!$B$3)</f>
        <v>155.15379571321049</v>
      </c>
      <c r="AY161" s="40">
        <f>constantes!$B$10*F161/1000</f>
        <v>16.55</v>
      </c>
      <c r="AZ161" s="533">
        <f>constantes!$B$12</f>
        <v>0</v>
      </c>
      <c r="BA161" s="20">
        <v>318</v>
      </c>
      <c r="BB161" s="43"/>
      <c r="BC161" s="3" t="s">
        <v>2217</v>
      </c>
      <c r="BE161" s="534">
        <v>1</v>
      </c>
      <c r="BF161" s="535">
        <v>2035</v>
      </c>
      <c r="BG161" s="536">
        <v>3</v>
      </c>
      <c r="BH161" s="537">
        <v>2050</v>
      </c>
    </row>
    <row r="162" spans="1:60" ht="14.45" hidden="1">
      <c r="A162" s="125">
        <v>1161</v>
      </c>
      <c r="B162" s="125">
        <v>1161</v>
      </c>
      <c r="C162" s="538" t="s">
        <v>2406</v>
      </c>
      <c r="D162" s="538" t="s">
        <v>2406</v>
      </c>
      <c r="E162" s="546"/>
      <c r="F162" s="526">
        <v>46.55</v>
      </c>
      <c r="G162" s="3" t="s">
        <v>2196</v>
      </c>
      <c r="H162" s="3" t="s">
        <v>2341</v>
      </c>
      <c r="I162" s="3">
        <v>-51.859470999999999</v>
      </c>
      <c r="J162" s="3">
        <v>-23.927645999999999</v>
      </c>
      <c r="K162" s="539" t="s">
        <v>153</v>
      </c>
      <c r="L162" s="539" t="s">
        <v>153</v>
      </c>
      <c r="M162" s="662">
        <v>2</v>
      </c>
      <c r="N162" s="107"/>
      <c r="O162" s="529">
        <v>2.068E-2</v>
      </c>
      <c r="P162" s="529">
        <v>4.6600000000000003E-2</v>
      </c>
      <c r="Q162" s="288">
        <f t="shared" ref="Q162:Q193" si="40">R162/$F162</f>
        <v>0.56379628919236879</v>
      </c>
      <c r="R162" s="30">
        <f t="shared" si="31"/>
        <v>26.244717261904764</v>
      </c>
      <c r="S162" s="30">
        <f t="shared" ref="S162:S193" si="41">F162-R162</f>
        <v>20.305282738095233</v>
      </c>
      <c r="T162" s="107">
        <v>27.576190476190476</v>
      </c>
      <c r="U162" s="107">
        <v>26.279226190476191</v>
      </c>
      <c r="V162" s="107">
        <v>22.977083333333336</v>
      </c>
      <c r="W162" s="107">
        <v>28.146369047619046</v>
      </c>
      <c r="X162" s="288">
        <f t="shared" ref="X162:X193" si="42">Y162/$F162</f>
        <v>0.65059644910595815</v>
      </c>
      <c r="Y162" s="289">
        <f t="shared" si="34"/>
        <v>30.285264705882348</v>
      </c>
      <c r="Z162" s="289">
        <f t="shared" si="35"/>
        <v>4.0405474439775837</v>
      </c>
      <c r="AA162" s="107">
        <v>32.97023529411765</v>
      </c>
      <c r="AB162" s="107">
        <v>27.343019607843136</v>
      </c>
      <c r="AC162" s="107">
        <v>28.255333333333329</v>
      </c>
      <c r="AD162" s="107">
        <v>32.572470588235284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456.56259471868611</v>
      </c>
      <c r="AK162" s="24">
        <f>AL162/constantes!$B$4</f>
        <v>2514.8728674360964</v>
      </c>
      <c r="AL162" s="33">
        <f t="shared" ref="AL162:AL192" si="43">AJ162/F162*1000</f>
        <v>9808.0041830007758</v>
      </c>
      <c r="AM162" s="87">
        <v>2</v>
      </c>
      <c r="AN162" s="531">
        <v>0</v>
      </c>
      <c r="AO162" s="23"/>
      <c r="AP162" s="532">
        <f t="shared" si="37"/>
        <v>456.56259471868611</v>
      </c>
      <c r="AR162" s="35">
        <f t="shared" ref="AR162:AR197" si="44">AP162*1000/F162</f>
        <v>9808.0041830007776</v>
      </c>
      <c r="AS162" s="36">
        <f ca="1">OFFSET(cod_desembolso!$A$1,AM162,23)</f>
        <v>1.1245293369208682</v>
      </c>
      <c r="AT162" s="37">
        <f ca="1">IF(AP162=0,0,AP162*(OFFSET(cod_desembolso!$A$1,AM162,23)))</f>
        <v>513.41803190187522</v>
      </c>
      <c r="AU162" s="38">
        <f>(constantes!$B$3*(1+constantes!$B$3)^(AI162))/((1+constantes!$B$3)^(AI162)-1)</f>
        <v>8.8827433387272267E-2</v>
      </c>
      <c r="AV162" s="37">
        <f t="shared" ca="1" si="39"/>
        <v>47.933106028588249</v>
      </c>
      <c r="AW162" s="37">
        <f ca="1">IF(AP162=0,AY162/constantes!$B$3,AV162/constantes!$B$3)</f>
        <v>599.16382535735306</v>
      </c>
      <c r="AX162" s="39">
        <f ca="1">IF(AP162=0,0,PV(constantes!$B$3,AI162,-AV162)*constantes!$B$3)</f>
        <v>43.16964181064035</v>
      </c>
      <c r="AY162" s="40">
        <f>constantes!$B$10*F162/1000</f>
        <v>2.3275000000000001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4.45">
      <c r="A163" s="125">
        <v>1162</v>
      </c>
      <c r="B163" s="125">
        <v>1162</v>
      </c>
      <c r="C163" s="538" t="s">
        <v>2407</v>
      </c>
      <c r="D163" s="538" t="s">
        <v>2407</v>
      </c>
      <c r="E163" s="546"/>
      <c r="F163" s="526">
        <v>8040</v>
      </c>
      <c r="G163" s="3" t="s">
        <v>2181</v>
      </c>
      <c r="H163" s="3" t="s">
        <v>2264</v>
      </c>
      <c r="I163" s="3">
        <v>-56.284027000000002</v>
      </c>
      <c r="J163" s="3">
        <v>-4.5756649999999999</v>
      </c>
      <c r="K163" s="539" t="s">
        <v>155</v>
      </c>
      <c r="L163" s="539" t="s">
        <v>155</v>
      </c>
      <c r="M163" s="662">
        <v>9</v>
      </c>
      <c r="N163" s="107"/>
      <c r="O163" s="529">
        <v>2.1330000000000002E-2</v>
      </c>
      <c r="P163" s="529">
        <v>3.6880000000000003E-2</v>
      </c>
      <c r="Q163" s="288">
        <f t="shared" si="40"/>
        <v>0.46917872134861405</v>
      </c>
      <c r="R163" s="30">
        <f t="shared" si="31"/>
        <v>3772.1969196428568</v>
      </c>
      <c r="S163" s="30">
        <f t="shared" si="41"/>
        <v>4267.8030803571437</v>
      </c>
      <c r="T163" s="107">
        <v>5904.6166666666659</v>
      </c>
      <c r="U163" s="107">
        <v>5664.5035119047616</v>
      </c>
      <c r="V163" s="107">
        <v>1382.50125</v>
      </c>
      <c r="W163" s="107">
        <v>2137.1662500000002</v>
      </c>
      <c r="X163" s="288">
        <f t="shared" si="42"/>
        <v>0.4372632438298702</v>
      </c>
      <c r="Y163" s="289">
        <f t="shared" si="34"/>
        <v>3515.5964803921565</v>
      </c>
      <c r="Z163" s="289">
        <f t="shared" si="35"/>
        <v>-256.60043925070022</v>
      </c>
      <c r="AA163" s="107">
        <v>5584.3556470588219</v>
      </c>
      <c r="AB163" s="107">
        <v>5098.2280000000001</v>
      </c>
      <c r="AC163" s="107">
        <v>1340.2716078431374</v>
      </c>
      <c r="AD163" s="107">
        <v>2039.5306666666668</v>
      </c>
      <c r="AE163" s="106">
        <v>1</v>
      </c>
      <c r="AF163" s="32" t="str">
        <f>IF(AE163=0,"",VLOOKUP(AE163,tab_tipo_expansao!$A$2:$B$4,2,0))</f>
        <v>opcional</v>
      </c>
      <c r="AG163" s="125">
        <v>2030</v>
      </c>
      <c r="AH163" s="125">
        <v>2100</v>
      </c>
      <c r="AI163" s="125">
        <v>30</v>
      </c>
      <c r="AJ163" s="530">
        <v>31645.542746479408</v>
      </c>
      <c r="AK163" s="24">
        <f>AL163/constantes!$B$4</f>
        <v>1009.2340460032979</v>
      </c>
      <c r="AL163" s="33">
        <f t="shared" si="43"/>
        <v>3936.0127794128616</v>
      </c>
      <c r="AM163" s="87">
        <v>4</v>
      </c>
      <c r="AN163" s="531">
        <v>0</v>
      </c>
      <c r="AO163" s="23"/>
      <c r="AP163" s="532">
        <f t="shared" si="37"/>
        <v>31645.542746479408</v>
      </c>
      <c r="AR163" s="35">
        <f t="shared" si="44"/>
        <v>3936.0127794128616</v>
      </c>
      <c r="AS163" s="36">
        <f ca="1">OFFSET(cod_desembolso!$A$1,AM163,23)</f>
        <v>1.103153897336226</v>
      </c>
      <c r="AT163" s="37">
        <f ca="1">IF(AP163=0,0,AP163*(OFFSET(cod_desembolso!$A$1,AM163,23)))</f>
        <v>34909.9038140989</v>
      </c>
      <c r="AU163" s="38">
        <f>(constantes!$B$3*(1+constantes!$B$3)^(AI163))/((1+constantes!$B$3)^(AI163)-1)</f>
        <v>8.8827433387272267E-2</v>
      </c>
      <c r="AV163" s="37">
        <f t="shared" ca="1" si="39"/>
        <v>3502.9571556029518</v>
      </c>
      <c r="AW163" s="37">
        <f ca="1">IF(AP163=0,AY163/constantes!$B$3,AV163/constantes!$B$3)</f>
        <v>43786.964445036894</v>
      </c>
      <c r="AX163" s="39">
        <f ca="1">IF(AP163=0,0,PV(constantes!$B$3,AI163,-AV163)*constantes!$B$3)</f>
        <v>3154.8426174428919</v>
      </c>
      <c r="AY163" s="40">
        <f>constantes!$B$10*F163/1000</f>
        <v>402</v>
      </c>
      <c r="AZ163" s="533">
        <f>constantes!$B$12</f>
        <v>0</v>
      </c>
      <c r="BA163" s="20">
        <v>318</v>
      </c>
      <c r="BB163" s="43"/>
      <c r="BC163" s="3" t="s">
        <v>2217</v>
      </c>
      <c r="BE163" s="534">
        <v>1</v>
      </c>
      <c r="BF163" s="535">
        <v>2035</v>
      </c>
      <c r="BG163" s="536">
        <v>3</v>
      </c>
      <c r="BH163" s="537">
        <v>2050</v>
      </c>
    </row>
    <row r="164" spans="1:60" ht="15" hidden="1" customHeight="1">
      <c r="A164" s="125">
        <v>1163</v>
      </c>
      <c r="B164" s="125">
        <v>1163</v>
      </c>
      <c r="C164" s="626" t="s">
        <v>2408</v>
      </c>
      <c r="D164" s="538" t="s">
        <v>2408</v>
      </c>
      <c r="E164" s="546"/>
      <c r="F164" s="526">
        <v>64.5</v>
      </c>
      <c r="G164" s="3" t="s">
        <v>2196</v>
      </c>
      <c r="H164" s="3" t="s">
        <v>2409</v>
      </c>
      <c r="I164" s="3">
        <v>-44.765278000000002</v>
      </c>
      <c r="J164" s="3">
        <v>-21.220977999999999</v>
      </c>
      <c r="K164" s="539" t="s">
        <v>152</v>
      </c>
      <c r="L164" s="539" t="s">
        <v>152</v>
      </c>
      <c r="M164" s="662">
        <v>1</v>
      </c>
      <c r="N164" s="107"/>
      <c r="O164" s="529">
        <v>2.068E-2</v>
      </c>
      <c r="P164" s="529">
        <v>4.6600000000000003E-2</v>
      </c>
      <c r="Q164" s="288">
        <f t="shared" si="40"/>
        <v>0.50864202657807311</v>
      </c>
      <c r="R164" s="30">
        <f t="shared" si="31"/>
        <v>32.807410714285716</v>
      </c>
      <c r="S164" s="30">
        <f t="shared" si="41"/>
        <v>31.692589285714284</v>
      </c>
      <c r="T164" s="107">
        <v>46.591428571428573</v>
      </c>
      <c r="U164" s="107">
        <v>29.337440476190476</v>
      </c>
      <c r="V164" s="107">
        <v>20.935416666666665</v>
      </c>
      <c r="W164" s="107">
        <v>34.365357142857142</v>
      </c>
      <c r="X164" s="288">
        <f t="shared" si="42"/>
        <v>0.53649278005775936</v>
      </c>
      <c r="Y164" s="289">
        <f t="shared" si="34"/>
        <v>34.603784313725477</v>
      </c>
      <c r="Z164" s="289">
        <f t="shared" si="35"/>
        <v>1.7963735994397609</v>
      </c>
      <c r="AA164" s="107">
        <v>49.594705882352891</v>
      </c>
      <c r="AB164" s="107">
        <v>30.600156862745099</v>
      </c>
      <c r="AC164" s="107">
        <v>23.475372549019607</v>
      </c>
      <c r="AD164" s="107">
        <v>34.744901960784311</v>
      </c>
      <c r="AE164" s="106">
        <v>1</v>
      </c>
      <c r="AF164" s="32" t="str">
        <f>IF(AE164=0,"",VLOOKUP(AE164,tab_tipo_expansao!$A$2:$B$4,2,0))</f>
        <v>opcional</v>
      </c>
      <c r="AG164" s="125">
        <v>2025</v>
      </c>
      <c r="AH164" s="125">
        <v>2100</v>
      </c>
      <c r="AI164" s="125">
        <v>30</v>
      </c>
      <c r="AJ164" s="530">
        <v>586.6467489525777</v>
      </c>
      <c r="AK164" s="24">
        <f>AL164/constantes!$B$4</f>
        <v>2332.1278034290508</v>
      </c>
      <c r="AL164" s="33">
        <f t="shared" si="43"/>
        <v>9095.2984333732984</v>
      </c>
      <c r="AM164" s="87">
        <v>2</v>
      </c>
      <c r="AN164" s="531">
        <v>0</v>
      </c>
      <c r="AO164" s="23"/>
      <c r="AP164" s="532">
        <f t="shared" si="37"/>
        <v>586.6467489525777</v>
      </c>
      <c r="AR164" s="35">
        <f t="shared" si="44"/>
        <v>9095.2984333732984</v>
      </c>
      <c r="AS164" s="36">
        <f ca="1">OFFSET(cod_desembolso!$A$1,AM164,23)</f>
        <v>1.1245293369208682</v>
      </c>
      <c r="AT164" s="37">
        <f ca="1">IF(AP164=0,0,AP164*(OFFSET(cod_desembolso!$A$1,AM164,23)))</f>
        <v>659.70147960642521</v>
      </c>
      <c r="AU164" s="38">
        <f>(constantes!$B$3*(1+constantes!$B$3)^(AI164))/((1+constantes!$B$3)^(AI164)-1)</f>
        <v>8.8827433387272267E-2</v>
      </c>
      <c r="AV164" s="37">
        <f t="shared" ca="1" si="39"/>
        <v>61.824589235224693</v>
      </c>
      <c r="AW164" s="37">
        <f ca="1">IF(AP164=0,AY164/constantes!$B$3,AV164/constantes!$B$3)</f>
        <v>772.80736544030867</v>
      </c>
      <c r="AX164" s="39">
        <f ca="1">IF(AP164=0,0,PV(constantes!$B$3,AI164,-AV164)*constantes!$B$3)</f>
        <v>55.680626471040917</v>
      </c>
      <c r="AY164" s="40">
        <f>constantes!$B$10*F164/1000</f>
        <v>3.2250000000000001</v>
      </c>
      <c r="AZ164" s="533">
        <f>constantes!$B$12</f>
        <v>0</v>
      </c>
      <c r="BA164" s="20">
        <v>318</v>
      </c>
      <c r="BB164" s="43"/>
      <c r="BC164" s="3" t="s">
        <v>2209</v>
      </c>
      <c r="BE164" s="534">
        <v>1</v>
      </c>
      <c r="BF164" s="535">
        <v>2025</v>
      </c>
      <c r="BG164" s="536">
        <v>1</v>
      </c>
      <c r="BH164" s="537">
        <v>2025</v>
      </c>
    </row>
    <row r="165" spans="1:60" ht="14.45" customHeight="1">
      <c r="A165" s="125">
        <v>1164</v>
      </c>
      <c r="B165" s="125">
        <v>1164</v>
      </c>
      <c r="C165" s="538" t="s">
        <v>2410</v>
      </c>
      <c r="D165" s="538" t="s">
        <v>2410</v>
      </c>
      <c r="E165" s="546"/>
      <c r="F165" s="526">
        <v>3509</v>
      </c>
      <c r="G165" s="3" t="s">
        <v>2181</v>
      </c>
      <c r="H165" s="3" t="s">
        <v>2255</v>
      </c>
      <c r="I165" s="3">
        <v>-58.323306000000002</v>
      </c>
      <c r="J165" s="3">
        <v>-8.2259720000000005</v>
      </c>
      <c r="K165" s="539" t="s">
        <v>156</v>
      </c>
      <c r="L165" s="539" t="s">
        <v>156</v>
      </c>
      <c r="M165" s="662">
        <v>10</v>
      </c>
      <c r="N165" s="540"/>
      <c r="O165" s="529">
        <v>2.1330000000000002E-2</v>
      </c>
      <c r="P165" s="529">
        <v>3.6880000000000003E-2</v>
      </c>
      <c r="Q165" s="288">
        <f t="shared" si="40"/>
        <v>0.53518398268398271</v>
      </c>
      <c r="R165" s="30">
        <f t="shared" si="31"/>
        <v>1877.9605952380953</v>
      </c>
      <c r="S165" s="30">
        <f t="shared" si="41"/>
        <v>1631.0394047619047</v>
      </c>
      <c r="T165" s="107">
        <v>2617.0190476190473</v>
      </c>
      <c r="U165" s="107">
        <v>2463.0903571428571</v>
      </c>
      <c r="V165" s="107">
        <v>1153.2470833333334</v>
      </c>
      <c r="W165" s="107">
        <v>1278.485892857143</v>
      </c>
      <c r="X165" s="288">
        <f t="shared" si="42"/>
        <v>0.5114985052442178</v>
      </c>
      <c r="Y165" s="289">
        <f t="shared" si="34"/>
        <v>1794.8482549019604</v>
      </c>
      <c r="Z165" s="289">
        <f t="shared" si="35"/>
        <v>-83.112340336134821</v>
      </c>
      <c r="AA165" s="107">
        <v>2593.9278823529407</v>
      </c>
      <c r="AB165" s="107">
        <v>2217.2824313725487</v>
      </c>
      <c r="AC165" s="107">
        <v>1067.2225882352943</v>
      </c>
      <c r="AD165" s="107">
        <v>1300.9601176470587</v>
      </c>
      <c r="AE165" s="106">
        <v>1</v>
      </c>
      <c r="AF165" s="32" t="str">
        <f>IF(AE165=0,"",VLOOKUP(AE165,tab_tipo_expansao!$A$2:$B$4,2,0))</f>
        <v>opcional</v>
      </c>
      <c r="AG165" s="125">
        <v>2030</v>
      </c>
      <c r="AH165" s="125">
        <v>2100</v>
      </c>
      <c r="AI165" s="125">
        <v>30</v>
      </c>
      <c r="AJ165" s="530">
        <v>18433.397137572651</v>
      </c>
      <c r="AK165" s="24">
        <f>AL165/constantes!$B$4</f>
        <v>1346.9683917233087</v>
      </c>
      <c r="AL165" s="33">
        <f t="shared" si="43"/>
        <v>5253.1767277209037</v>
      </c>
      <c r="AM165" s="87">
        <v>4</v>
      </c>
      <c r="AN165" s="531">
        <v>0</v>
      </c>
      <c r="AO165" s="23"/>
      <c r="AP165" s="532">
        <f t="shared" si="37"/>
        <v>18433.397137572651</v>
      </c>
      <c r="AR165" s="35">
        <f t="shared" si="44"/>
        <v>5253.1767277209037</v>
      </c>
      <c r="AS165" s="36">
        <f ca="1">OFFSET(cod_desembolso!$A$1,AM165,23)</f>
        <v>1.103153897336226</v>
      </c>
      <c r="AT165" s="37">
        <f ca="1">IF(AP165=0,0,AP165*(OFFSET(cod_desembolso!$A$1,AM165,23)))</f>
        <v>20334.873893459702</v>
      </c>
      <c r="AU165" s="38">
        <f>(constantes!$B$3*(1+constantes!$B$3)^(AI165))/((1+constantes!$B$3)^(AI165)-1)</f>
        <v>8.8827433387272267E-2</v>
      </c>
      <c r="AV165" s="37">
        <f t="shared" ca="1" si="39"/>
        <v>1981.7446562098737</v>
      </c>
      <c r="AW165" s="37">
        <f ca="1">IF(AP165=0,AY165/constantes!$B$3,AV165/constantes!$B$3)</f>
        <v>24771.808202623422</v>
      </c>
      <c r="AX165" s="39">
        <f ca="1">IF(AP165=0,0,PV(constantes!$B$3,AI165,-AV165)*constantes!$B$3)</f>
        <v>1784.8041584809137</v>
      </c>
      <c r="AY165" s="40">
        <f>constantes!$B$10*F165/1000</f>
        <v>175.45</v>
      </c>
      <c r="AZ165" s="533">
        <f>constantes!$B$12</f>
        <v>0</v>
      </c>
      <c r="BA165" s="20">
        <v>318</v>
      </c>
      <c r="BB165" s="43"/>
      <c r="BC165" s="3" t="s">
        <v>2217</v>
      </c>
      <c r="BE165" s="534">
        <v>1</v>
      </c>
      <c r="BF165" s="535">
        <v>2035</v>
      </c>
      <c r="BG165" s="536">
        <v>3</v>
      </c>
      <c r="BH165" s="537">
        <v>2050</v>
      </c>
    </row>
    <row r="166" spans="1:60" ht="14.45" hidden="1">
      <c r="A166" s="125">
        <v>1165</v>
      </c>
      <c r="B166" s="125">
        <v>1165</v>
      </c>
      <c r="C166" s="538" t="s">
        <v>2411</v>
      </c>
      <c r="D166" s="538" t="s">
        <v>2411</v>
      </c>
      <c r="E166" s="546"/>
      <c r="F166" s="526">
        <v>61.4</v>
      </c>
      <c r="G166" s="3" t="s">
        <v>2097</v>
      </c>
      <c r="H166" s="3" t="s">
        <v>2202</v>
      </c>
      <c r="I166" s="3">
        <v>-52.606102</v>
      </c>
      <c r="J166" s="3">
        <v>-26.675001000000002</v>
      </c>
      <c r="K166" s="539" t="s">
        <v>1991</v>
      </c>
      <c r="L166" s="539" t="s">
        <v>1991</v>
      </c>
      <c r="M166" s="662">
        <v>2</v>
      </c>
      <c r="N166" s="540"/>
      <c r="O166" s="529">
        <v>1.9820000000000001E-2</v>
      </c>
      <c r="P166" s="529">
        <v>5.2919999999999995E-2</v>
      </c>
      <c r="Q166" s="288">
        <f t="shared" si="40"/>
        <v>0.51761962928493876</v>
      </c>
      <c r="R166" s="30">
        <f t="shared" si="31"/>
        <v>31.78184523809524</v>
      </c>
      <c r="S166" s="30">
        <f t="shared" si="41"/>
        <v>29.618154761904758</v>
      </c>
      <c r="T166" s="107">
        <v>22.373809523809523</v>
      </c>
      <c r="U166" s="107">
        <v>33.022261904761905</v>
      </c>
      <c r="V166" s="107">
        <v>36.51</v>
      </c>
      <c r="W166" s="107">
        <v>35.221309523809524</v>
      </c>
      <c r="X166" s="288">
        <f t="shared" si="42"/>
        <v>0.6113572204125951</v>
      </c>
      <c r="Y166" s="289">
        <f t="shared" si="34"/>
        <v>37.537333333333336</v>
      </c>
      <c r="Z166" s="289">
        <f t="shared" si="35"/>
        <v>5.7554880952380962</v>
      </c>
      <c r="AA166" s="107">
        <v>30.087019607843157</v>
      </c>
      <c r="AB166" s="107">
        <v>36.450941176470579</v>
      </c>
      <c r="AC166" s="107">
        <v>43.299019607843128</v>
      </c>
      <c r="AD166" s="107">
        <v>40.312352941176471</v>
      </c>
      <c r="AE166" s="106">
        <v>1</v>
      </c>
      <c r="AF166" s="32" t="str">
        <f>IF(AE166=0,"",VLOOKUP(AE166,tab_tipo_expansao!$A$2:$B$4,2,0))</f>
        <v>opcional</v>
      </c>
      <c r="AG166" s="125">
        <v>2028</v>
      </c>
      <c r="AH166" s="125">
        <v>2100</v>
      </c>
      <c r="AI166" s="125">
        <v>30</v>
      </c>
      <c r="AJ166" s="530">
        <v>548.55725259341693</v>
      </c>
      <c r="AK166" s="24">
        <f>AL166/constantes!$B$4</f>
        <v>2290.8095406056</v>
      </c>
      <c r="AL166" s="33">
        <f t="shared" si="43"/>
        <v>8934.1572083618394</v>
      </c>
      <c r="AM166" s="87">
        <v>2</v>
      </c>
      <c r="AN166" s="531">
        <v>0</v>
      </c>
      <c r="AO166" s="23"/>
      <c r="AP166" s="532">
        <f t="shared" si="37"/>
        <v>548.55725259341693</v>
      </c>
      <c r="AR166" s="35">
        <f t="shared" si="44"/>
        <v>8934.1572083618394</v>
      </c>
      <c r="AS166" s="36">
        <f ca="1">OFFSET(cod_desembolso!$A$1,AM166,23)</f>
        <v>1.1245293369208682</v>
      </c>
      <c r="AT166" s="37">
        <f ca="1">IF(AP166=0,0,AP166*(OFFSET(cod_desembolso!$A$1,AM166,23)))</f>
        <v>616.86872352200839</v>
      </c>
      <c r="AU166" s="38">
        <f>(constantes!$B$3*(1+constantes!$B$3)^(AI166))/((1+constantes!$B$3)^(AI166)-1)</f>
        <v>8.8827433387272267E-2</v>
      </c>
      <c r="AV166" s="37">
        <f t="shared" ca="1" si="39"/>
        <v>57.864865447342872</v>
      </c>
      <c r="AW166" s="37">
        <f ca="1">IF(AP166=0,AY166/constantes!$B$3,AV166/constantes!$B$3)</f>
        <v>723.3108180917859</v>
      </c>
      <c r="AX166" s="39">
        <f ca="1">IF(AP166=0,0,PV(constantes!$B$3,AI166,-AV166)*constantes!$B$3)</f>
        <v>52.114409470832783</v>
      </c>
      <c r="AY166" s="40">
        <f>constantes!$B$10*F166/1000</f>
        <v>3.07</v>
      </c>
      <c r="AZ166" s="533">
        <f>constantes!$B$12</f>
        <v>0</v>
      </c>
      <c r="BA166" s="20">
        <v>318</v>
      </c>
      <c r="BB166" s="43"/>
      <c r="BC166" s="3" t="s">
        <v>2209</v>
      </c>
      <c r="BE166" s="534">
        <v>1</v>
      </c>
      <c r="BF166" s="535">
        <v>2026</v>
      </c>
      <c r="BG166" s="536">
        <v>1</v>
      </c>
      <c r="BH166" s="537">
        <v>2026</v>
      </c>
    </row>
    <row r="167" spans="1:60" ht="14.45" hidden="1" customHeight="1">
      <c r="A167" s="125">
        <v>1166</v>
      </c>
      <c r="B167" s="125">
        <v>1166</v>
      </c>
      <c r="C167" s="538" t="s">
        <v>2412</v>
      </c>
      <c r="D167" s="538" t="s">
        <v>2412</v>
      </c>
      <c r="E167" s="546"/>
      <c r="F167" s="526">
        <v>37.909999999999997</v>
      </c>
      <c r="G167" s="3" t="s">
        <v>2196</v>
      </c>
      <c r="H167" s="3" t="s">
        <v>2127</v>
      </c>
      <c r="I167" s="3">
        <v>-52.325333000000001</v>
      </c>
      <c r="J167" s="3">
        <v>-17.862704000000001</v>
      </c>
      <c r="K167" s="539" t="s">
        <v>2005</v>
      </c>
      <c r="L167" s="539" t="s">
        <v>2005</v>
      </c>
      <c r="M167" s="662">
        <v>1</v>
      </c>
      <c r="N167" s="540"/>
      <c r="O167" s="529">
        <v>2.068E-2</v>
      </c>
      <c r="P167" s="529">
        <v>4.6600000000000003E-2</v>
      </c>
      <c r="Q167" s="288">
        <f t="shared" si="40"/>
        <v>0.55288135433545615</v>
      </c>
      <c r="R167" s="30">
        <f t="shared" si="31"/>
        <v>20.959732142857142</v>
      </c>
      <c r="S167" s="30">
        <f t="shared" si="41"/>
        <v>16.950267857142855</v>
      </c>
      <c r="T167" s="107">
        <v>21.484761904761907</v>
      </c>
      <c r="U167" s="107">
        <v>18.734107142857141</v>
      </c>
      <c r="V167" s="107">
        <v>22.547499999999999</v>
      </c>
      <c r="W167" s="107">
        <v>21.07255952380952</v>
      </c>
      <c r="X167" s="288">
        <f t="shared" si="42"/>
        <v>0.65668973471741665</v>
      </c>
      <c r="Y167" s="289">
        <f t="shared" si="34"/>
        <v>24.895107843137264</v>
      </c>
      <c r="Z167" s="289">
        <f t="shared" si="35"/>
        <v>3.9353757002801224</v>
      </c>
      <c r="AA167" s="107">
        <v>28.252509803921594</v>
      </c>
      <c r="AB167" s="107">
        <v>24.287529411764719</v>
      </c>
      <c r="AC167" s="107">
        <v>22.893960784313723</v>
      </c>
      <c r="AD167" s="107">
        <v>24.146431372549017</v>
      </c>
      <c r="AE167" s="106">
        <v>1</v>
      </c>
      <c r="AF167" s="32" t="str">
        <f>IF(AE167=0,"",VLOOKUP(AE167,tab_tipo_expansao!$A$2:$B$4,2,0))</f>
        <v>opcional</v>
      </c>
      <c r="AG167" s="125">
        <v>2028</v>
      </c>
      <c r="AH167" s="125">
        <v>2100</v>
      </c>
      <c r="AI167" s="125">
        <v>30</v>
      </c>
      <c r="AJ167" s="530">
        <v>772.91053013951569</v>
      </c>
      <c r="AK167" s="24">
        <f>AL167/constantes!$B$4</f>
        <v>5227.7021159393425</v>
      </c>
      <c r="AL167" s="33">
        <f t="shared" si="43"/>
        <v>20388.038252163435</v>
      </c>
      <c r="AM167" s="87">
        <v>2</v>
      </c>
      <c r="AN167" s="531">
        <v>0</v>
      </c>
      <c r="AO167" s="23"/>
      <c r="AP167" s="532">
        <f t="shared" si="37"/>
        <v>772.91053013951569</v>
      </c>
      <c r="AR167" s="35">
        <f t="shared" si="44"/>
        <v>20388.038252163431</v>
      </c>
      <c r="AS167" s="36">
        <f ca="1">OFFSET(cod_desembolso!$A$1,AM167,23)</f>
        <v>1.1245293369208682</v>
      </c>
      <c r="AT167" s="37">
        <f ca="1">IF(AP167=0,0,AP167*(OFFSET(cod_desembolso!$A$1,AM167,23)))</f>
        <v>869.16056595694624</v>
      </c>
      <c r="AU167" s="38">
        <f>(constantes!$B$3*(1+constantes!$B$3)^(AI167))/((1+constantes!$B$3)^(AI167)-1)</f>
        <v>8.8827433387272267E-2</v>
      </c>
      <c r="AV167" s="37">
        <f t="shared" ca="1" si="39"/>
        <v>79.10080227538451</v>
      </c>
      <c r="AW167" s="37">
        <f ca="1">IF(AP167=0,AY167/constantes!$B$3,AV167/constantes!$B$3)</f>
        <v>988.76002844230641</v>
      </c>
      <c r="AX167" s="39">
        <f ca="1">IF(AP167=0,0,PV(constantes!$B$3,AI167,-AV167)*constantes!$B$3)</f>
        <v>71.239975542707541</v>
      </c>
      <c r="AY167" s="40">
        <f>constantes!$B$10*F167/1000</f>
        <v>1.8954999999999997</v>
      </c>
      <c r="AZ167" s="533">
        <f>constantes!$B$12</f>
        <v>0</v>
      </c>
      <c r="BA167" s="20">
        <v>318</v>
      </c>
      <c r="BB167" s="43"/>
      <c r="BC167" s="3" t="s">
        <v>2197</v>
      </c>
      <c r="BE167" s="534">
        <v>1</v>
      </c>
      <c r="BF167" s="535">
        <v>2027</v>
      </c>
      <c r="BG167" s="536">
        <v>1</v>
      </c>
      <c r="BH167" s="537">
        <v>2027</v>
      </c>
    </row>
    <row r="168" spans="1:60" ht="14.45">
      <c r="A168" s="125">
        <v>1167</v>
      </c>
      <c r="B168" s="125">
        <v>1167</v>
      </c>
      <c r="C168" s="538" t="s">
        <v>2413</v>
      </c>
      <c r="D168" s="538" t="s">
        <v>2413</v>
      </c>
      <c r="E168" s="546"/>
      <c r="F168" s="526">
        <v>1328</v>
      </c>
      <c r="G168" s="3" t="s">
        <v>2199</v>
      </c>
      <c r="H168" s="3" t="s">
        <v>2318</v>
      </c>
      <c r="I168" s="3">
        <v>-47.489593999999997</v>
      </c>
      <c r="J168" s="3">
        <v>-5.6981789999999997</v>
      </c>
      <c r="K168" s="539" t="s">
        <v>1983</v>
      </c>
      <c r="L168" s="539" t="s">
        <v>1983</v>
      </c>
      <c r="M168" s="662">
        <v>4</v>
      </c>
      <c r="N168" s="540"/>
      <c r="O168" s="529">
        <v>1.6379999999999999E-2</v>
      </c>
      <c r="P168" s="529">
        <v>6.1409999999999999E-2</v>
      </c>
      <c r="Q168" s="288">
        <f t="shared" si="40"/>
        <v>0.58071010604919682</v>
      </c>
      <c r="R168" s="30">
        <f t="shared" si="31"/>
        <v>771.18302083333333</v>
      </c>
      <c r="S168" s="30">
        <f t="shared" si="41"/>
        <v>556.81697916666667</v>
      </c>
      <c r="T168" s="107">
        <v>994.13714285714286</v>
      </c>
      <c r="U168" s="107">
        <v>853.49404761904771</v>
      </c>
      <c r="V168" s="107">
        <v>540.68166666666662</v>
      </c>
      <c r="W168" s="107">
        <v>696.41922619047625</v>
      </c>
      <c r="X168" s="288">
        <f t="shared" si="42"/>
        <v>0.58737039333805818</v>
      </c>
      <c r="Y168" s="289">
        <f t="shared" si="34"/>
        <v>780.02788235294133</v>
      </c>
      <c r="Z168" s="289">
        <f t="shared" si="35"/>
        <v>8.8448615196080027</v>
      </c>
      <c r="AA168" s="107">
        <v>1056.7873725490197</v>
      </c>
      <c r="AB168" s="107">
        <v>886.88298039215681</v>
      </c>
      <c r="AC168" s="107">
        <v>498.09776470588241</v>
      </c>
      <c r="AD168" s="107">
        <v>678.34341176470605</v>
      </c>
      <c r="AE168" s="106">
        <v>1</v>
      </c>
      <c r="AF168" s="32" t="str">
        <f>IF(AE168=0,"",VLOOKUP(AE168,tab_tipo_expansao!$A$2:$B$4,2,0))</f>
        <v>opcional</v>
      </c>
      <c r="AG168" s="125">
        <v>2030</v>
      </c>
      <c r="AH168" s="125">
        <v>2100</v>
      </c>
      <c r="AI168" s="125">
        <v>30</v>
      </c>
      <c r="AJ168" s="530">
        <v>7447.1149581533255</v>
      </c>
      <c r="AK168" s="24">
        <f>AL168/constantes!$B$4</f>
        <v>1437.8890481451431</v>
      </c>
      <c r="AL168" s="33">
        <f t="shared" si="43"/>
        <v>5607.767287766058</v>
      </c>
      <c r="AM168" s="87">
        <v>4</v>
      </c>
      <c r="AN168" s="531">
        <v>0</v>
      </c>
      <c r="AO168" s="23"/>
      <c r="AP168" s="532">
        <f t="shared" si="37"/>
        <v>7447.1149581533255</v>
      </c>
      <c r="AR168" s="35">
        <f t="shared" si="44"/>
        <v>5607.767287766058</v>
      </c>
      <c r="AS168" s="36">
        <f ca="1">OFFSET(cod_desembolso!$A$1,AM168,23)</f>
        <v>1.103153897336226</v>
      </c>
      <c r="AT168" s="37">
        <f ca="1">IF(AP168=0,0,AP168*(OFFSET(cod_desembolso!$A$1,AM168,23)))</f>
        <v>8215.3138899977475</v>
      </c>
      <c r="AU168" s="38">
        <f>(constantes!$B$3*(1+constantes!$B$3)^(AI168))/((1+constantes!$B$3)^(AI168)-1)</f>
        <v>8.8827433387272267E-2</v>
      </c>
      <c r="AV168" s="37">
        <f t="shared" ca="1" si="39"/>
        <v>796.14524731930749</v>
      </c>
      <c r="AW168" s="37">
        <f ca="1">IF(AP168=0,AY168/constantes!$B$3,AV168/constantes!$B$3)</f>
        <v>9951.8155914913441</v>
      </c>
      <c r="AX168" s="39">
        <f ca="1">IF(AP168=0,0,PV(constantes!$B$3,AI168,-AV168)*constantes!$B$3)</f>
        <v>717.02645631851294</v>
      </c>
      <c r="AY168" s="40">
        <f>constantes!$B$10*F168/1000</f>
        <v>66.400000000000006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4.45">
      <c r="A169" s="125">
        <v>1168</v>
      </c>
      <c r="B169" s="125">
        <v>1168</v>
      </c>
      <c r="C169" s="538" t="s">
        <v>2414</v>
      </c>
      <c r="D169" s="538" t="s">
        <v>2414</v>
      </c>
      <c r="E169" s="546"/>
      <c r="F169" s="526">
        <v>38</v>
      </c>
      <c r="G169" s="3" t="s">
        <v>2415</v>
      </c>
      <c r="H169" s="3" t="s">
        <v>2416</v>
      </c>
      <c r="I169" s="3">
        <v>-54.614687000000004</v>
      </c>
      <c r="J169" s="3">
        <v>-18.663208999999998</v>
      </c>
      <c r="K169" s="539" t="s">
        <v>2092</v>
      </c>
      <c r="L169" s="539" t="s">
        <v>2092</v>
      </c>
      <c r="M169" s="662">
        <v>2</v>
      </c>
      <c r="N169" s="540"/>
      <c r="O169" s="529">
        <v>2.068E-2</v>
      </c>
      <c r="P169" s="529">
        <v>4.6600000000000003E-2</v>
      </c>
      <c r="Q169" s="288">
        <f t="shared" si="40"/>
        <v>0.54119008458646611</v>
      </c>
      <c r="R169" s="30">
        <f t="shared" si="31"/>
        <v>20.565223214285712</v>
      </c>
      <c r="S169" s="30">
        <f t="shared" si="41"/>
        <v>17.434776785714288</v>
      </c>
      <c r="T169" s="107">
        <v>25.837142857142855</v>
      </c>
      <c r="U169" s="107">
        <v>21.84136904761905</v>
      </c>
      <c r="V169" s="107">
        <v>15.860833333333332</v>
      </c>
      <c r="W169" s="107">
        <v>18.721547619047616</v>
      </c>
      <c r="X169" s="288">
        <f t="shared" si="42"/>
        <v>0.65361068111455123</v>
      </c>
      <c r="Y169" s="289">
        <f t="shared" si="34"/>
        <v>24.837205882352947</v>
      </c>
      <c r="Z169" s="289">
        <f t="shared" si="35"/>
        <v>4.2719826680672348</v>
      </c>
      <c r="AA169" s="107">
        <v>31.481058823529413</v>
      </c>
      <c r="AB169" s="107">
        <v>24.872980392156865</v>
      </c>
      <c r="AC169" s="107">
        <v>18.699764705882355</v>
      </c>
      <c r="AD169" s="107">
        <v>24.295019607843155</v>
      </c>
      <c r="AE169" s="106">
        <v>1</v>
      </c>
      <c r="AF169" s="32" t="str">
        <f>IF(AE169=0,"",VLOOKUP(AE169,tab_tipo_expansao!$A$2:$B$4,2,0))</f>
        <v>opcional</v>
      </c>
      <c r="AG169" s="125">
        <v>2030</v>
      </c>
      <c r="AH169" s="125">
        <v>2100</v>
      </c>
      <c r="AI169" s="125">
        <v>30</v>
      </c>
      <c r="AJ169" s="530">
        <v>380</v>
      </c>
      <c r="AK169" s="24">
        <f>AL169/constantes!$B$4</f>
        <v>2564.102564102564</v>
      </c>
      <c r="AL169" s="33">
        <f t="shared" si="43"/>
        <v>10000</v>
      </c>
      <c r="AM169" s="87">
        <v>2</v>
      </c>
      <c r="AN169" s="531">
        <v>0</v>
      </c>
      <c r="AO169" s="23"/>
      <c r="AP169" s="532">
        <f t="shared" si="37"/>
        <v>380</v>
      </c>
      <c r="AR169" s="35">
        <f t="shared" si="44"/>
        <v>10000</v>
      </c>
      <c r="AS169" s="36">
        <f ca="1">OFFSET(cod_desembolso!$A$1,AM169,23)</f>
        <v>1.1245293369208682</v>
      </c>
      <c r="AT169" s="37">
        <f ca="1">IF(AP169=0,0,AP169*(OFFSET(cod_desembolso!$A$1,AM169,23)))</f>
        <v>427.32114802992993</v>
      </c>
      <c r="AU169" s="38">
        <f>(constantes!$B$3*(1+constantes!$B$3)^(AI169))/((1+constantes!$B$3)^(AI169)-1)</f>
        <v>8.8827433387272267E-2</v>
      </c>
      <c r="AV169" s="37">
        <f t="shared" ca="1" si="39"/>
        <v>39.857840811601314</v>
      </c>
      <c r="AW169" s="37">
        <f ca="1">IF(AP169=0,AY169/constantes!$B$3,AV169/constantes!$B$3)</f>
        <v>498.22301014501642</v>
      </c>
      <c r="AX169" s="39">
        <f ca="1">IF(AP169=0,0,PV(constantes!$B$3,AI169,-AV169)*constantes!$B$3)</f>
        <v>35.896874910549776</v>
      </c>
      <c r="AY169" s="40">
        <f>constantes!$B$10*F169/1000</f>
        <v>1.9</v>
      </c>
      <c r="AZ169" s="533">
        <f>constantes!$B$12</f>
        <v>0</v>
      </c>
      <c r="BA169" s="20">
        <v>318</v>
      </c>
      <c r="BB169" s="43"/>
      <c r="BC169" s="3" t="s">
        <v>2183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4.45">
      <c r="A170" s="125">
        <v>1169</v>
      </c>
      <c r="B170" s="125">
        <v>1169</v>
      </c>
      <c r="C170" s="538" t="s">
        <v>2417</v>
      </c>
      <c r="D170" s="538" t="s">
        <v>2417</v>
      </c>
      <c r="E170" s="546"/>
      <c r="F170" s="526">
        <v>458.2</v>
      </c>
      <c r="G170" s="3" t="s">
        <v>2181</v>
      </c>
      <c r="H170" s="3" t="s">
        <v>2313</v>
      </c>
      <c r="I170" s="3">
        <v>-60.196668000000003</v>
      </c>
      <c r="J170" s="3">
        <v>-7.912223</v>
      </c>
      <c r="K170" s="539" t="s">
        <v>156</v>
      </c>
      <c r="L170" s="539" t="s">
        <v>156</v>
      </c>
      <c r="M170" s="662">
        <v>7</v>
      </c>
      <c r="N170" s="540"/>
      <c r="O170" s="529">
        <v>1.6379999999999999E-2</v>
      </c>
      <c r="P170" s="529">
        <v>6.1409999999999999E-2</v>
      </c>
      <c r="Q170" s="288">
        <f t="shared" si="40"/>
        <v>0.51757965953731999</v>
      </c>
      <c r="R170" s="30">
        <f t="shared" si="31"/>
        <v>237.15500000000003</v>
      </c>
      <c r="S170" s="30">
        <f t="shared" si="41"/>
        <v>221.04499999999996</v>
      </c>
      <c r="T170" s="107">
        <v>396.5109523809524</v>
      </c>
      <c r="U170" s="107">
        <v>332.01154761904758</v>
      </c>
      <c r="V170" s="107">
        <v>83.305416666666673</v>
      </c>
      <c r="W170" s="107">
        <v>136.79208333333335</v>
      </c>
      <c r="X170" s="288">
        <f t="shared" si="42"/>
        <v>0.50526638765501841</v>
      </c>
      <c r="Y170" s="289">
        <f t="shared" si="34"/>
        <v>231.51305882352943</v>
      </c>
      <c r="Z170" s="289">
        <f t="shared" si="35"/>
        <v>-5.6419411764705956</v>
      </c>
      <c r="AA170" s="107">
        <v>397.93678431372547</v>
      </c>
      <c r="AB170" s="107">
        <v>329.6449411764707</v>
      </c>
      <c r="AC170" s="107">
        <v>71.439411764705866</v>
      </c>
      <c r="AD170" s="107">
        <v>127.03109803921569</v>
      </c>
      <c r="AE170" s="106">
        <v>1</v>
      </c>
      <c r="AF170" s="32" t="str">
        <f>IF(AE170=0,"",VLOOKUP(AE170,tab_tipo_expansao!$A$2:$B$4,2,0))</f>
        <v>opcional</v>
      </c>
      <c r="AG170" s="125">
        <v>2030</v>
      </c>
      <c r="AH170" s="125">
        <v>2100</v>
      </c>
      <c r="AI170" s="125">
        <v>30</v>
      </c>
      <c r="AJ170" s="530">
        <v>3383.8399115177463</v>
      </c>
      <c r="AK170" s="24">
        <f>AL170/constantes!$B$4</f>
        <v>1893.6081609854314</v>
      </c>
      <c r="AL170" s="33">
        <f t="shared" si="43"/>
        <v>7385.0718278431823</v>
      </c>
      <c r="AM170" s="87">
        <v>3</v>
      </c>
      <c r="AN170" s="531">
        <v>0</v>
      </c>
      <c r="AO170" s="23"/>
      <c r="AP170" s="532">
        <f t="shared" si="37"/>
        <v>3383.8399115177463</v>
      </c>
      <c r="AR170" s="35">
        <f t="shared" si="44"/>
        <v>7385.0718278431832</v>
      </c>
      <c r="AS170" s="36">
        <f ca="1">OFFSET(cod_desembolso!$A$1,AM170,23)</f>
        <v>1.1255071012622904</v>
      </c>
      <c r="AT170" s="37">
        <f ca="1">IF(AP170=0,0,AP170*(OFFSET(cod_desembolso!$A$1,AM170,23)))</f>
        <v>3808.5358499479839</v>
      </c>
      <c r="AU170" s="38">
        <f>(constantes!$B$3*(1+constantes!$B$3)^(AI170))/((1+constantes!$B$3)^(AI170)-1)</f>
        <v>8.8827433387272267E-2</v>
      </c>
      <c r="AV170" s="37">
        <f t="shared" ca="1" si="39"/>
        <v>361.21246451429295</v>
      </c>
      <c r="AW170" s="37">
        <f ca="1">IF(AP170=0,AY170/constantes!$B$3,AV170/constantes!$B$3)</f>
        <v>4515.1558064286619</v>
      </c>
      <c r="AX170" s="39">
        <f ca="1">IF(AP170=0,0,PV(constantes!$B$3,AI170,-AV170)*constantes!$B$3)</f>
        <v>325.31613330712281</v>
      </c>
      <c r="AY170" s="40">
        <f>constantes!$B$10*F170/1000</f>
        <v>22.91</v>
      </c>
      <c r="AZ170" s="533">
        <f>constantes!$B$12</f>
        <v>0</v>
      </c>
      <c r="BA170" s="20">
        <v>318</v>
      </c>
      <c r="BB170" s="43"/>
      <c r="BC170" s="3" t="s">
        <v>2185</v>
      </c>
      <c r="BE170" s="534">
        <v>1</v>
      </c>
      <c r="BF170" s="535">
        <v>2030</v>
      </c>
      <c r="BG170" s="536">
        <v>1</v>
      </c>
      <c r="BH170" s="537">
        <v>2030</v>
      </c>
    </row>
    <row r="171" spans="1:60" ht="14.45">
      <c r="A171" s="125">
        <v>1170</v>
      </c>
      <c r="B171" s="125">
        <v>1170</v>
      </c>
      <c r="C171" s="538" t="s">
        <v>2418</v>
      </c>
      <c r="D171" s="538" t="s">
        <v>2418</v>
      </c>
      <c r="E171" s="546"/>
      <c r="F171" s="526">
        <v>34</v>
      </c>
      <c r="G171" s="3" t="s">
        <v>2181</v>
      </c>
      <c r="H171" s="3" t="s">
        <v>2204</v>
      </c>
      <c r="I171" s="3">
        <v>-55.235255000000002</v>
      </c>
      <c r="J171" s="3">
        <v>-4.0977379999999997</v>
      </c>
      <c r="K171" s="539" t="s">
        <v>155</v>
      </c>
      <c r="L171" s="539" t="s">
        <v>155</v>
      </c>
      <c r="M171" s="662">
        <v>9</v>
      </c>
      <c r="N171" s="540"/>
      <c r="O171" s="529">
        <v>2.068E-2</v>
      </c>
      <c r="P171" s="529">
        <v>4.6600000000000003E-2</v>
      </c>
      <c r="Q171" s="288">
        <f t="shared" si="40"/>
        <v>0.47693555361105217</v>
      </c>
      <c r="R171" s="30">
        <f t="shared" si="31"/>
        <v>16.215808822775774</v>
      </c>
      <c r="S171" s="30">
        <f t="shared" si="41"/>
        <v>17.784191177224226</v>
      </c>
      <c r="T171" s="107">
        <v>22.092234436917181</v>
      </c>
      <c r="U171" s="107">
        <v>25.088147928215587</v>
      </c>
      <c r="V171" s="107">
        <v>9.5937046285558498</v>
      </c>
      <c r="W171" s="107">
        <v>8.0891482974144804</v>
      </c>
      <c r="X171" s="288">
        <f t="shared" si="42"/>
        <v>0.49042921298242015</v>
      </c>
      <c r="Y171" s="289">
        <f t="shared" si="34"/>
        <v>16.674593241402285</v>
      </c>
      <c r="Z171" s="289">
        <f t="shared" si="35"/>
        <v>0.45878441862651087</v>
      </c>
      <c r="AA171" s="107">
        <v>24.528533499263194</v>
      </c>
      <c r="AB171" s="107">
        <v>24.653261178197624</v>
      </c>
      <c r="AC171" s="107">
        <v>9.0530573749427656</v>
      </c>
      <c r="AD171" s="107">
        <v>8.4635209132055547</v>
      </c>
      <c r="AE171" s="106">
        <v>1</v>
      </c>
      <c r="AF171" s="32" t="str">
        <f>IF(AE171=0,"",VLOOKUP(AE171,tab_tipo_expansao!$A$2:$B$4,2,0))</f>
        <v>opcional</v>
      </c>
      <c r="AG171" s="125">
        <v>2030</v>
      </c>
      <c r="AH171" s="125">
        <v>2100</v>
      </c>
      <c r="AI171" s="125">
        <v>30</v>
      </c>
      <c r="AJ171" s="530">
        <v>293.47367837390738</v>
      </c>
      <c r="AK171" s="24">
        <f>AL171/constantes!$B$4</f>
        <v>2213.2253271033737</v>
      </c>
      <c r="AL171" s="33">
        <f t="shared" si="43"/>
        <v>8631.5787757031576</v>
      </c>
      <c r="AM171" s="87">
        <v>2</v>
      </c>
      <c r="AN171" s="531">
        <v>0</v>
      </c>
      <c r="AO171" s="23"/>
      <c r="AP171" s="532">
        <f t="shared" si="37"/>
        <v>293.47367837390738</v>
      </c>
      <c r="AR171" s="35">
        <f t="shared" si="44"/>
        <v>8631.5787757031594</v>
      </c>
      <c r="AS171" s="36">
        <f ca="1">OFFSET(cod_desembolso!$A$1,AM171,23)</f>
        <v>1.1245293369208682</v>
      </c>
      <c r="AT171" s="37">
        <f ca="1">IF(AP171=0,0,AP171*(OFFSET(cod_desembolso!$A$1,AM171,23)))</f>
        <v>330.01976094553822</v>
      </c>
      <c r="AU171" s="38">
        <f>(constantes!$B$3*(1+constantes!$B$3)^(AI171))/((1+constantes!$B$3)^(AI171)-1)</f>
        <v>8.8827433387272267E-2</v>
      </c>
      <c r="AV171" s="37">
        <f t="shared" ca="1" si="39"/>
        <v>31.014808331873315</v>
      </c>
      <c r="AW171" s="37">
        <f ca="1">IF(AP171=0,AY171/constantes!$B$3,AV171/constantes!$B$3)</f>
        <v>387.68510414841643</v>
      </c>
      <c r="AX171" s="39">
        <f ca="1">IF(AP171=0,0,PV(constantes!$B$3,AI171,-AV171)*constantes!$B$3)</f>
        <v>27.932639410308397</v>
      </c>
      <c r="AY171" s="40">
        <f>constantes!$B$10*F171/1000</f>
        <v>1.7</v>
      </c>
      <c r="AZ171" s="533">
        <f>constantes!$B$12</f>
        <v>0</v>
      </c>
      <c r="BA171" s="20">
        <v>318</v>
      </c>
      <c r="BB171" s="43"/>
      <c r="BC171" s="3" t="s">
        <v>2183</v>
      </c>
      <c r="BE171" s="534">
        <v>1</v>
      </c>
      <c r="BF171" s="535">
        <v>2027</v>
      </c>
      <c r="BG171" s="536">
        <v>1</v>
      </c>
      <c r="BH171" s="537">
        <v>2027</v>
      </c>
    </row>
    <row r="172" spans="1:60" ht="14.45" hidden="1">
      <c r="A172" s="125">
        <v>1171</v>
      </c>
      <c r="B172" s="125">
        <v>1171</v>
      </c>
      <c r="C172" s="644" t="s">
        <v>2419</v>
      </c>
      <c r="D172" s="645" t="s">
        <v>2419</v>
      </c>
      <c r="E172" s="638"/>
      <c r="F172" s="526">
        <v>400</v>
      </c>
      <c r="G172" s="3" t="s">
        <v>2181</v>
      </c>
      <c r="H172" s="3" t="s">
        <v>2420</v>
      </c>
      <c r="I172" s="3">
        <v>-62.174236999999998</v>
      </c>
      <c r="J172" s="3">
        <v>-8.9072820000000004</v>
      </c>
      <c r="K172" s="646" t="s">
        <v>2068</v>
      </c>
      <c r="L172" s="646" t="s">
        <v>2068</v>
      </c>
      <c r="M172" s="662">
        <v>7</v>
      </c>
      <c r="N172" s="540"/>
      <c r="O172" s="529">
        <v>1.6379999999999999E-2</v>
      </c>
      <c r="P172" s="529">
        <v>6.1409999999999999E-2</v>
      </c>
      <c r="Q172" s="288">
        <f t="shared" si="40"/>
        <v>0.532119300920186</v>
      </c>
      <c r="R172" s="30">
        <f t="shared" si="31"/>
        <v>212.84772036807439</v>
      </c>
      <c r="S172" s="30">
        <f t="shared" si="41"/>
        <v>187.15227963192561</v>
      </c>
      <c r="T172" s="107">
        <v>266.73414957837286</v>
      </c>
      <c r="U172" s="107">
        <v>234.15205110636006</v>
      </c>
      <c r="V172" s="107">
        <v>166.09614225323787</v>
      </c>
      <c r="W172" s="107">
        <v>184.40853853432679</v>
      </c>
      <c r="X172" s="288">
        <f t="shared" si="42"/>
        <v>0.56765074645560576</v>
      </c>
      <c r="Y172" s="289">
        <f t="shared" si="34"/>
        <v>227.0602985822423</v>
      </c>
      <c r="Z172" s="289">
        <f t="shared" si="35"/>
        <v>14.212578214167905</v>
      </c>
      <c r="AA172" s="107">
        <v>296.78030548420884</v>
      </c>
      <c r="AB172" s="107">
        <v>246.90083784421699</v>
      </c>
      <c r="AC172" s="107">
        <v>169.98714768239407</v>
      </c>
      <c r="AD172" s="107">
        <v>194.57290331814932</v>
      </c>
      <c r="AE172" s="106">
        <v>1</v>
      </c>
      <c r="AF172" s="32" t="str">
        <f>IF(AE172=0,"",VLOOKUP(AE172,tab_tipo_expansao!$A$2:$B$4,2,0))</f>
        <v>opcional</v>
      </c>
      <c r="AG172" s="125">
        <v>2023</v>
      </c>
      <c r="AH172" s="125">
        <v>2100</v>
      </c>
      <c r="AI172" s="125">
        <v>30</v>
      </c>
      <c r="AJ172" s="530">
        <v>3464.2760867266525</v>
      </c>
      <c r="AK172" s="24">
        <f>AL172/constantes!$B$4</f>
        <v>2220.6897991837513</v>
      </c>
      <c r="AL172" s="33">
        <f t="shared" si="43"/>
        <v>8660.6902168166307</v>
      </c>
      <c r="AM172" s="87">
        <v>2</v>
      </c>
      <c r="AN172" s="531">
        <v>0</v>
      </c>
      <c r="AO172" s="23"/>
      <c r="AP172" s="532">
        <f t="shared" si="37"/>
        <v>3464.2760867266525</v>
      </c>
      <c r="AR172" s="35">
        <f t="shared" si="44"/>
        <v>8660.6902168166307</v>
      </c>
      <c r="AS172" s="36">
        <f ca="1">OFFSET(cod_desembolso!$A$1,AM172,23)</f>
        <v>1.1245293369208682</v>
      </c>
      <c r="AT172" s="37">
        <f ca="1">IF(AP172=0,0,AP172*(OFFSET(cod_desembolso!$A$1,AM172,23)))</f>
        <v>3895.6800907175425</v>
      </c>
      <c r="AU172" s="38">
        <f>(constantes!$B$3*(1+constantes!$B$3)^(AI172))/((1+constantes!$B$3)^(AI172)-1)</f>
        <v>8.8827433387272267E-2</v>
      </c>
      <c r="AV172" s="37">
        <f t="shared" ca="1" si="39"/>
        <v>366.04326375633531</v>
      </c>
      <c r="AW172" s="37">
        <f ca="1">IF(AP172=0,AY172/constantes!$B$3,AV172/constantes!$B$3)</f>
        <v>4575.5407969541911</v>
      </c>
      <c r="AX172" s="39">
        <f ca="1">IF(AP172=0,0,PV(constantes!$B$3,AI172,-AV172)*constantes!$B$3)</f>
        <v>329.66686060640734</v>
      </c>
      <c r="AY172" s="40">
        <f>constantes!$B$10*F172/1000</f>
        <v>20</v>
      </c>
      <c r="AZ172" s="533">
        <f>constantes!$B$12</f>
        <v>0</v>
      </c>
      <c r="BA172" s="20">
        <v>318</v>
      </c>
      <c r="BB172" s="43"/>
      <c r="BC172" s="3" t="s">
        <v>2209</v>
      </c>
      <c r="BE172" s="534">
        <v>1</v>
      </c>
      <c r="BF172" s="535">
        <v>2022</v>
      </c>
      <c r="BG172" s="536">
        <v>1</v>
      </c>
      <c r="BH172" s="537">
        <v>2022</v>
      </c>
    </row>
    <row r="173" spans="1:60" ht="14.45" hidden="1">
      <c r="A173" s="125">
        <v>1172</v>
      </c>
      <c r="B173" s="125">
        <v>1172</v>
      </c>
      <c r="C173" s="538" t="s">
        <v>2421</v>
      </c>
      <c r="D173" s="538" t="s">
        <v>2421</v>
      </c>
      <c r="E173" s="546"/>
      <c r="F173" s="526">
        <v>98</v>
      </c>
      <c r="G173" s="3" t="s">
        <v>2246</v>
      </c>
      <c r="H173" s="3" t="s">
        <v>2422</v>
      </c>
      <c r="I173" s="3">
        <v>-45.464986000000003</v>
      </c>
      <c r="J173" s="3">
        <v>-7.2074670000000003</v>
      </c>
      <c r="K173" s="539" t="s">
        <v>149</v>
      </c>
      <c r="L173" s="539" t="s">
        <v>149</v>
      </c>
      <c r="M173" s="662">
        <v>3</v>
      </c>
      <c r="N173" s="540"/>
      <c r="O173" s="529">
        <v>1.9820000000000001E-2</v>
      </c>
      <c r="P173" s="529">
        <v>5.2919999999999995E-2</v>
      </c>
      <c r="Q173" s="288">
        <f t="shared" si="40"/>
        <v>0.45565445821185618</v>
      </c>
      <c r="R173" s="30">
        <f t="shared" si="31"/>
        <v>44.654136904761906</v>
      </c>
      <c r="S173" s="30">
        <f t="shared" si="41"/>
        <v>53.345863095238094</v>
      </c>
      <c r="T173" s="107">
        <v>43.769047619047626</v>
      </c>
      <c r="U173" s="107">
        <v>50.49</v>
      </c>
      <c r="V173" s="107">
        <v>41.576666666666661</v>
      </c>
      <c r="W173" s="107">
        <v>42.780833333333334</v>
      </c>
      <c r="X173" s="288">
        <f t="shared" si="42"/>
        <v>0.49733853541416556</v>
      </c>
      <c r="Y173" s="289">
        <f t="shared" si="34"/>
        <v>48.739176470588227</v>
      </c>
      <c r="Z173" s="289">
        <f t="shared" si="35"/>
        <v>4.085039565826321</v>
      </c>
      <c r="AA173" s="107">
        <v>65.419764705882343</v>
      </c>
      <c r="AB173" s="107">
        <v>54.044666666666693</v>
      </c>
      <c r="AC173" s="107">
        <v>34.134352941176452</v>
      </c>
      <c r="AD173" s="107">
        <v>41.35792156862744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2762.7557303410445</v>
      </c>
      <c r="AK173" s="24">
        <f>AL173/constantes!$B$4</f>
        <v>7228.5602573025762</v>
      </c>
      <c r="AL173" s="33">
        <f t="shared" si="43"/>
        <v>28191.385003480045</v>
      </c>
      <c r="AM173" s="87">
        <v>2</v>
      </c>
      <c r="AN173" s="531">
        <v>0</v>
      </c>
      <c r="AO173" s="23"/>
      <c r="AP173" s="532">
        <f t="shared" si="37"/>
        <v>2762.7557303410445</v>
      </c>
      <c r="AR173" s="35">
        <f t="shared" si="44"/>
        <v>28191.385003480042</v>
      </c>
      <c r="AS173" s="36">
        <f ca="1">OFFSET(cod_desembolso!$A$1,AM173,23)</f>
        <v>1.1245293369208682</v>
      </c>
      <c r="AT173" s="37">
        <f ca="1">IF(AP173=0,0,AP173*(OFFSET(cod_desembolso!$A$1,AM173,23)))</f>
        <v>3106.7998695147435</v>
      </c>
      <c r="AU173" s="38">
        <f>(constantes!$B$3*(1+constantes!$B$3)^(AI173))/((1+constantes!$B$3)^(AI173)-1)</f>
        <v>8.8827433387272267E-2</v>
      </c>
      <c r="AV173" s="37">
        <f t="shared" ca="1" si="39"/>
        <v>280.869058456907</v>
      </c>
      <c r="AW173" s="37">
        <f ca="1">IF(AP173=0,AY173/constantes!$B$3,AV173/constantes!$B$3)</f>
        <v>3510.8632307113376</v>
      </c>
      <c r="AX173" s="39">
        <f ca="1">IF(AP173=0,0,PV(constantes!$B$3,AI173,-AV173)*constantes!$B$3)</f>
        <v>252.95704063168543</v>
      </c>
      <c r="AY173" s="40">
        <f>constantes!$B$10*F173/1000</f>
        <v>4.9000000000000004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4.45" hidden="1">
      <c r="A174" s="125">
        <v>1173</v>
      </c>
      <c r="B174" s="125">
        <v>1173</v>
      </c>
      <c r="C174" s="538" t="s">
        <v>2423</v>
      </c>
      <c r="D174" s="538" t="s">
        <v>2423</v>
      </c>
      <c r="E174" s="546"/>
      <c r="F174" s="526">
        <v>35.799999999999997</v>
      </c>
      <c r="G174" s="3" t="s">
        <v>2211</v>
      </c>
      <c r="H174" s="3" t="s">
        <v>2337</v>
      </c>
      <c r="I174" s="3">
        <v>-45.805171999999999</v>
      </c>
      <c r="J174" s="3">
        <v>-19.185206000000001</v>
      </c>
      <c r="K174" s="539" t="s">
        <v>152</v>
      </c>
      <c r="L174" s="539" t="s">
        <v>152</v>
      </c>
      <c r="M174" s="662">
        <v>1</v>
      </c>
      <c r="N174" s="540"/>
      <c r="O174" s="529">
        <v>2.068E-2</v>
      </c>
      <c r="P174" s="529">
        <v>4.6600000000000003E-2</v>
      </c>
      <c r="Q174" s="288">
        <f t="shared" si="40"/>
        <v>0.41792323423782923</v>
      </c>
      <c r="R174" s="30">
        <f t="shared" si="31"/>
        <v>14.961651785714286</v>
      </c>
      <c r="S174" s="30">
        <f t="shared" si="41"/>
        <v>20.838348214285709</v>
      </c>
      <c r="T174" s="107">
        <v>15.39142857142857</v>
      </c>
      <c r="U174" s="107">
        <v>12.043452380952381</v>
      </c>
      <c r="V174" s="107">
        <v>16.451249999999998</v>
      </c>
      <c r="W174" s="107">
        <v>15.960476190476191</v>
      </c>
      <c r="X174" s="288">
        <f t="shared" si="42"/>
        <v>0.42786614086975583</v>
      </c>
      <c r="Y174" s="289">
        <f t="shared" si="34"/>
        <v>15.317607843137257</v>
      </c>
      <c r="Z174" s="289">
        <f t="shared" si="35"/>
        <v>0.35595605742297032</v>
      </c>
      <c r="AA174" s="107">
        <v>22.173254901960785</v>
      </c>
      <c r="AB174" s="107">
        <v>9.8749803921568624</v>
      </c>
      <c r="AC174" s="107">
        <v>12.907372549019611</v>
      </c>
      <c r="AD174" s="107">
        <v>16.314823529411765</v>
      </c>
      <c r="AE174" s="106">
        <v>1</v>
      </c>
      <c r="AF174" s="32" t="str">
        <f>IF(AE174=0,"",VLOOKUP(AE174,tab_tipo_expansao!$A$2:$B$4,2,0))</f>
        <v>opcional</v>
      </c>
      <c r="AG174" s="125">
        <v>2028</v>
      </c>
      <c r="AH174" s="125">
        <v>2100</v>
      </c>
      <c r="AI174" s="125">
        <v>30</v>
      </c>
      <c r="AJ174" s="530">
        <v>772.24471472303173</v>
      </c>
      <c r="AK174" s="24">
        <f>AL174/constantes!$B$4</f>
        <v>5531.0465171396063</v>
      </c>
      <c r="AL174" s="33">
        <f t="shared" si="43"/>
        <v>21571.081416844463</v>
      </c>
      <c r="AM174" s="87">
        <v>2</v>
      </c>
      <c r="AN174" s="531">
        <v>0</v>
      </c>
      <c r="AO174" s="23"/>
      <c r="AP174" s="532">
        <f t="shared" si="37"/>
        <v>772.24471472303173</v>
      </c>
      <c r="AR174" s="35">
        <f t="shared" si="44"/>
        <v>21571.081416844463</v>
      </c>
      <c r="AS174" s="36">
        <f ca="1">OFFSET(cod_desembolso!$A$1,AM174,23)</f>
        <v>1.1245293369208682</v>
      </c>
      <c r="AT174" s="37">
        <f ca="1">IF(AP174=0,0,AP174*(OFFSET(cod_desembolso!$A$1,AM174,23)))</f>
        <v>868.41183698813586</v>
      </c>
      <c r="AU174" s="38">
        <f>(constantes!$B$3*(1+constantes!$B$3)^(AI174))/((1+constantes!$B$3)^(AI174)-1)</f>
        <v>8.8827433387272267E-2</v>
      </c>
      <c r="AV174" s="37">
        <f t="shared" ca="1" si="39"/>
        <v>78.928794602782389</v>
      </c>
      <c r="AW174" s="37">
        <f ca="1">IF(AP174=0,AY174/constantes!$B$3,AV174/constantes!$B$3)</f>
        <v>986.60993253477989</v>
      </c>
      <c r="AX174" s="39">
        <f ca="1">IF(AP174=0,0,PV(constantes!$B$3,AI174,-AV174)*constantes!$B$3)</f>
        <v>71.085061533786728</v>
      </c>
      <c r="AY174" s="40">
        <f>constantes!$B$10*F174/1000</f>
        <v>1.7899999999999998</v>
      </c>
      <c r="AZ174" s="533">
        <f>constantes!$B$12</f>
        <v>0</v>
      </c>
      <c r="BA174" s="20">
        <v>318</v>
      </c>
      <c r="BB174" s="43"/>
      <c r="BC174" s="3" t="s">
        <v>2197</v>
      </c>
      <c r="BE174" s="534">
        <v>1</v>
      </c>
      <c r="BF174" s="535">
        <v>2027</v>
      </c>
      <c r="BG174" s="536">
        <v>1</v>
      </c>
      <c r="BH174" s="537">
        <v>2027</v>
      </c>
    </row>
    <row r="175" spans="1:60" ht="14.45">
      <c r="A175" s="125">
        <v>1174</v>
      </c>
      <c r="B175" s="125">
        <v>1174</v>
      </c>
      <c r="C175" s="538" t="s">
        <v>2424</v>
      </c>
      <c r="D175" s="538" t="s">
        <v>2424</v>
      </c>
      <c r="E175" s="546"/>
      <c r="F175" s="526">
        <v>75</v>
      </c>
      <c r="G175" s="3" t="s">
        <v>2181</v>
      </c>
      <c r="H175" s="3" t="s">
        <v>2335</v>
      </c>
      <c r="I175" s="3">
        <v>-58.253450000000001</v>
      </c>
      <c r="J175" s="3">
        <v>-11.06396</v>
      </c>
      <c r="K175" s="539" t="s">
        <v>160</v>
      </c>
      <c r="L175" s="539" t="s">
        <v>160</v>
      </c>
      <c r="M175" s="662">
        <v>10</v>
      </c>
      <c r="N175" s="540"/>
      <c r="O175" s="529">
        <v>1.9820000000000001E-2</v>
      </c>
      <c r="P175" s="529">
        <v>5.2919999999999995E-2</v>
      </c>
      <c r="Q175" s="288">
        <f t="shared" si="40"/>
        <v>0.54125853174603167</v>
      </c>
      <c r="R175" s="30">
        <f t="shared" si="31"/>
        <v>40.594389880952377</v>
      </c>
      <c r="S175" s="30">
        <f t="shared" si="41"/>
        <v>34.405610119047623</v>
      </c>
      <c r="T175" s="107">
        <v>52.583809523809521</v>
      </c>
      <c r="U175" s="107">
        <v>47.991190476190468</v>
      </c>
      <c r="V175" s="107">
        <v>27.986666666666668</v>
      </c>
      <c r="W175" s="107">
        <v>33.815892857142856</v>
      </c>
      <c r="X175" s="288">
        <f t="shared" si="42"/>
        <v>0.51652614379084971</v>
      </c>
      <c r="Y175" s="289">
        <f t="shared" si="34"/>
        <v>38.739460784313728</v>
      </c>
      <c r="Z175" s="289">
        <f t="shared" si="35"/>
        <v>-1.8549290966386494</v>
      </c>
      <c r="AA175" s="107">
        <v>52.185176470588239</v>
      </c>
      <c r="AB175" s="107">
        <v>43.34858823529413</v>
      </c>
      <c r="AC175" s="107">
        <v>26.66952941176471</v>
      </c>
      <c r="AD175" s="107">
        <v>32.754549019607843</v>
      </c>
      <c r="AE175" s="106">
        <v>1</v>
      </c>
      <c r="AF175" s="32" t="str">
        <f>IF(AE175=0,"",VLOOKUP(AE175,tab_tipo_expansao!$A$2:$B$4,2,0))</f>
        <v>opcional</v>
      </c>
      <c r="AG175" s="125">
        <v>2030</v>
      </c>
      <c r="AH175" s="125">
        <v>2100</v>
      </c>
      <c r="AI175" s="125">
        <v>30</v>
      </c>
      <c r="AJ175" s="530">
        <v>2628.1098454648245</v>
      </c>
      <c r="AK175" s="24">
        <f>AL175/constantes!$B$4</f>
        <v>8984.9909246660663</v>
      </c>
      <c r="AL175" s="33">
        <f t="shared" si="43"/>
        <v>35041.46460619766</v>
      </c>
      <c r="AM175" s="87">
        <v>2</v>
      </c>
      <c r="AN175" s="531">
        <v>0</v>
      </c>
      <c r="AO175" s="23"/>
      <c r="AP175" s="532">
        <f t="shared" si="37"/>
        <v>2628.1098454648245</v>
      </c>
      <c r="AR175" s="35">
        <f t="shared" si="44"/>
        <v>35041.46460619766</v>
      </c>
      <c r="AS175" s="36">
        <f ca="1">OFFSET(cod_desembolso!$A$1,AM175,23)</f>
        <v>1.1245293369208682</v>
      </c>
      <c r="AT175" s="37">
        <f ca="1">IF(AP175=0,0,AP175*(OFFSET(cod_desembolso!$A$1,AM175,23)))</f>
        <v>2955.3866218757644</v>
      </c>
      <c r="AU175" s="38">
        <f>(constantes!$B$3*(1+constantes!$B$3)^(AI175))/((1+constantes!$B$3)^(AI175)-1)</f>
        <v>8.8827433387272267E-2</v>
      </c>
      <c r="AV175" s="37">
        <f t="shared" ca="1" si="39"/>
        <v>266.26940828830504</v>
      </c>
      <c r="AW175" s="37">
        <f ca="1">IF(AP175=0,AY175/constantes!$B$3,AV175/constantes!$B$3)</f>
        <v>3328.3676036038128</v>
      </c>
      <c r="AX175" s="39">
        <f ca="1">IF(AP175=0,0,PV(constantes!$B$3,AI175,-AV175)*constantes!$B$3)</f>
        <v>239.80826475299935</v>
      </c>
      <c r="AY175" s="40">
        <f>constantes!$B$10*F175/1000</f>
        <v>3.75</v>
      </c>
      <c r="AZ175" s="533">
        <f>constantes!$B$12</f>
        <v>0</v>
      </c>
      <c r="BA175" s="20">
        <v>318</v>
      </c>
      <c r="BB175" s="43"/>
      <c r="BC175" s="3" t="s">
        <v>2217</v>
      </c>
      <c r="BE175" s="534">
        <v>1</v>
      </c>
      <c r="BF175" s="535">
        <v>2035</v>
      </c>
      <c r="BG175" s="536">
        <v>3</v>
      </c>
      <c r="BH175" s="537">
        <v>2050</v>
      </c>
    </row>
    <row r="176" spans="1:60" ht="14.45">
      <c r="A176" s="125">
        <v>1175</v>
      </c>
      <c r="B176" s="125">
        <v>1175</v>
      </c>
      <c r="C176" s="538" t="s">
        <v>2425</v>
      </c>
      <c r="D176" s="538" t="s">
        <v>2425</v>
      </c>
      <c r="E176" s="546"/>
      <c r="F176" s="526">
        <v>43</v>
      </c>
      <c r="G176" s="3" t="s">
        <v>2246</v>
      </c>
      <c r="H176" s="3" t="s">
        <v>2246</v>
      </c>
      <c r="I176" s="3">
        <v>-45.915190000000003</v>
      </c>
      <c r="J176" s="3">
        <v>-9.1628500000000006</v>
      </c>
      <c r="K176" s="539" t="s">
        <v>1985</v>
      </c>
      <c r="L176" s="539" t="s">
        <v>1985</v>
      </c>
      <c r="M176" s="662">
        <v>3</v>
      </c>
      <c r="N176" s="540"/>
      <c r="O176" s="529">
        <v>2.068E-2</v>
      </c>
      <c r="P176" s="529">
        <v>4.6600000000000003E-2</v>
      </c>
      <c r="Q176" s="288">
        <f t="shared" si="40"/>
        <v>0.54343369324473978</v>
      </c>
      <c r="R176" s="30">
        <f t="shared" si="31"/>
        <v>23.367648809523811</v>
      </c>
      <c r="S176" s="30">
        <f t="shared" si="41"/>
        <v>19.632351190476189</v>
      </c>
      <c r="T176" s="107">
        <v>30.301904761904762</v>
      </c>
      <c r="U176" s="107">
        <v>24.629761904761907</v>
      </c>
      <c r="V176" s="107">
        <v>15.379166666666668</v>
      </c>
      <c r="W176" s="107">
        <v>23.159761904761904</v>
      </c>
      <c r="X176" s="288">
        <f t="shared" si="42"/>
        <v>0.5770225718194254</v>
      </c>
      <c r="Y176" s="289">
        <f t="shared" si="34"/>
        <v>24.811970588235294</v>
      </c>
      <c r="Z176" s="289">
        <f t="shared" si="35"/>
        <v>1.4443217787114833</v>
      </c>
      <c r="AA176" s="107">
        <v>33.302313725490194</v>
      </c>
      <c r="AB176" s="107">
        <v>25.08819607843137</v>
      </c>
      <c r="AC176" s="107">
        <v>16.487529411764708</v>
      </c>
      <c r="AD176" s="107">
        <v>24.369843137254907</v>
      </c>
      <c r="AE176" s="106">
        <v>1</v>
      </c>
      <c r="AF176" s="32" t="str">
        <f>IF(AE176=0,"",VLOOKUP(AE176,tab_tipo_expansao!$A$2:$B$4,2,0))</f>
        <v>opcional</v>
      </c>
      <c r="AG176" s="125">
        <v>2030</v>
      </c>
      <c r="AH176" s="125">
        <v>2100</v>
      </c>
      <c r="AI176" s="125">
        <v>30</v>
      </c>
      <c r="AJ176" s="530">
        <v>1255.2356954004429</v>
      </c>
      <c r="AK176" s="24">
        <f>AL176/constantes!$B$4</f>
        <v>7485.0071282077688</v>
      </c>
      <c r="AL176" s="33">
        <f t="shared" si="43"/>
        <v>29191.527800010299</v>
      </c>
      <c r="AM176" s="87">
        <v>2</v>
      </c>
      <c r="AN176" s="531">
        <v>0</v>
      </c>
      <c r="AO176" s="23"/>
      <c r="AP176" s="532">
        <f t="shared" si="37"/>
        <v>1255.2356954004429</v>
      </c>
      <c r="AR176" s="35">
        <f t="shared" si="44"/>
        <v>29191.527800010299</v>
      </c>
      <c r="AS176" s="36">
        <f ca="1">OFFSET(cod_desembolso!$A$1,AM176,23)</f>
        <v>1.1245293369208682</v>
      </c>
      <c r="AT176" s="37">
        <f ca="1">IF(AP176=0,0,AP176*(OFFSET(cod_desembolso!$A$1,AM176,23)))</f>
        <v>1411.5493642280649</v>
      </c>
      <c r="AU176" s="38">
        <f>(constantes!$B$3*(1+constantes!$B$3)^(AI176))/((1+constantes!$B$3)^(AI176)-1)</f>
        <v>8.8827433387272267E-2</v>
      </c>
      <c r="AV176" s="37">
        <f t="shared" ca="1" si="39"/>
        <v>127.53430712381495</v>
      </c>
      <c r="AW176" s="37">
        <f ca="1">IF(AP176=0,AY176/constantes!$B$3,AV176/constantes!$B$3)</f>
        <v>1594.178839047687</v>
      </c>
      <c r="AX176" s="39">
        <f ca="1">IF(AP176=0,0,PV(constantes!$B$3,AI176,-AV176)*constantes!$B$3)</f>
        <v>114.86028787326312</v>
      </c>
      <c r="AY176" s="40">
        <f>constantes!$B$10*F176/1000</f>
        <v>2.15</v>
      </c>
      <c r="AZ176" s="533">
        <f>constantes!$B$12</f>
        <v>0</v>
      </c>
      <c r="BA176" s="20">
        <v>318</v>
      </c>
      <c r="BB176" s="43"/>
      <c r="BC176" s="3" t="s">
        <v>2185</v>
      </c>
      <c r="BE176" s="534">
        <v>1</v>
      </c>
      <c r="BF176" s="535">
        <v>2030</v>
      </c>
      <c r="BG176" s="536">
        <v>1</v>
      </c>
      <c r="BH176" s="537">
        <v>2030</v>
      </c>
    </row>
    <row r="177" spans="1:60" ht="14.45" hidden="1">
      <c r="A177" s="125">
        <v>1176</v>
      </c>
      <c r="B177" s="125">
        <v>1176</v>
      </c>
      <c r="C177" s="625" t="s">
        <v>2426</v>
      </c>
      <c r="D177" s="538" t="s">
        <v>2426</v>
      </c>
      <c r="E177" s="546"/>
      <c r="F177" s="526">
        <v>118</v>
      </c>
      <c r="G177" s="3" t="s">
        <v>2196</v>
      </c>
      <c r="H177" s="3" t="s">
        <v>2078</v>
      </c>
      <c r="I177" s="3">
        <v>-50.591594000000001</v>
      </c>
      <c r="J177" s="3">
        <v>-24.350384999999999</v>
      </c>
      <c r="K177" s="539" t="s">
        <v>153</v>
      </c>
      <c r="L177" s="539" t="s">
        <v>153</v>
      </c>
      <c r="M177" s="662">
        <v>2</v>
      </c>
      <c r="N177" s="540"/>
      <c r="O177" s="529">
        <v>1.9820000000000001E-2</v>
      </c>
      <c r="P177" s="529">
        <v>5.2919999999999995E-2</v>
      </c>
      <c r="Q177" s="288">
        <f t="shared" si="40"/>
        <v>0.54326082021791766</v>
      </c>
      <c r="R177" s="30">
        <f t="shared" si="31"/>
        <v>64.104776785714279</v>
      </c>
      <c r="S177" s="30">
        <f t="shared" si="41"/>
        <v>53.895223214285721</v>
      </c>
      <c r="T177" s="107">
        <v>69.42190476190477</v>
      </c>
      <c r="U177" s="107">
        <v>60.537738095238097</v>
      </c>
      <c r="V177" s="107">
        <v>56.529583333333335</v>
      </c>
      <c r="W177" s="107">
        <v>69.929880952380941</v>
      </c>
      <c r="X177" s="288">
        <f t="shared" si="42"/>
        <v>0.64808765370554999</v>
      </c>
      <c r="Y177" s="289">
        <f t="shared" si="34"/>
        <v>76.474343137254905</v>
      </c>
      <c r="Z177" s="289">
        <f t="shared" si="35"/>
        <v>12.369566351540627</v>
      </c>
      <c r="AA177" s="107">
        <v>84.313450980392147</v>
      </c>
      <c r="AB177" s="107">
        <v>67.832901960784312</v>
      </c>
      <c r="AC177" s="107">
        <v>72.327333333333328</v>
      </c>
      <c r="AD177" s="107">
        <v>81.423686274509805</v>
      </c>
      <c r="AE177" s="106">
        <v>1</v>
      </c>
      <c r="AF177" s="32" t="str">
        <f>IF(AE177=0,"",VLOOKUP(AE177,tab_tipo_expansao!$A$2:$B$4,2,0))</f>
        <v>opcional</v>
      </c>
      <c r="AG177" s="125">
        <v>2023</v>
      </c>
      <c r="AH177" s="125">
        <v>2100</v>
      </c>
      <c r="AI177" s="125">
        <v>30</v>
      </c>
      <c r="AJ177" s="530">
        <v>772.80326367333271</v>
      </c>
      <c r="AK177" s="24">
        <f>AL177/constantes!$B$4</f>
        <v>1679.2769745183239</v>
      </c>
      <c r="AL177" s="33">
        <f t="shared" si="43"/>
        <v>6549.180200621463</v>
      </c>
      <c r="AM177" s="87">
        <v>2</v>
      </c>
      <c r="AN177" s="531">
        <v>0</v>
      </c>
      <c r="AO177" s="23"/>
      <c r="AP177" s="532">
        <f t="shared" si="37"/>
        <v>772.80326367333271</v>
      </c>
      <c r="AR177" s="35">
        <f t="shared" si="44"/>
        <v>6549.1802006214639</v>
      </c>
      <c r="AS177" s="36">
        <f ca="1">OFFSET(cod_desembolso!$A$1,AM177,23)</f>
        <v>1.1245293369208682</v>
      </c>
      <c r="AT177" s="37">
        <f ca="1">IF(AP177=0,0,AP177*(OFFSET(cod_desembolso!$A$1,AM177,23)))</f>
        <v>869.0399416688557</v>
      </c>
      <c r="AU177" s="38">
        <f>(constantes!$B$3*(1+constantes!$B$3)^(AI177))/((1+constantes!$B$3)^(AI177)-1)</f>
        <v>8.8827433387272267E-2</v>
      </c>
      <c r="AV177" s="37">
        <f t="shared" ca="1" si="39"/>
        <v>83.094587529469266</v>
      </c>
      <c r="AW177" s="37">
        <f ca="1">IF(AP177=0,AY177/constantes!$B$3,AV177/constantes!$B$3)</f>
        <v>1038.6823441183658</v>
      </c>
      <c r="AX177" s="39">
        <f ca="1">IF(AP177=0,0,PV(constantes!$B$3,AI177,-AV177)*constantes!$B$3)</f>
        <v>74.836869071464633</v>
      </c>
      <c r="AY177" s="40">
        <f>constantes!$B$10*F177/1000</f>
        <v>5.9</v>
      </c>
      <c r="AZ177" s="533">
        <f>constantes!$B$12</f>
        <v>0</v>
      </c>
      <c r="BA177" s="20">
        <v>318</v>
      </c>
      <c r="BB177" s="43"/>
      <c r="BC177" s="3" t="s">
        <v>2209</v>
      </c>
      <c r="BE177" s="534">
        <v>1</v>
      </c>
      <c r="BF177" s="535">
        <v>2022</v>
      </c>
      <c r="BG177" s="536">
        <v>1</v>
      </c>
      <c r="BH177" s="537">
        <v>2022</v>
      </c>
    </row>
    <row r="178" spans="1:60" ht="14.45" hidden="1">
      <c r="A178" s="125">
        <v>1177</v>
      </c>
      <c r="B178" s="125">
        <v>1177</v>
      </c>
      <c r="C178" s="538" t="s">
        <v>2427</v>
      </c>
      <c r="D178" s="538" t="s">
        <v>2427</v>
      </c>
      <c r="E178" s="546"/>
      <c r="F178" s="526">
        <v>142.49</v>
      </c>
      <c r="G178" s="3" t="s">
        <v>2206</v>
      </c>
      <c r="H178" s="3" t="s">
        <v>2207</v>
      </c>
      <c r="I178" s="3">
        <v>-43.039397000000001</v>
      </c>
      <c r="J178" s="3">
        <v>-17.197610999999998</v>
      </c>
      <c r="K178" s="539" t="s">
        <v>152</v>
      </c>
      <c r="L178" s="539" t="s">
        <v>152</v>
      </c>
      <c r="M178" s="662">
        <v>1</v>
      </c>
      <c r="N178" s="540"/>
      <c r="O178" s="529">
        <v>1.6379999999999999E-2</v>
      </c>
      <c r="P178" s="529">
        <v>6.1409999999999999E-2</v>
      </c>
      <c r="Q178" s="288">
        <f t="shared" si="40"/>
        <v>0.53169259580455108</v>
      </c>
      <c r="R178" s="30">
        <f t="shared" si="31"/>
        <v>75.760877976190486</v>
      </c>
      <c r="S178" s="30">
        <f t="shared" si="41"/>
        <v>66.729122023809524</v>
      </c>
      <c r="T178" s="107">
        <v>69.092857142857156</v>
      </c>
      <c r="U178" s="107">
        <v>43.130357142857143</v>
      </c>
      <c r="V178" s="107">
        <v>100.30874999999999</v>
      </c>
      <c r="W178" s="107">
        <v>90.511547619047619</v>
      </c>
      <c r="X178" s="288">
        <f t="shared" si="42"/>
        <v>0.53069916155106867</v>
      </c>
      <c r="Y178" s="289">
        <f t="shared" si="34"/>
        <v>75.619323529411773</v>
      </c>
      <c r="Z178" s="289">
        <f t="shared" si="35"/>
        <v>-0.14155444677871287</v>
      </c>
      <c r="AA178" s="107">
        <v>90.952823529411774</v>
      </c>
      <c r="AB178" s="107">
        <v>47.123058823529419</v>
      </c>
      <c r="AC178" s="107">
        <v>79.781764705882338</v>
      </c>
      <c r="AD178" s="107">
        <v>84.619647058823531</v>
      </c>
      <c r="AE178" s="106">
        <v>1</v>
      </c>
      <c r="AF178" s="32" t="str">
        <f>IF(AE178=0,"",VLOOKUP(AE178,tab_tipo_expansao!$A$2:$B$4,2,0))</f>
        <v>opcional</v>
      </c>
      <c r="AG178" s="125">
        <v>2028</v>
      </c>
      <c r="AH178" s="125">
        <v>2100</v>
      </c>
      <c r="AI178" s="125">
        <v>30</v>
      </c>
      <c r="AJ178" s="530">
        <v>2558.4353758476263</v>
      </c>
      <c r="AK178" s="24">
        <f>AL178/constantes!$B$4</f>
        <v>4603.8955065629907</v>
      </c>
      <c r="AL178" s="33">
        <f t="shared" si="43"/>
        <v>17955.192475595664</v>
      </c>
      <c r="AM178" s="87">
        <v>2</v>
      </c>
      <c r="AN178" s="531">
        <v>0</v>
      </c>
      <c r="AO178" s="23"/>
      <c r="AP178" s="532">
        <f t="shared" si="37"/>
        <v>2558.4353758476263</v>
      </c>
      <c r="AR178" s="35">
        <f t="shared" si="44"/>
        <v>17955.192475595664</v>
      </c>
      <c r="AS178" s="36">
        <f ca="1">OFFSET(cod_desembolso!$A$1,AM178,23)</f>
        <v>1.1245293369208682</v>
      </c>
      <c r="AT178" s="37">
        <f ca="1">IF(AP178=0,0,AP178*(OFFSET(cod_desembolso!$A$1,AM178,23)))</f>
        <v>2877.0356367568234</v>
      </c>
      <c r="AU178" s="38">
        <f>(constantes!$B$3*(1+constantes!$B$3)^(AI178))/((1+constantes!$B$3)^(AI178)-1)</f>
        <v>8.8827433387272267E-2</v>
      </c>
      <c r="AV178" s="37">
        <f t="shared" ca="1" si="39"/>
        <v>262.6841913768252</v>
      </c>
      <c r="AW178" s="37">
        <f ca="1">IF(AP178=0,AY178/constantes!$B$3,AV178/constantes!$B$3)</f>
        <v>3283.5523922103148</v>
      </c>
      <c r="AX178" s="39">
        <f ca="1">IF(AP178=0,0,PV(constantes!$B$3,AI178,-AV178)*constantes!$B$3)</f>
        <v>236.5793371347948</v>
      </c>
      <c r="AY178" s="40">
        <f>constantes!$B$10*F178/1000</f>
        <v>7.1245000000000003</v>
      </c>
      <c r="AZ178" s="533">
        <f>constantes!$B$12</f>
        <v>0</v>
      </c>
      <c r="BA178" s="20">
        <v>318</v>
      </c>
      <c r="BB178" s="43"/>
      <c r="BC178" s="3" t="s">
        <v>2197</v>
      </c>
      <c r="BE178" s="534">
        <v>1</v>
      </c>
      <c r="BF178" s="535">
        <v>2027</v>
      </c>
      <c r="BG178" s="536">
        <v>1</v>
      </c>
      <c r="BH178" s="537">
        <v>2027</v>
      </c>
    </row>
    <row r="179" spans="1:60" ht="14.45">
      <c r="A179" s="125">
        <v>1178</v>
      </c>
      <c r="B179" s="125">
        <v>1178</v>
      </c>
      <c r="C179" s="538" t="s">
        <v>2428</v>
      </c>
      <c r="D179" s="538" t="s">
        <v>2428</v>
      </c>
      <c r="E179" s="546"/>
      <c r="F179" s="526">
        <v>128.69999999999999</v>
      </c>
      <c r="G179" s="3" t="s">
        <v>2231</v>
      </c>
      <c r="H179" s="3" t="s">
        <v>2429</v>
      </c>
      <c r="I179" s="3">
        <v>-49.034534999999998</v>
      </c>
      <c r="J179" s="3">
        <v>-24.650016999999998</v>
      </c>
      <c r="K179" s="539" t="s">
        <v>148</v>
      </c>
      <c r="L179" s="539" t="s">
        <v>148</v>
      </c>
      <c r="M179" s="662">
        <v>2</v>
      </c>
      <c r="N179" s="540"/>
      <c r="O179" s="529">
        <v>1.6379999999999999E-2</v>
      </c>
      <c r="P179" s="529">
        <v>6.1409999999999999E-2</v>
      </c>
      <c r="Q179" s="288">
        <f t="shared" si="40"/>
        <v>0.57349005161505173</v>
      </c>
      <c r="R179" s="30">
        <f t="shared" si="31"/>
        <v>73.808169642857152</v>
      </c>
      <c r="S179" s="30">
        <f t="shared" si="41"/>
        <v>54.891830357142837</v>
      </c>
      <c r="T179" s="107">
        <v>80.357142857142847</v>
      </c>
      <c r="U179" s="107">
        <v>74.109523809523822</v>
      </c>
      <c r="V179" s="107">
        <v>72.894166666666663</v>
      </c>
      <c r="W179" s="107">
        <v>67.871845238095247</v>
      </c>
      <c r="X179" s="288">
        <f t="shared" si="42"/>
        <v>0.71659490835961437</v>
      </c>
      <c r="Y179" s="289">
        <f t="shared" si="34"/>
        <v>92.225764705882355</v>
      </c>
      <c r="Z179" s="289">
        <f t="shared" si="35"/>
        <v>18.417595063025203</v>
      </c>
      <c r="AA179" s="107">
        <v>99.996627450980398</v>
      </c>
      <c r="AB179" s="107">
        <v>88.021411764705874</v>
      </c>
      <c r="AC179" s="107">
        <v>89.513568627450979</v>
      </c>
      <c r="AD179" s="107">
        <v>91.371450980392169</v>
      </c>
      <c r="AE179" s="106">
        <v>1</v>
      </c>
      <c r="AF179" s="32" t="str">
        <f>IF(AE179=0,"",VLOOKUP(AE179,tab_tipo_expansao!$A$2:$B$4,2,0))</f>
        <v>opcional</v>
      </c>
      <c r="AG179" s="125">
        <v>2030</v>
      </c>
      <c r="AH179" s="125">
        <v>2100</v>
      </c>
      <c r="AI179" s="125">
        <v>30</v>
      </c>
      <c r="AJ179" s="530">
        <v>855.95826724299332</v>
      </c>
      <c r="AK179" s="24">
        <f>AL179/constantes!$B$4</f>
        <v>1705.3339454565244</v>
      </c>
      <c r="AL179" s="33">
        <f t="shared" si="43"/>
        <v>6650.8023872804451</v>
      </c>
      <c r="AM179" s="87">
        <v>2</v>
      </c>
      <c r="AN179" s="531">
        <v>0</v>
      </c>
      <c r="AO179" s="23"/>
      <c r="AP179" s="532">
        <f t="shared" si="37"/>
        <v>855.95826724299332</v>
      </c>
      <c r="AR179" s="35">
        <f t="shared" si="44"/>
        <v>6650.8023872804461</v>
      </c>
      <c r="AS179" s="36">
        <f ca="1">OFFSET(cod_desembolso!$A$1,AM179,23)</f>
        <v>1.1245293369208682</v>
      </c>
      <c r="AT179" s="37">
        <f ca="1">IF(AP179=0,0,AP179*(OFFSET(cod_desembolso!$A$1,AM179,23)))</f>
        <v>962.55018269469861</v>
      </c>
      <c r="AU179" s="38">
        <f>(constantes!$B$3*(1+constantes!$B$3)^(AI179))/((1+constantes!$B$3)^(AI179)-1)</f>
        <v>8.8827433387272267E-2</v>
      </c>
      <c r="AV179" s="37">
        <f t="shared" ca="1" si="39"/>
        <v>91.9358622352201</v>
      </c>
      <c r="AW179" s="37">
        <f ca="1">IF(AP179=0,AY179/constantes!$B$3,AV179/constantes!$B$3)</f>
        <v>1149.1982779402513</v>
      </c>
      <c r="AX179" s="39">
        <f ca="1">IF(AP179=0,0,PV(constantes!$B$3,AI179,-AV179)*constantes!$B$3)</f>
        <v>82.799521480617912</v>
      </c>
      <c r="AY179" s="40">
        <f>constantes!$B$10*F179/1000</f>
        <v>6.4349999999999987</v>
      </c>
      <c r="AZ179" s="533">
        <f>constantes!$B$12</f>
        <v>0</v>
      </c>
      <c r="BA179" s="20">
        <v>318</v>
      </c>
      <c r="BB179" s="43"/>
      <c r="BC179" s="3" t="s">
        <v>2217</v>
      </c>
      <c r="BE179" s="534">
        <v>1</v>
      </c>
      <c r="BF179" s="535">
        <v>2035</v>
      </c>
      <c r="BG179" s="536">
        <v>3</v>
      </c>
      <c r="BH179" s="537">
        <v>2050</v>
      </c>
    </row>
    <row r="180" spans="1:60" ht="14.45" hidden="1">
      <c r="A180" s="125">
        <v>1179</v>
      </c>
      <c r="B180" s="125">
        <v>1179</v>
      </c>
      <c r="C180" s="538" t="s">
        <v>2430</v>
      </c>
      <c r="D180" s="538" t="s">
        <v>2430</v>
      </c>
      <c r="E180" s="546"/>
      <c r="F180" s="526">
        <v>76</v>
      </c>
      <c r="G180" s="3" t="s">
        <v>2199</v>
      </c>
      <c r="H180" s="3" t="s">
        <v>2200</v>
      </c>
      <c r="I180" s="3">
        <v>-53.081797000000002</v>
      </c>
      <c r="J180" s="3">
        <v>-15.250735000000001</v>
      </c>
      <c r="K180" s="539" t="s">
        <v>160</v>
      </c>
      <c r="L180" s="539" t="s">
        <v>160</v>
      </c>
      <c r="M180" s="662">
        <v>1</v>
      </c>
      <c r="N180" s="540"/>
      <c r="O180" s="529">
        <v>1.9820000000000001E-2</v>
      </c>
      <c r="P180" s="529">
        <v>5.2919999999999995E-2</v>
      </c>
      <c r="Q180" s="288">
        <f t="shared" si="40"/>
        <v>0.63927788220551374</v>
      </c>
      <c r="R180" s="30">
        <f t="shared" si="31"/>
        <v>48.585119047619045</v>
      </c>
      <c r="S180" s="30">
        <f t="shared" si="41"/>
        <v>27.414880952380955</v>
      </c>
      <c r="T180" s="107">
        <v>66.933333333333337</v>
      </c>
      <c r="U180" s="107">
        <v>51.30797619047619</v>
      </c>
      <c r="V180" s="107">
        <v>35.06</v>
      </c>
      <c r="W180" s="107">
        <v>41.039166666666667</v>
      </c>
      <c r="X180" s="288">
        <f t="shared" si="42"/>
        <v>0.69997613519091895</v>
      </c>
      <c r="Y180" s="289">
        <f t="shared" si="34"/>
        <v>53.198186274509837</v>
      </c>
      <c r="Z180" s="289">
        <f t="shared" si="35"/>
        <v>4.6130672268907915</v>
      </c>
      <c r="AA180" s="107">
        <v>68.90584313725499</v>
      </c>
      <c r="AB180" s="107">
        <v>55.644235294117664</v>
      </c>
      <c r="AC180" s="107">
        <v>38.169960784313744</v>
      </c>
      <c r="AD180" s="107">
        <v>50.072705882352942</v>
      </c>
      <c r="AE180" s="106">
        <v>1</v>
      </c>
      <c r="AF180" s="32" t="str">
        <f>IF(AE180=0,"",VLOOKUP(AE180,tab_tipo_expansao!$A$2:$B$4,2,0))</f>
        <v>opcional</v>
      </c>
      <c r="AG180" s="125">
        <v>2028</v>
      </c>
      <c r="AH180" s="125">
        <v>2100</v>
      </c>
      <c r="AI180" s="125">
        <v>30</v>
      </c>
      <c r="AJ180" s="530">
        <v>542.60614507525361</v>
      </c>
      <c r="AK180" s="24">
        <f>AL180/constantes!$B$4</f>
        <v>1830.6550103753495</v>
      </c>
      <c r="AL180" s="33">
        <f t="shared" si="43"/>
        <v>7139.5545404638633</v>
      </c>
      <c r="AM180" s="87">
        <v>2</v>
      </c>
      <c r="AN180" s="531">
        <v>0</v>
      </c>
      <c r="AO180" s="23"/>
      <c r="AP180" s="532">
        <f t="shared" si="37"/>
        <v>542.60614507525361</v>
      </c>
      <c r="AR180" s="35">
        <f t="shared" si="44"/>
        <v>7139.5545404638624</v>
      </c>
      <c r="AS180" s="36">
        <f ca="1">OFFSET(cod_desembolso!$A$1,AM180,23)</f>
        <v>1.1245293369208682</v>
      </c>
      <c r="AT180" s="37">
        <f ca="1">IF(AP180=0,0,AP180*(OFFSET(cod_desembolso!$A$1,AM180,23)))</f>
        <v>610.1765285306634</v>
      </c>
      <c r="AU180" s="38">
        <f>(constantes!$B$3*(1+constantes!$B$3)^(AI180))/((1+constantes!$B$3)^(AI180)-1)</f>
        <v>8.8827433387272267E-2</v>
      </c>
      <c r="AV180" s="37">
        <f t="shared" ca="1" si="39"/>
        <v>58.000414942534533</v>
      </c>
      <c r="AW180" s="37">
        <f ca="1">IF(AP180=0,AY180/constantes!$B$3,AV180/constantes!$B$3)</f>
        <v>725.00518678168169</v>
      </c>
      <c r="AX180" s="39">
        <f ca="1">IF(AP180=0,0,PV(constantes!$B$3,AI180,-AV180)*constantes!$B$3)</f>
        <v>52.23648841876382</v>
      </c>
      <c r="AY180" s="40">
        <f>constantes!$B$10*F180/1000</f>
        <v>3.8</v>
      </c>
      <c r="AZ180" s="533">
        <f>constantes!$B$12</f>
        <v>0</v>
      </c>
      <c r="BA180" s="20">
        <v>318</v>
      </c>
      <c r="BB180" s="43"/>
      <c r="BC180" s="3" t="s">
        <v>2197</v>
      </c>
      <c r="BE180" s="534">
        <v>1</v>
      </c>
      <c r="BF180" s="535">
        <v>2027</v>
      </c>
      <c r="BG180" s="536">
        <v>1</v>
      </c>
      <c r="BH180" s="537">
        <v>2027</v>
      </c>
    </row>
    <row r="181" spans="1:60" ht="14.45">
      <c r="A181" s="125">
        <v>1180</v>
      </c>
      <c r="B181" s="125">
        <v>1180</v>
      </c>
      <c r="C181" s="538" t="s">
        <v>2431</v>
      </c>
      <c r="D181" s="538" t="s">
        <v>2431</v>
      </c>
      <c r="E181" s="546"/>
      <c r="F181" s="526">
        <v>408</v>
      </c>
      <c r="G181" s="3" t="s">
        <v>2199</v>
      </c>
      <c r="H181" s="3" t="s">
        <v>2268</v>
      </c>
      <c r="I181" s="3">
        <v>-52.622920000000001</v>
      </c>
      <c r="J181" s="3">
        <v>-16.285907999999999</v>
      </c>
      <c r="K181" s="539" t="s">
        <v>2005</v>
      </c>
      <c r="L181" s="539" t="s">
        <v>2005</v>
      </c>
      <c r="M181" s="662">
        <v>1</v>
      </c>
      <c r="N181" s="540"/>
      <c r="O181" s="529">
        <v>1.6379999999999999E-2</v>
      </c>
      <c r="P181" s="529">
        <v>6.1409999999999999E-2</v>
      </c>
      <c r="Q181" s="288">
        <f t="shared" si="40"/>
        <v>0.46363470909197013</v>
      </c>
      <c r="R181" s="30">
        <f t="shared" si="31"/>
        <v>189.16296130952381</v>
      </c>
      <c r="S181" s="30">
        <f t="shared" si="41"/>
        <v>218.83703869047619</v>
      </c>
      <c r="T181" s="107">
        <v>195.61666666666665</v>
      </c>
      <c r="U181" s="107">
        <v>192.3609523809524</v>
      </c>
      <c r="V181" s="107">
        <v>164.33041666666665</v>
      </c>
      <c r="W181" s="107">
        <v>204.34380952380954</v>
      </c>
      <c r="X181" s="288">
        <f t="shared" si="42"/>
        <v>0.54359205594002313</v>
      </c>
      <c r="Y181" s="289">
        <f t="shared" si="34"/>
        <v>221.78555882352944</v>
      </c>
      <c r="Z181" s="289">
        <f t="shared" si="35"/>
        <v>32.622597514005633</v>
      </c>
      <c r="AA181" s="107">
        <v>240.94294117647061</v>
      </c>
      <c r="AB181" s="107">
        <v>197.58227450980394</v>
      </c>
      <c r="AC181" s="107">
        <v>206.083568627451</v>
      </c>
      <c r="AD181" s="107">
        <v>242.53345098039219</v>
      </c>
      <c r="AE181" s="106">
        <v>1</v>
      </c>
      <c r="AF181" s="32" t="str">
        <f>IF(AE181=0,"",VLOOKUP(AE181,tab_tipo_expansao!$A$2:$B$4,2,0))</f>
        <v>opcional</v>
      </c>
      <c r="AG181" s="125">
        <v>2030</v>
      </c>
      <c r="AH181" s="125">
        <v>2100</v>
      </c>
      <c r="AI181" s="125">
        <v>30</v>
      </c>
      <c r="AJ181" s="530">
        <v>2490.798592417671</v>
      </c>
      <c r="AK181" s="24">
        <f>AL181/constantes!$B$4</f>
        <v>1565.3585925199038</v>
      </c>
      <c r="AL181" s="33">
        <f t="shared" si="43"/>
        <v>6104.8985108276247</v>
      </c>
      <c r="AM181" s="87">
        <v>3</v>
      </c>
      <c r="AN181" s="531">
        <v>0</v>
      </c>
      <c r="AO181" s="23"/>
      <c r="AP181" s="532">
        <f t="shared" si="37"/>
        <v>2490.798592417671</v>
      </c>
      <c r="AR181" s="35">
        <f t="shared" si="44"/>
        <v>6104.8985108276247</v>
      </c>
      <c r="AS181" s="36">
        <f ca="1">OFFSET(cod_desembolso!$A$1,AM181,23)</f>
        <v>1.1255071012622904</v>
      </c>
      <c r="AT181" s="37">
        <f ca="1">IF(AP181=0,0,AP181*(OFFSET(cod_desembolso!$A$1,AM181,23)))</f>
        <v>2803.411503580206</v>
      </c>
      <c r="AU181" s="38">
        <f>(constantes!$B$3*(1+constantes!$B$3)^(AI181))/((1+constantes!$B$3)^(AI181)-1)</f>
        <v>8.8827433387272267E-2</v>
      </c>
      <c r="AV181" s="37">
        <f t="shared" ca="1" si="39"/>
        <v>269.41984859138353</v>
      </c>
      <c r="AW181" s="37">
        <f ca="1">IF(AP181=0,AY181/constantes!$B$3,AV181/constantes!$B$3)</f>
        <v>3367.7481073922941</v>
      </c>
      <c r="AX181" s="39">
        <f ca="1">IF(AP181=0,0,PV(constantes!$B$3,AI181,-AV181)*constantes!$B$3)</f>
        <v>242.64562270240052</v>
      </c>
      <c r="AY181" s="40">
        <f>constantes!$B$10*F181/1000</f>
        <v>20.399999999999999</v>
      </c>
      <c r="AZ181" s="533">
        <f>constantes!$B$12</f>
        <v>0</v>
      </c>
      <c r="BA181" s="20">
        <v>318</v>
      </c>
      <c r="BB181" s="43"/>
      <c r="BC181" s="3" t="s">
        <v>2183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4.45" hidden="1">
      <c r="A182" s="125">
        <v>1181</v>
      </c>
      <c r="B182" s="125">
        <v>1181</v>
      </c>
      <c r="C182" s="538" t="s">
        <v>2432</v>
      </c>
      <c r="D182" s="538" t="s">
        <v>2432</v>
      </c>
      <c r="E182" s="546"/>
      <c r="F182" s="526">
        <v>38</v>
      </c>
      <c r="G182" s="3" t="s">
        <v>2231</v>
      </c>
      <c r="H182" s="3" t="s">
        <v>2433</v>
      </c>
      <c r="I182" s="3">
        <v>-41.147545999999998</v>
      </c>
      <c r="J182" s="3">
        <v>-19.492186</v>
      </c>
      <c r="K182" s="539" t="s">
        <v>152</v>
      </c>
      <c r="L182" s="539" t="s">
        <v>152</v>
      </c>
      <c r="M182" s="662">
        <v>1</v>
      </c>
      <c r="N182" s="540"/>
      <c r="O182" s="529">
        <v>2.068E-2</v>
      </c>
      <c r="P182" s="529">
        <v>4.6600000000000003E-2</v>
      </c>
      <c r="Q182" s="288">
        <f t="shared" si="40"/>
        <v>0.60530740914786962</v>
      </c>
      <c r="R182" s="30">
        <f t="shared" si="31"/>
        <v>23.001681547619047</v>
      </c>
      <c r="S182" s="30">
        <f t="shared" si="41"/>
        <v>14.998318452380953</v>
      </c>
      <c r="T182" s="107">
        <v>32.133333333333333</v>
      </c>
      <c r="U182" s="107">
        <v>22.627321428571431</v>
      </c>
      <c r="V182" s="107">
        <v>13.5</v>
      </c>
      <c r="W182" s="107">
        <v>23.74607142857143</v>
      </c>
      <c r="X182" s="288">
        <f t="shared" si="42"/>
        <v>0.60993317853457185</v>
      </c>
      <c r="Y182" s="289">
        <f t="shared" si="34"/>
        <v>23.17746078431373</v>
      </c>
      <c r="Z182" s="289">
        <f t="shared" si="35"/>
        <v>0.17577923669468376</v>
      </c>
      <c r="AA182" s="107">
        <v>32.104196078431386</v>
      </c>
      <c r="AB182" s="107">
        <v>22.139215686274511</v>
      </c>
      <c r="AC182" s="107">
        <v>13.287058823529415</v>
      </c>
      <c r="AD182" s="107">
        <v>25.179372549019604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380</v>
      </c>
      <c r="AK182" s="24">
        <f>AL182/constantes!$B$4</f>
        <v>2564.102564102564</v>
      </c>
      <c r="AL182" s="33">
        <f t="shared" si="43"/>
        <v>10000</v>
      </c>
      <c r="AM182" s="87">
        <v>2</v>
      </c>
      <c r="AN182" s="531">
        <v>0</v>
      </c>
      <c r="AO182" s="23"/>
      <c r="AP182" s="532">
        <f t="shared" si="37"/>
        <v>380</v>
      </c>
      <c r="AR182" s="35">
        <f t="shared" si="44"/>
        <v>10000</v>
      </c>
      <c r="AS182" s="36">
        <f ca="1">OFFSET(cod_desembolso!$A$1,AM182,23)</f>
        <v>1.1245293369208682</v>
      </c>
      <c r="AT182" s="37">
        <f ca="1">IF(AP182=0,0,AP182*(OFFSET(cod_desembolso!$A$1,AM182,23)))</f>
        <v>427.32114802992993</v>
      </c>
      <c r="AU182" s="38">
        <f>(constantes!$B$3*(1+constantes!$B$3)^(AI182))/((1+constantes!$B$3)^(AI182)-1)</f>
        <v>8.8827433387272267E-2</v>
      </c>
      <c r="AV182" s="37">
        <f t="shared" ca="1" si="39"/>
        <v>39.857840811601314</v>
      </c>
      <c r="AW182" s="37">
        <f ca="1">IF(AP182=0,AY182/constantes!$B$3,AV182/constantes!$B$3)</f>
        <v>498.22301014501642</v>
      </c>
      <c r="AX182" s="39">
        <f ca="1">IF(AP182=0,0,PV(constantes!$B$3,AI182,-AV182)*constantes!$B$3)</f>
        <v>35.896874910549776</v>
      </c>
      <c r="AY182" s="40">
        <f>constantes!$B$10*F182/1000</f>
        <v>1.9</v>
      </c>
      <c r="AZ182" s="533">
        <f>constantes!$B$12</f>
        <v>0</v>
      </c>
      <c r="BA182" s="20">
        <v>318</v>
      </c>
      <c r="BB182" s="43"/>
      <c r="BC182" s="3" t="s">
        <v>2197</v>
      </c>
      <c r="BE182" s="534">
        <v>1</v>
      </c>
      <c r="BF182" s="535">
        <v>2027</v>
      </c>
      <c r="BG182" s="536">
        <v>1</v>
      </c>
      <c r="BH182" s="537">
        <v>2027</v>
      </c>
    </row>
    <row r="183" spans="1:60" ht="14.45">
      <c r="A183" s="125">
        <v>1182</v>
      </c>
      <c r="B183" s="125">
        <v>1182</v>
      </c>
      <c r="C183" s="538" t="s">
        <v>2434</v>
      </c>
      <c r="D183" s="538" t="s">
        <v>2434</v>
      </c>
      <c r="E183" s="546"/>
      <c r="F183" s="526">
        <v>252</v>
      </c>
      <c r="G183" s="3" t="s">
        <v>2181</v>
      </c>
      <c r="H183" s="3" t="s">
        <v>2228</v>
      </c>
      <c r="I183" s="3">
        <v>-58.178508999999998</v>
      </c>
      <c r="J183" s="3">
        <v>-10.557206000000001</v>
      </c>
      <c r="K183" s="539" t="s">
        <v>160</v>
      </c>
      <c r="L183" s="539" t="s">
        <v>160</v>
      </c>
      <c r="M183" s="662">
        <v>1</v>
      </c>
      <c r="N183" s="540"/>
      <c r="O183" s="529">
        <v>1.6379999999999999E-2</v>
      </c>
      <c r="P183" s="529">
        <v>6.1409999999999999E-2</v>
      </c>
      <c r="Q183" s="288">
        <f t="shared" si="40"/>
        <v>0.55078951719576719</v>
      </c>
      <c r="R183" s="30">
        <f t="shared" si="31"/>
        <v>138.79895833333333</v>
      </c>
      <c r="S183" s="30">
        <f t="shared" si="41"/>
        <v>113.20104166666667</v>
      </c>
      <c r="T183" s="107">
        <v>202.78</v>
      </c>
      <c r="U183" s="107">
        <v>180.1679761904762</v>
      </c>
      <c r="V183" s="107">
        <v>72.969583333333333</v>
      </c>
      <c r="W183" s="107">
        <v>99.27827380952381</v>
      </c>
      <c r="X183" s="288">
        <f t="shared" si="42"/>
        <v>0.54165522875816985</v>
      </c>
      <c r="Y183" s="289">
        <f t="shared" si="34"/>
        <v>136.49711764705881</v>
      </c>
      <c r="Z183" s="289">
        <f t="shared" si="35"/>
        <v>-2.3018406862745167</v>
      </c>
      <c r="AA183" s="107">
        <v>206.36741176470591</v>
      </c>
      <c r="AB183" s="107">
        <v>165.77745098039216</v>
      </c>
      <c r="AC183" s="107">
        <v>70.776352941176484</v>
      </c>
      <c r="AD183" s="107">
        <v>103.06725490196078</v>
      </c>
      <c r="AE183" s="106">
        <v>1</v>
      </c>
      <c r="AF183" s="32" t="str">
        <f>IF(AE183=0,"",VLOOKUP(AE183,tab_tipo_expansao!$A$2:$B$4,2,0))</f>
        <v>opcional</v>
      </c>
      <c r="AG183" s="125">
        <v>2030</v>
      </c>
      <c r="AH183" s="125">
        <v>2100</v>
      </c>
      <c r="AI183" s="125">
        <v>30</v>
      </c>
      <c r="AJ183" s="530">
        <v>4088.5869013441875</v>
      </c>
      <c r="AK183" s="24">
        <f>AL183/constantes!$B$4</f>
        <v>4160.1413322590433</v>
      </c>
      <c r="AL183" s="33">
        <f t="shared" si="43"/>
        <v>16224.551195810267</v>
      </c>
      <c r="AM183" s="87">
        <v>2</v>
      </c>
      <c r="AN183" s="531">
        <v>0</v>
      </c>
      <c r="AO183" s="23"/>
      <c r="AP183" s="532">
        <f t="shared" si="37"/>
        <v>4088.5869013441875</v>
      </c>
      <c r="AR183" s="35">
        <f t="shared" si="44"/>
        <v>16224.551195810269</v>
      </c>
      <c r="AS183" s="36">
        <f ca="1">OFFSET(cod_desembolso!$A$1,AM183,23)</f>
        <v>1.1245293369208682</v>
      </c>
      <c r="AT183" s="37">
        <f ca="1">IF(AP183=0,0,AP183*(OFFSET(cod_desembolso!$A$1,AM183,23)))</f>
        <v>4597.735917111926</v>
      </c>
      <c r="AU183" s="38">
        <f>(constantes!$B$3*(1+constantes!$B$3)^(AI183))/((1+constantes!$B$3)^(AI183)-1)</f>
        <v>8.8827433387272267E-2</v>
      </c>
      <c r="AV183" s="37">
        <f t="shared" ca="1" si="39"/>
        <v>421.00508090952877</v>
      </c>
      <c r="AW183" s="37">
        <f ca="1">IF(AP183=0,AY183/constantes!$B$3,AV183/constantes!$B$3)</f>
        <v>5262.5635113691096</v>
      </c>
      <c r="AX183" s="39">
        <f ca="1">IF(AP183=0,0,PV(constantes!$B$3,AI183,-AV183)*constantes!$B$3)</f>
        <v>379.16671897882662</v>
      </c>
      <c r="AY183" s="40">
        <f>constantes!$B$10*F183/1000</f>
        <v>12.6</v>
      </c>
      <c r="AZ183" s="533">
        <f>constantes!$B$12</f>
        <v>0</v>
      </c>
      <c r="BA183" s="20">
        <v>318</v>
      </c>
      <c r="BB183" s="43"/>
      <c r="BC183" s="3" t="s">
        <v>2217</v>
      </c>
      <c r="BE183" s="534">
        <v>1</v>
      </c>
      <c r="BF183" s="535">
        <v>2035</v>
      </c>
      <c r="BG183" s="536">
        <v>3</v>
      </c>
      <c r="BH183" s="537">
        <v>2050</v>
      </c>
    </row>
    <row r="184" spans="1:60" ht="14.45">
      <c r="A184" s="125">
        <v>1183</v>
      </c>
      <c r="B184" s="125">
        <v>1183</v>
      </c>
      <c r="C184" s="538" t="s">
        <v>2435</v>
      </c>
      <c r="D184" s="538" t="s">
        <v>2435</v>
      </c>
      <c r="E184" s="546"/>
      <c r="F184" s="526">
        <v>510</v>
      </c>
      <c r="G184" s="3" t="s">
        <v>2181</v>
      </c>
      <c r="H184" s="3" t="s">
        <v>2255</v>
      </c>
      <c r="I184" s="3">
        <v>-58.394278</v>
      </c>
      <c r="J184" s="3">
        <v>-10.524333</v>
      </c>
      <c r="K184" s="539" t="s">
        <v>160</v>
      </c>
      <c r="L184" s="539" t="s">
        <v>160</v>
      </c>
      <c r="M184" s="662">
        <v>10</v>
      </c>
      <c r="N184" s="540"/>
      <c r="O184" s="529">
        <v>1.9820000000000001E-2</v>
      </c>
      <c r="P184" s="529">
        <v>5.2919999999999995E-2</v>
      </c>
      <c r="Q184" s="288">
        <f t="shared" si="40"/>
        <v>0.59207764355742298</v>
      </c>
      <c r="R184" s="30">
        <f t="shared" si="31"/>
        <v>301.95959821428573</v>
      </c>
      <c r="S184" s="30">
        <f t="shared" si="41"/>
        <v>208.04040178571427</v>
      </c>
      <c r="T184" s="107">
        <v>404.78952380952381</v>
      </c>
      <c r="U184" s="107">
        <v>386.57327380952376</v>
      </c>
      <c r="V184" s="107">
        <v>199.66041666666669</v>
      </c>
      <c r="W184" s="107">
        <v>216.81517857142856</v>
      </c>
      <c r="X184" s="288">
        <f t="shared" si="42"/>
        <v>0.5692422914263745</v>
      </c>
      <c r="Y184" s="289">
        <f t="shared" si="34"/>
        <v>290.31356862745099</v>
      </c>
      <c r="Z184" s="289">
        <f t="shared" si="35"/>
        <v>-11.646029586834743</v>
      </c>
      <c r="AA184" s="107">
        <v>405.77941176470586</v>
      </c>
      <c r="AB184" s="107">
        <v>355.60203921568626</v>
      </c>
      <c r="AC184" s="107">
        <v>181.89188235294117</v>
      </c>
      <c r="AD184" s="107">
        <v>217.98094117647057</v>
      </c>
      <c r="AE184" s="106">
        <v>1</v>
      </c>
      <c r="AF184" s="32" t="str">
        <f>IF(AE184=0,"",VLOOKUP(AE184,tab_tipo_expansao!$A$2:$B$4,2,0))</f>
        <v>opcional</v>
      </c>
      <c r="AG184" s="125">
        <v>2030</v>
      </c>
      <c r="AH184" s="125">
        <v>2100</v>
      </c>
      <c r="AI184" s="125">
        <v>30</v>
      </c>
      <c r="AJ184" s="530">
        <v>6045.6071863785164</v>
      </c>
      <c r="AK184" s="24">
        <f>AL184/constantes!$B$4</f>
        <v>3039.5209584607928</v>
      </c>
      <c r="AL184" s="33">
        <f t="shared" si="43"/>
        <v>11854.131737997091</v>
      </c>
      <c r="AM184" s="87">
        <v>3</v>
      </c>
      <c r="AN184" s="531">
        <v>0</v>
      </c>
      <c r="AO184" s="23"/>
      <c r="AP184" s="532">
        <f t="shared" si="37"/>
        <v>6045.6071863785164</v>
      </c>
      <c r="AR184" s="35">
        <f t="shared" si="44"/>
        <v>11854.131737997091</v>
      </c>
      <c r="AS184" s="36">
        <f ca="1">OFFSET(cod_desembolso!$A$1,AM184,23)</f>
        <v>1.1255071012622904</v>
      </c>
      <c r="AT184" s="37">
        <f ca="1">IF(AP184=0,0,AP184*(OFFSET(cod_desembolso!$A$1,AM184,23)))</f>
        <v>6804.3738197113553</v>
      </c>
      <c r="AU184" s="38">
        <f>(constantes!$B$3*(1+constantes!$B$3)^(AI184))/((1+constantes!$B$3)^(AI184)-1)</f>
        <v>8.8827433387272267E-2</v>
      </c>
      <c r="AV184" s="37">
        <f t="shared" ca="1" si="39"/>
        <v>629.91506221250972</v>
      </c>
      <c r="AW184" s="37">
        <f ca="1">IF(AP184=0,AY184/constantes!$B$3,AV184/constantes!$B$3)</f>
        <v>7873.9382776563716</v>
      </c>
      <c r="AX184" s="39">
        <f ca="1">IF(AP184=0,0,PV(constantes!$B$3,AI184,-AV184)*constantes!$B$3)</f>
        <v>567.31578359688854</v>
      </c>
      <c r="AY184" s="40">
        <f>constantes!$B$10*F184/1000</f>
        <v>25.5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4.45">
      <c r="A185" s="125">
        <v>1184</v>
      </c>
      <c r="B185" s="125">
        <v>1184</v>
      </c>
      <c r="C185" s="538" t="s">
        <v>2436</v>
      </c>
      <c r="D185" s="538" t="s">
        <v>2436</v>
      </c>
      <c r="E185" s="546"/>
      <c r="F185" s="526">
        <v>620</v>
      </c>
      <c r="G185" s="3" t="s">
        <v>2199</v>
      </c>
      <c r="H185" s="3" t="s">
        <v>2318</v>
      </c>
      <c r="I185" s="3">
        <v>-48.013154999999998</v>
      </c>
      <c r="J185" s="3">
        <v>-8.0801049999999996</v>
      </c>
      <c r="K185" s="539" t="s">
        <v>1983</v>
      </c>
      <c r="L185" s="539" t="s">
        <v>1983</v>
      </c>
      <c r="M185" s="662">
        <v>1</v>
      </c>
      <c r="N185" s="540"/>
      <c r="O185" s="529">
        <v>1.6379999999999999E-2</v>
      </c>
      <c r="P185" s="529">
        <v>6.1409999999999999E-2</v>
      </c>
      <c r="Q185" s="288">
        <f t="shared" si="40"/>
        <v>0.6829794546850998</v>
      </c>
      <c r="R185" s="30">
        <f t="shared" si="31"/>
        <v>423.44726190476189</v>
      </c>
      <c r="S185" s="30">
        <f t="shared" si="41"/>
        <v>196.55273809523811</v>
      </c>
      <c r="T185" s="107">
        <v>518.28190476190468</v>
      </c>
      <c r="U185" s="107">
        <v>410.4997619047619</v>
      </c>
      <c r="V185" s="107">
        <v>341.38291666666669</v>
      </c>
      <c r="W185" s="107">
        <v>423.62446428571428</v>
      </c>
      <c r="X185" s="288">
        <f t="shared" si="42"/>
        <v>0.70783659076533811</v>
      </c>
      <c r="Y185" s="289">
        <f t="shared" si="34"/>
        <v>438.85868627450964</v>
      </c>
      <c r="Z185" s="289">
        <f t="shared" si="35"/>
        <v>15.411424369747749</v>
      </c>
      <c r="AA185" s="107">
        <v>560.44980392156833</v>
      </c>
      <c r="AB185" s="107">
        <v>458.50109803921549</v>
      </c>
      <c r="AC185" s="107">
        <v>317.03486274509805</v>
      </c>
      <c r="AD185" s="107">
        <v>419.44898039215678</v>
      </c>
      <c r="AE185" s="106">
        <v>1</v>
      </c>
      <c r="AF185" s="32" t="str">
        <f>IF(AE185=0,"",VLOOKUP(AE185,tab_tipo_expansao!$A$2:$B$4,2,0))</f>
        <v>opcional</v>
      </c>
      <c r="AG185" s="125">
        <v>2030</v>
      </c>
      <c r="AH185" s="125">
        <v>2100</v>
      </c>
      <c r="AI185" s="125">
        <v>30</v>
      </c>
      <c r="AJ185" s="530">
        <v>4787.1118085904909</v>
      </c>
      <c r="AK185" s="24">
        <f>AL185/constantes!$B$4</f>
        <v>1979.7815585568612</v>
      </c>
      <c r="AL185" s="33">
        <f t="shared" si="43"/>
        <v>7721.1480783717589</v>
      </c>
      <c r="AM185" s="87">
        <v>3</v>
      </c>
      <c r="AN185" s="531">
        <v>0</v>
      </c>
      <c r="AO185" s="23"/>
      <c r="AP185" s="532">
        <f t="shared" si="37"/>
        <v>4787.1118085904909</v>
      </c>
      <c r="AR185" s="35">
        <f t="shared" si="44"/>
        <v>7721.1480783717598</v>
      </c>
      <c r="AS185" s="36">
        <f ca="1">OFFSET(cod_desembolso!$A$1,AM185,23)</f>
        <v>1.1255071012622904</v>
      </c>
      <c r="AT185" s="37">
        <f ca="1">IF(AP185=0,0,AP185*(OFFSET(cod_desembolso!$A$1,AM185,23)))</f>
        <v>5387.9283351051636</v>
      </c>
      <c r="AU185" s="38">
        <f>(constantes!$B$3*(1+constantes!$B$3)^(AI185))/((1+constantes!$B$3)^(AI185)-1)</f>
        <v>8.8827433387272267E-2</v>
      </c>
      <c r="AV185" s="37">
        <f t="shared" ca="1" si="39"/>
        <v>509.59584528195069</v>
      </c>
      <c r="AW185" s="37">
        <f ca="1">IF(AP185=0,AY185/constantes!$B$3,AV185/constantes!$B$3)</f>
        <v>6369.9480660243835</v>
      </c>
      <c r="AX185" s="39">
        <f ca="1">IF(AP185=0,0,PV(constantes!$B$3,AI185,-AV185)*constantes!$B$3)</f>
        <v>458.95356949936928</v>
      </c>
      <c r="AY185" s="40">
        <f>constantes!$B$10*F185/1000</f>
        <v>31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4.45">
      <c r="A186" s="125">
        <v>1185</v>
      </c>
      <c r="B186" s="125">
        <v>1185</v>
      </c>
      <c r="C186" s="538" t="s">
        <v>2437</v>
      </c>
      <c r="D186" s="538" t="s">
        <v>2437</v>
      </c>
      <c r="E186" s="546"/>
      <c r="F186" s="526">
        <v>67.8</v>
      </c>
      <c r="G186" s="3" t="s">
        <v>2196</v>
      </c>
      <c r="H186" s="3" t="s">
        <v>2341</v>
      </c>
      <c r="I186" s="3">
        <v>-52.105145</v>
      </c>
      <c r="J186" s="3">
        <v>-23.705766000000001</v>
      </c>
      <c r="K186" s="539" t="s">
        <v>153</v>
      </c>
      <c r="L186" s="539" t="s">
        <v>153</v>
      </c>
      <c r="M186" s="662">
        <v>2</v>
      </c>
      <c r="N186" s="540"/>
      <c r="O186" s="529">
        <v>1.9820000000000001E-2</v>
      </c>
      <c r="P186" s="529">
        <v>5.2919999999999995E-2</v>
      </c>
      <c r="Q186" s="288">
        <f t="shared" si="40"/>
        <v>0.53782746874561038</v>
      </c>
      <c r="R186" s="30">
        <f t="shared" si="31"/>
        <v>36.464702380952382</v>
      </c>
      <c r="S186" s="30">
        <f t="shared" si="41"/>
        <v>31.335297619047616</v>
      </c>
      <c r="T186" s="107">
        <v>37.99</v>
      </c>
      <c r="U186" s="107">
        <v>36.78339285714285</v>
      </c>
      <c r="V186" s="107">
        <v>32.016250000000007</v>
      </c>
      <c r="W186" s="107">
        <v>39.069166666666668</v>
      </c>
      <c r="X186" s="288">
        <f t="shared" si="42"/>
        <v>0.62590433223436903</v>
      </c>
      <c r="Y186" s="289">
        <f t="shared" si="34"/>
        <v>42.436313725490216</v>
      </c>
      <c r="Z186" s="289">
        <f t="shared" si="35"/>
        <v>5.971611344537834</v>
      </c>
      <c r="AA186" s="107">
        <v>46.595411764705908</v>
      </c>
      <c r="AB186" s="107">
        <v>38.63219607843137</v>
      </c>
      <c r="AC186" s="107">
        <v>38.917294117647081</v>
      </c>
      <c r="AD186" s="107">
        <v>45.600352941176503</v>
      </c>
      <c r="AE186" s="106">
        <v>1</v>
      </c>
      <c r="AF186" s="32" t="str">
        <f>IF(AE186=0,"",VLOOKUP(AE186,tab_tipo_expansao!$A$2:$B$4,2,0))</f>
        <v>opcional</v>
      </c>
      <c r="AG186" s="125">
        <v>2030</v>
      </c>
      <c r="AH186" s="125">
        <v>2100</v>
      </c>
      <c r="AI186" s="125">
        <v>30</v>
      </c>
      <c r="AJ186" s="530">
        <v>748.31871284519434</v>
      </c>
      <c r="AK186" s="24">
        <f>AL186/constantes!$B$4</f>
        <v>2830.0382453868629</v>
      </c>
      <c r="AL186" s="33">
        <f t="shared" si="43"/>
        <v>11037.149157008766</v>
      </c>
      <c r="AM186" s="87">
        <v>2</v>
      </c>
      <c r="AN186" s="531">
        <v>0</v>
      </c>
      <c r="AO186" s="23"/>
      <c r="AP186" s="532">
        <f t="shared" si="37"/>
        <v>748.31871284519434</v>
      </c>
      <c r="AR186" s="35">
        <f t="shared" si="44"/>
        <v>11037.149157008767</v>
      </c>
      <c r="AS186" s="36">
        <f ca="1">OFFSET(cod_desembolso!$A$1,AM186,23)</f>
        <v>1.1245293369208682</v>
      </c>
      <c r="AT186" s="37">
        <f ca="1">IF(AP186=0,0,AP186*(OFFSET(cod_desembolso!$A$1,AM186,23)))</f>
        <v>841.50634596128396</v>
      </c>
      <c r="AU186" s="38">
        <f>(constantes!$B$3*(1+constantes!$B$3)^(AI186))/((1+constantes!$B$3)^(AI186)-1)</f>
        <v>8.8827433387272267E-2</v>
      </c>
      <c r="AV186" s="37">
        <f t="shared" ca="1" si="39"/>
        <v>78.138848890842837</v>
      </c>
      <c r="AW186" s="37">
        <f ca="1">IF(AP186=0,AY186/constantes!$B$3,AV186/constantes!$B$3)</f>
        <v>976.73561113553546</v>
      </c>
      <c r="AX186" s="39">
        <f ca="1">IF(AP186=0,0,PV(constantes!$B$3,AI186,-AV186)*constantes!$B$3)</f>
        <v>70.373618519558875</v>
      </c>
      <c r="AY186" s="40">
        <f>constantes!$B$10*F186/1000</f>
        <v>3.39</v>
      </c>
      <c r="AZ186" s="533">
        <f>constantes!$B$12</f>
        <v>0</v>
      </c>
      <c r="BA186" s="20">
        <v>318</v>
      </c>
      <c r="BB186" s="43"/>
      <c r="BC186" s="3" t="s">
        <v>2185</v>
      </c>
      <c r="BE186" s="534">
        <v>1</v>
      </c>
      <c r="BF186" s="535">
        <v>2030</v>
      </c>
      <c r="BG186" s="536">
        <v>1</v>
      </c>
      <c r="BH186" s="537">
        <v>2030</v>
      </c>
    </row>
    <row r="187" spans="1:60" ht="14.45" hidden="1">
      <c r="A187" s="125">
        <v>1186</v>
      </c>
      <c r="B187" s="125">
        <v>1186</v>
      </c>
      <c r="C187" s="538" t="s">
        <v>2438</v>
      </c>
      <c r="D187" s="538" t="s">
        <v>2438</v>
      </c>
      <c r="E187" s="546"/>
      <c r="F187" s="526">
        <v>134</v>
      </c>
      <c r="G187" s="3" t="s">
        <v>2246</v>
      </c>
      <c r="H187" s="3" t="s">
        <v>2246</v>
      </c>
      <c r="I187" s="3">
        <v>-44.568579999999997</v>
      </c>
      <c r="J187" s="3">
        <v>-7.2323339999999998</v>
      </c>
      <c r="K187" s="539" t="s">
        <v>1985</v>
      </c>
      <c r="L187" s="539" t="s">
        <v>1985</v>
      </c>
      <c r="M187" s="662">
        <v>3</v>
      </c>
      <c r="N187" s="540"/>
      <c r="O187" s="529">
        <v>1.6379999999999999E-2</v>
      </c>
      <c r="P187" s="529">
        <v>6.1409999999999999E-2</v>
      </c>
      <c r="Q187" s="288">
        <f t="shared" si="40"/>
        <v>0.62194607320540152</v>
      </c>
      <c r="R187" s="30">
        <f t="shared" si="31"/>
        <v>83.34077380952381</v>
      </c>
      <c r="S187" s="30">
        <f t="shared" si="41"/>
        <v>50.65922619047619</v>
      </c>
      <c r="T187" s="107">
        <v>105.01714285714286</v>
      </c>
      <c r="U187" s="107">
        <v>83.256785714285712</v>
      </c>
      <c r="V187" s="107">
        <v>56.24</v>
      </c>
      <c r="W187" s="107">
        <v>88.849166666666676</v>
      </c>
      <c r="X187" s="288">
        <f t="shared" si="42"/>
        <v>0.6462346356453027</v>
      </c>
      <c r="Y187" s="289">
        <f t="shared" si="34"/>
        <v>86.595441176470558</v>
      </c>
      <c r="Z187" s="289">
        <f t="shared" si="35"/>
        <v>3.2546673669467481</v>
      </c>
      <c r="AA187" s="107">
        <v>117.82541176470581</v>
      </c>
      <c r="AB187" s="107">
        <v>92.403450980392108</v>
      </c>
      <c r="AC187" s="107">
        <v>49.57050980392156</v>
      </c>
      <c r="AD187" s="107">
        <v>86.582392156862781</v>
      </c>
      <c r="AE187" s="106">
        <v>1</v>
      </c>
      <c r="AF187" s="32" t="str">
        <f>IF(AE187=0,"",VLOOKUP(AE187,tab_tipo_expansao!$A$2:$B$4,2,0))</f>
        <v>opcional</v>
      </c>
      <c r="AG187" s="125">
        <v>2028</v>
      </c>
      <c r="AH187" s="125">
        <v>2100</v>
      </c>
      <c r="AI187" s="125">
        <v>30</v>
      </c>
      <c r="AJ187" s="530">
        <v>1306.8586318038888</v>
      </c>
      <c r="AK187" s="24">
        <f>AL187/constantes!$B$4</f>
        <v>2500.6862453193435</v>
      </c>
      <c r="AL187" s="33">
        <f t="shared" si="43"/>
        <v>9752.67635674544</v>
      </c>
      <c r="AM187" s="87">
        <v>2</v>
      </c>
      <c r="AN187" s="531">
        <v>0</v>
      </c>
      <c r="AO187" s="23"/>
      <c r="AP187" s="532">
        <f t="shared" si="37"/>
        <v>1306.8586318038888</v>
      </c>
      <c r="AR187" s="35">
        <f t="shared" si="44"/>
        <v>9752.6763567454382</v>
      </c>
      <c r="AS187" s="36">
        <f ca="1">OFFSET(cod_desembolso!$A$1,AM187,23)</f>
        <v>1.1245293369208682</v>
      </c>
      <c r="AT187" s="37">
        <f ca="1">IF(AP187=0,0,AP187*(OFFSET(cod_desembolso!$A$1,AM187,23)))</f>
        <v>1469.60087067174</v>
      </c>
      <c r="AU187" s="38">
        <f>(constantes!$B$3*(1+constantes!$B$3)^(AI187))/((1+constantes!$B$3)^(AI187)-1)</f>
        <v>8.8827433387272267E-2</v>
      </c>
      <c r="AV187" s="37">
        <f t="shared" ca="1" si="39"/>
        <v>137.24087344547129</v>
      </c>
      <c r="AW187" s="37">
        <f ca="1">IF(AP187=0,AY187/constantes!$B$3,AV187/constantes!$B$3)</f>
        <v>1715.5109180683912</v>
      </c>
      <c r="AX187" s="39">
        <f ca="1">IF(AP187=0,0,PV(constantes!$B$3,AI187,-AV187)*constantes!$B$3)</f>
        <v>123.60224152565551</v>
      </c>
      <c r="AY187" s="40">
        <f>constantes!$B$10*F187/1000</f>
        <v>6.7</v>
      </c>
      <c r="AZ187" s="533">
        <f>constantes!$B$12</f>
        <v>0</v>
      </c>
      <c r="BA187" s="20">
        <v>318</v>
      </c>
      <c r="BB187" s="43"/>
      <c r="BC187" s="3" t="s">
        <v>2197</v>
      </c>
      <c r="BE187" s="534">
        <v>1</v>
      </c>
      <c r="BF187" s="535">
        <v>2027</v>
      </c>
      <c r="BG187" s="536">
        <v>1</v>
      </c>
      <c r="BH187" s="537">
        <v>2027</v>
      </c>
    </row>
    <row r="188" spans="1:60" ht="14.45">
      <c r="A188" s="125">
        <v>1187</v>
      </c>
      <c r="B188" s="125">
        <v>1187</v>
      </c>
      <c r="C188" s="538" t="s">
        <v>2439</v>
      </c>
      <c r="D188" s="538" t="s">
        <v>2439</v>
      </c>
      <c r="E188" s="546"/>
      <c r="F188" s="526">
        <v>291.5</v>
      </c>
      <c r="G188" s="3" t="s">
        <v>2181</v>
      </c>
      <c r="H188" s="3" t="s">
        <v>2192</v>
      </c>
      <c r="I188" s="3">
        <v>-53.158130999999997</v>
      </c>
      <c r="J188" s="3">
        <v>0.52365600000000001</v>
      </c>
      <c r="K188" s="539" t="s">
        <v>2001</v>
      </c>
      <c r="L188" s="539" t="s">
        <v>2001</v>
      </c>
      <c r="M188" s="662">
        <v>4</v>
      </c>
      <c r="N188" s="540"/>
      <c r="O188" s="529">
        <v>1.6379999999999999E-2</v>
      </c>
      <c r="P188" s="529">
        <v>6.1409999999999999E-2</v>
      </c>
      <c r="Q188" s="288">
        <f t="shared" si="40"/>
        <v>0.52926233357837127</v>
      </c>
      <c r="R188" s="30">
        <f t="shared" si="31"/>
        <v>154.27997023809522</v>
      </c>
      <c r="S188" s="30">
        <f t="shared" si="41"/>
        <v>137.22002976190478</v>
      </c>
      <c r="T188" s="107">
        <v>175.87761904761908</v>
      </c>
      <c r="U188" s="107">
        <v>253.20083333333332</v>
      </c>
      <c r="V188" s="107">
        <v>141.18208333333331</v>
      </c>
      <c r="W188" s="107">
        <v>46.859345238095244</v>
      </c>
      <c r="X188" s="288">
        <f t="shared" si="42"/>
        <v>0.4818203343086806</v>
      </c>
      <c r="Y188" s="289">
        <f t="shared" si="34"/>
        <v>140.45062745098039</v>
      </c>
      <c r="Z188" s="289">
        <f t="shared" si="35"/>
        <v>-13.829342787114825</v>
      </c>
      <c r="AA188" s="107">
        <v>142.94003921568631</v>
      </c>
      <c r="AB188" s="107">
        <v>244.68368627450982</v>
      </c>
      <c r="AC188" s="107">
        <v>132.33317647058817</v>
      </c>
      <c r="AD188" s="107">
        <v>41.845607843137252</v>
      </c>
      <c r="AE188" s="106">
        <v>1</v>
      </c>
      <c r="AF188" s="32" t="str">
        <f>IF(AE188=0,"",VLOOKUP(AE188,tab_tipo_expansao!$A$2:$B$4,2,0))</f>
        <v>opcional</v>
      </c>
      <c r="AG188" s="125">
        <v>2030</v>
      </c>
      <c r="AH188" s="125">
        <v>2100</v>
      </c>
      <c r="AI188" s="125">
        <v>30</v>
      </c>
      <c r="AJ188" s="530">
        <v>2956.3251841469773</v>
      </c>
      <c r="AK188" s="24">
        <f>AL188/constantes!$B$4</f>
        <v>2600.453168093396</v>
      </c>
      <c r="AL188" s="33">
        <f t="shared" si="43"/>
        <v>10141.767355564245</v>
      </c>
      <c r="AM188" s="87">
        <v>2</v>
      </c>
      <c r="AN188" s="531">
        <v>0</v>
      </c>
      <c r="AO188" s="23"/>
      <c r="AP188" s="532">
        <f t="shared" si="37"/>
        <v>2956.3251841469773</v>
      </c>
      <c r="AR188" s="35">
        <f t="shared" si="44"/>
        <v>10141.767355564245</v>
      </c>
      <c r="AS188" s="36">
        <f ca="1">OFFSET(cod_desembolso!$A$1,AM188,23)</f>
        <v>1.1245293369208682</v>
      </c>
      <c r="AT188" s="37">
        <f ca="1">IF(AP188=0,0,AP188*(OFFSET(cod_desembolso!$A$1,AM188,23)))</f>
        <v>3324.4743990512638</v>
      </c>
      <c r="AU188" s="38">
        <f>(constantes!$B$3*(1+constantes!$B$3)^(AI188))/((1+constantes!$B$3)^(AI188)-1)</f>
        <v>8.8827433387272267E-2</v>
      </c>
      <c r="AV188" s="37">
        <f t="shared" ca="1" si="39"/>
        <v>309.87952822941816</v>
      </c>
      <c r="AW188" s="37">
        <f ca="1">IF(AP188=0,AY188/constantes!$B$3,AV188/constantes!$B$3)</f>
        <v>3873.4941028677267</v>
      </c>
      <c r="AX188" s="39">
        <f ca="1">IF(AP188=0,0,PV(constantes!$B$3,AI188,-AV188)*constantes!$B$3)</f>
        <v>279.08452730218772</v>
      </c>
      <c r="AY188" s="40">
        <f>constantes!$B$10*F188/1000</f>
        <v>14.574999999999999</v>
      </c>
      <c r="AZ188" s="533">
        <f>constantes!$B$12</f>
        <v>0</v>
      </c>
      <c r="BA188" s="20">
        <v>318</v>
      </c>
      <c r="BB188" s="43"/>
      <c r="BC188" s="3" t="s">
        <v>2183</v>
      </c>
      <c r="BE188" s="534">
        <v>1</v>
      </c>
      <c r="BF188" s="535">
        <v>2027</v>
      </c>
      <c r="BG188" s="536">
        <v>1</v>
      </c>
      <c r="BH188" s="537">
        <v>2027</v>
      </c>
    </row>
    <row r="189" spans="1:60" ht="14.45" hidden="1">
      <c r="A189" s="125">
        <v>1188</v>
      </c>
      <c r="B189" s="125">
        <v>1188</v>
      </c>
      <c r="C189" s="538" t="s">
        <v>2440</v>
      </c>
      <c r="D189" s="538" t="s">
        <v>2440</v>
      </c>
      <c r="E189" s="546"/>
      <c r="F189" s="526">
        <v>48.3</v>
      </c>
      <c r="G189" s="3" t="s">
        <v>2196</v>
      </c>
      <c r="H189" s="3" t="s">
        <v>2127</v>
      </c>
      <c r="I189" s="3">
        <v>-50.423791000000001</v>
      </c>
      <c r="J189" s="3">
        <v>-17.878122000000001</v>
      </c>
      <c r="K189" s="539" t="s">
        <v>2005</v>
      </c>
      <c r="L189" s="539" t="s">
        <v>2005</v>
      </c>
      <c r="M189" s="662">
        <v>1</v>
      </c>
      <c r="N189" s="540"/>
      <c r="O189" s="529">
        <v>2.068E-2</v>
      </c>
      <c r="P189" s="529">
        <v>4.6600000000000003E-2</v>
      </c>
      <c r="Q189" s="288">
        <f t="shared" si="40"/>
        <v>0.72261504239376917</v>
      </c>
      <c r="R189" s="30">
        <f t="shared" si="31"/>
        <v>34.902306547619048</v>
      </c>
      <c r="S189" s="30">
        <f t="shared" si="41"/>
        <v>13.397693452380949</v>
      </c>
      <c r="T189" s="107">
        <v>43.077619047619045</v>
      </c>
      <c r="U189" s="107">
        <v>35.296369047619052</v>
      </c>
      <c r="V189" s="107">
        <v>25.99625</v>
      </c>
      <c r="W189" s="107">
        <v>35.238988095238099</v>
      </c>
      <c r="X189" s="288">
        <f t="shared" si="42"/>
        <v>0.7583361750497295</v>
      </c>
      <c r="Y189" s="289">
        <f t="shared" si="34"/>
        <v>36.627637254901934</v>
      </c>
      <c r="Z189" s="289">
        <f t="shared" si="35"/>
        <v>1.7253307072828861</v>
      </c>
      <c r="AA189" s="107">
        <v>44.272274509803879</v>
      </c>
      <c r="AB189" s="107">
        <v>38.246117647058803</v>
      </c>
      <c r="AC189" s="107">
        <v>27.292039215686259</v>
      </c>
      <c r="AD189" s="107">
        <v>36.700117647058796</v>
      </c>
      <c r="AE189" s="106">
        <v>1</v>
      </c>
      <c r="AF189" s="32" t="str">
        <f>IF(AE189=0,"",VLOOKUP(AE189,tab_tipo_expansao!$A$2:$B$4,2,0))</f>
        <v>opcional</v>
      </c>
      <c r="AG189" s="125">
        <v>2028</v>
      </c>
      <c r="AH189" s="125">
        <v>2100</v>
      </c>
      <c r="AI189" s="125">
        <v>30</v>
      </c>
      <c r="AJ189" s="530">
        <v>541.34337180672844</v>
      </c>
      <c r="AK189" s="24">
        <f>AL189/constantes!$B$4</f>
        <v>2873.8300780736236</v>
      </c>
      <c r="AL189" s="33">
        <f t="shared" si="43"/>
        <v>11207.937304487132</v>
      </c>
      <c r="AM189" s="87">
        <v>2</v>
      </c>
      <c r="AN189" s="531">
        <v>0</v>
      </c>
      <c r="AO189" s="23"/>
      <c r="AP189" s="532">
        <f t="shared" si="37"/>
        <v>541.34337180672844</v>
      </c>
      <c r="AR189" s="35">
        <f t="shared" si="44"/>
        <v>11207.937304487132</v>
      </c>
      <c r="AS189" s="36">
        <f ca="1">OFFSET(cod_desembolso!$A$1,AM189,23)</f>
        <v>1.1245293369208682</v>
      </c>
      <c r="AT189" s="37">
        <f ca="1">IF(AP189=0,0,AP189*(OFFSET(cod_desembolso!$A$1,AM189,23)))</f>
        <v>608.75650294432739</v>
      </c>
      <c r="AU189" s="38">
        <f>(constantes!$B$3*(1+constantes!$B$3)^(AI189))/((1+constantes!$B$3)^(AI189)-1)</f>
        <v>8.8827433387272267E-2</v>
      </c>
      <c r="AV189" s="37">
        <f t="shared" ca="1" si="39"/>
        <v>56.489277714356056</v>
      </c>
      <c r="AW189" s="37">
        <f ca="1">IF(AP189=0,AY189/constantes!$B$3,AV189/constantes!$B$3)</f>
        <v>706.11597142945072</v>
      </c>
      <c r="AX189" s="39">
        <f ca="1">IF(AP189=0,0,PV(constantes!$B$3,AI189,-AV189)*constantes!$B$3)</f>
        <v>50.875523977438426</v>
      </c>
      <c r="AY189" s="40">
        <f>constantes!$B$10*F189/1000</f>
        <v>2.415</v>
      </c>
      <c r="AZ189" s="533">
        <f>constantes!$B$12</f>
        <v>0</v>
      </c>
      <c r="BA189" s="20">
        <v>318</v>
      </c>
      <c r="BB189" s="43"/>
      <c r="BC189" s="3" t="s">
        <v>2197</v>
      </c>
      <c r="BE189" s="534">
        <v>1</v>
      </c>
      <c r="BF189" s="535">
        <v>2027</v>
      </c>
      <c r="BG189" s="536">
        <v>1</v>
      </c>
      <c r="BH189" s="537">
        <v>2027</v>
      </c>
    </row>
    <row r="190" spans="1:60" ht="14.45">
      <c r="A190" s="125">
        <v>1189</v>
      </c>
      <c r="B190" s="125">
        <v>1189</v>
      </c>
      <c r="C190" s="538" t="s">
        <v>2441</v>
      </c>
      <c r="D190" s="538" t="s">
        <v>2441</v>
      </c>
      <c r="E190" s="546"/>
      <c r="F190" s="526">
        <v>58.9</v>
      </c>
      <c r="G190" s="3" t="s">
        <v>2199</v>
      </c>
      <c r="H190" s="3" t="s">
        <v>2350</v>
      </c>
      <c r="I190" s="3">
        <v>-47.387498999999998</v>
      </c>
      <c r="J190" s="3">
        <v>-10.044995</v>
      </c>
      <c r="K190" s="539" t="s">
        <v>1983</v>
      </c>
      <c r="L190" s="539" t="s">
        <v>1983</v>
      </c>
      <c r="M190" s="662">
        <v>1</v>
      </c>
      <c r="N190" s="540"/>
      <c r="O190" s="529">
        <v>1.9820000000000001E-2</v>
      </c>
      <c r="P190" s="529">
        <v>5.2919999999999995E-2</v>
      </c>
      <c r="Q190" s="288">
        <f t="shared" si="40"/>
        <v>0.61346966205837172</v>
      </c>
      <c r="R190" s="30">
        <f t="shared" si="31"/>
        <v>36.133363095238096</v>
      </c>
      <c r="S190" s="30">
        <f t="shared" si="41"/>
        <v>22.766636904761903</v>
      </c>
      <c r="T190" s="107">
        <v>47.618095238095236</v>
      </c>
      <c r="U190" s="107">
        <v>38.589702380952382</v>
      </c>
      <c r="V190" s="107">
        <v>22.743333333333329</v>
      </c>
      <c r="W190" s="107">
        <v>35.582321428571426</v>
      </c>
      <c r="X190" s="288">
        <f t="shared" si="42"/>
        <v>0.6597498252272046</v>
      </c>
      <c r="Y190" s="289">
        <f t="shared" si="34"/>
        <v>38.859264705882353</v>
      </c>
      <c r="Z190" s="289">
        <f t="shared" si="35"/>
        <v>2.7259016106442573</v>
      </c>
      <c r="AA190" s="107">
        <v>49.217999999999996</v>
      </c>
      <c r="AB190" s="107">
        <v>40.725921568627449</v>
      </c>
      <c r="AC190" s="107">
        <v>26.280901960784316</v>
      </c>
      <c r="AD190" s="107">
        <v>39.212235294117647</v>
      </c>
      <c r="AE190" s="106">
        <v>1</v>
      </c>
      <c r="AF190" s="32" t="str">
        <f>IF(AE190=0,"",VLOOKUP(AE190,tab_tipo_expansao!$A$2:$B$4,2,0))</f>
        <v>opcional</v>
      </c>
      <c r="AG190" s="125">
        <v>2030</v>
      </c>
      <c r="AH190" s="125">
        <v>2100</v>
      </c>
      <c r="AI190" s="125">
        <v>30</v>
      </c>
      <c r="AJ190" s="530">
        <v>646.05142336367828</v>
      </c>
      <c r="AK190" s="24">
        <f>AL190/constantes!$B$4</f>
        <v>2812.4653840219335</v>
      </c>
      <c r="AL190" s="33">
        <f t="shared" si="43"/>
        <v>10968.614997685539</v>
      </c>
      <c r="AM190" s="87">
        <v>2</v>
      </c>
      <c r="AN190" s="531">
        <v>0</v>
      </c>
      <c r="AO190" s="23"/>
      <c r="AP190" s="532">
        <f t="shared" si="37"/>
        <v>646.05142336367828</v>
      </c>
      <c r="AR190" s="35">
        <f t="shared" si="44"/>
        <v>10968.614997685539</v>
      </c>
      <c r="AS190" s="36">
        <f ca="1">OFFSET(cod_desembolso!$A$1,AM190,23)</f>
        <v>1.1245293369208682</v>
      </c>
      <c r="AT190" s="37">
        <f ca="1">IF(AP190=0,0,AP190*(OFFSET(cod_desembolso!$A$1,AM190,23)))</f>
        <v>726.5037787319402</v>
      </c>
      <c r="AU190" s="38">
        <f>(constantes!$B$3*(1+constantes!$B$3)^(AI190))/((1+constantes!$B$3)^(AI190)-1)</f>
        <v>8.8827433387272267E-2</v>
      </c>
      <c r="AV190" s="37">
        <f t="shared" ca="1" si="39"/>
        <v>67.478466010912996</v>
      </c>
      <c r="AW190" s="37">
        <f ca="1">IF(AP190=0,AY190/constantes!$B$3,AV190/constantes!$B$3)</f>
        <v>843.48082513641248</v>
      </c>
      <c r="AX190" s="39">
        <f ca="1">IF(AP190=0,0,PV(constantes!$B$3,AI190,-AV190)*constantes!$B$3)</f>
        <v>60.772636054196035</v>
      </c>
      <c r="AY190" s="40">
        <f>constantes!$B$10*F190/1000</f>
        <v>2.9449999999999998</v>
      </c>
      <c r="AZ190" s="533">
        <f>constantes!$B$12</f>
        <v>0</v>
      </c>
      <c r="BA190" s="20">
        <v>318</v>
      </c>
      <c r="BB190" s="43"/>
      <c r="BC190" s="3" t="s">
        <v>2183</v>
      </c>
      <c r="BE190" s="534">
        <v>1</v>
      </c>
      <c r="BF190" s="535">
        <v>2027</v>
      </c>
      <c r="BG190" s="536">
        <v>1</v>
      </c>
      <c r="BH190" s="537">
        <v>2027</v>
      </c>
    </row>
    <row r="191" spans="1:60" ht="14.45" hidden="1">
      <c r="A191" s="125">
        <v>1190</v>
      </c>
      <c r="B191" s="125">
        <v>1190</v>
      </c>
      <c r="C191" s="538" t="s">
        <v>2442</v>
      </c>
      <c r="D191" s="538" t="s">
        <v>2442</v>
      </c>
      <c r="E191" s="546"/>
      <c r="F191" s="526">
        <v>39.1</v>
      </c>
      <c r="G191" s="3" t="s">
        <v>2196</v>
      </c>
      <c r="H191" s="3" t="s">
        <v>2341</v>
      </c>
      <c r="I191" s="3">
        <v>-51.931888000000001</v>
      </c>
      <c r="J191" s="3">
        <v>-23.91966</v>
      </c>
      <c r="K191" s="539" t="s">
        <v>153</v>
      </c>
      <c r="L191" s="539" t="s">
        <v>153</v>
      </c>
      <c r="M191" s="662">
        <v>2</v>
      </c>
      <c r="N191" s="540"/>
      <c r="O191" s="529">
        <v>2.068E-2</v>
      </c>
      <c r="P191" s="529">
        <v>4.6600000000000003E-2</v>
      </c>
      <c r="Q191" s="288">
        <f t="shared" si="40"/>
        <v>0.57485842162952128</v>
      </c>
      <c r="R191" s="30">
        <f t="shared" si="31"/>
        <v>22.476964285714285</v>
      </c>
      <c r="S191" s="30">
        <f t="shared" si="41"/>
        <v>16.623035714285717</v>
      </c>
      <c r="T191" s="107">
        <v>23.674761904761905</v>
      </c>
      <c r="U191" s="107">
        <v>22.375952380952381</v>
      </c>
      <c r="V191" s="107">
        <v>19.672916666666666</v>
      </c>
      <c r="W191" s="107">
        <v>24.184226190476192</v>
      </c>
      <c r="X191" s="288">
        <f t="shared" si="42"/>
        <v>0.65642445213379463</v>
      </c>
      <c r="Y191" s="289">
        <f t="shared" si="34"/>
        <v>25.666196078431373</v>
      </c>
      <c r="Z191" s="289">
        <f t="shared" si="35"/>
        <v>3.1892317927170879</v>
      </c>
      <c r="AA191" s="107">
        <v>28.006588235294107</v>
      </c>
      <c r="AB191" s="107">
        <v>23.318274509803928</v>
      </c>
      <c r="AC191" s="107">
        <v>23.874941176470585</v>
      </c>
      <c r="AD191" s="107">
        <v>27.464980392156871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556.40596070375307</v>
      </c>
      <c r="AK191" s="24">
        <f>AL191/constantes!$B$4</f>
        <v>3648.8029425126438</v>
      </c>
      <c r="AL191" s="33">
        <f t="shared" si="43"/>
        <v>14230.33147579931</v>
      </c>
      <c r="AM191" s="87">
        <v>2</v>
      </c>
      <c r="AN191" s="531">
        <v>0</v>
      </c>
      <c r="AO191" s="23"/>
      <c r="AP191" s="532">
        <f t="shared" si="37"/>
        <v>556.40596070375307</v>
      </c>
      <c r="AR191" s="35">
        <f t="shared" si="44"/>
        <v>14230.33147579931</v>
      </c>
      <c r="AS191" s="36">
        <f ca="1">OFFSET(cod_desembolso!$A$1,AM191,23)</f>
        <v>1.1245293369208682</v>
      </c>
      <c r="AT191" s="37">
        <f ca="1">IF(AP191=0,0,AP191*(OFFSET(cod_desembolso!$A$1,AM191,23)))</f>
        <v>625.69482604901009</v>
      </c>
      <c r="AU191" s="38">
        <f>(constantes!$B$3*(1+constantes!$B$3)^(AI191))/((1+constantes!$B$3)^(AI191)-1)</f>
        <v>8.8827433387272267E-2</v>
      </c>
      <c r="AV191" s="37">
        <f t="shared" ca="1" si="39"/>
        <v>57.533865481629348</v>
      </c>
      <c r="AW191" s="37">
        <f ca="1">IF(AP191=0,AY191/constantes!$B$3,AV191/constantes!$B$3)</f>
        <v>719.17331852036682</v>
      </c>
      <c r="AX191" s="39">
        <f ca="1">IF(AP191=0,0,PV(constantes!$B$3,AI191,-AV191)*constantes!$B$3)</f>
        <v>51.816303398785941</v>
      </c>
      <c r="AY191" s="40">
        <f>constantes!$B$10*F191/1000</f>
        <v>1.9550000000000001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4.45" hidden="1">
      <c r="A192" s="125">
        <v>1191</v>
      </c>
      <c r="B192" s="125">
        <v>1191</v>
      </c>
      <c r="C192" s="538" t="s">
        <v>2443</v>
      </c>
      <c r="D192" s="538" t="s">
        <v>2443</v>
      </c>
      <c r="E192" s="546"/>
      <c r="F192" s="526">
        <v>63</v>
      </c>
      <c r="G192" s="3" t="s">
        <v>2196</v>
      </c>
      <c r="H192" s="3" t="s">
        <v>2226</v>
      </c>
      <c r="I192" s="3">
        <v>-48.246110999999999</v>
      </c>
      <c r="J192" s="3">
        <v>-20.767778</v>
      </c>
      <c r="K192" s="539" t="s">
        <v>148</v>
      </c>
      <c r="L192" s="539" t="s">
        <v>148</v>
      </c>
      <c r="M192" s="662">
        <v>1</v>
      </c>
      <c r="N192" s="540"/>
      <c r="O192" s="529">
        <v>1.9820000000000001E-2</v>
      </c>
      <c r="P192" s="529">
        <v>5.2919999999999995E-2</v>
      </c>
      <c r="Q192" s="288">
        <f t="shared" si="40"/>
        <v>0.52047241118669685</v>
      </c>
      <c r="R192" s="30">
        <f t="shared" si="31"/>
        <v>32.789761904761903</v>
      </c>
      <c r="S192" s="30">
        <f t="shared" si="41"/>
        <v>30.210238095238097</v>
      </c>
      <c r="T192" s="107">
        <v>43.269047619047626</v>
      </c>
      <c r="U192" s="107">
        <v>35.929642857142859</v>
      </c>
      <c r="V192" s="107">
        <v>23.40291666666667</v>
      </c>
      <c r="W192" s="107">
        <v>28.557440476190475</v>
      </c>
      <c r="X192" s="288">
        <f t="shared" si="42"/>
        <v>0.64174089635854337</v>
      </c>
      <c r="Y192" s="289">
        <f t="shared" si="34"/>
        <v>40.429676470588234</v>
      </c>
      <c r="Z192" s="289">
        <f t="shared" si="35"/>
        <v>7.6399145658263308</v>
      </c>
      <c r="AA192" s="107">
        <v>50.264745098039221</v>
      </c>
      <c r="AB192" s="107">
        <v>42.877686274509813</v>
      </c>
      <c r="AC192" s="107">
        <v>30.598156862745089</v>
      </c>
      <c r="AD192" s="107">
        <v>37.978117647058831</v>
      </c>
      <c r="AE192" s="106">
        <v>1</v>
      </c>
      <c r="AF192" s="32" t="str">
        <f>IF(AE192=0,"",VLOOKUP(AE192,tab_tipo_expansao!$A$2:$B$4,2,0))</f>
        <v>opcional</v>
      </c>
      <c r="AG192" s="125">
        <v>2028</v>
      </c>
      <c r="AH192" s="125">
        <v>2100</v>
      </c>
      <c r="AI192" s="125">
        <v>30</v>
      </c>
      <c r="AJ192" s="530">
        <v>740.06252959159667</v>
      </c>
      <c r="AK192" s="24">
        <f>AL192/constantes!$B$4</f>
        <v>3012.0575074953058</v>
      </c>
      <c r="AL192" s="33">
        <f t="shared" si="43"/>
        <v>11747.024279231693</v>
      </c>
      <c r="AM192" s="87">
        <v>2</v>
      </c>
      <c r="AN192" s="531">
        <v>0</v>
      </c>
      <c r="AO192" s="23"/>
      <c r="AP192" s="532">
        <f t="shared" si="37"/>
        <v>740.06252959159667</v>
      </c>
      <c r="AR192" s="35">
        <f t="shared" si="44"/>
        <v>11747.024279231693</v>
      </c>
      <c r="AS192" s="36">
        <f ca="1">OFFSET(cod_desembolso!$A$1,AM192,23)</f>
        <v>1.1245293369208682</v>
      </c>
      <c r="AT192" s="37">
        <f ca="1">IF(AP192=0,0,AP192*(OFFSET(cod_desembolso!$A$1,AM192,23)))</f>
        <v>832.22202568161856</v>
      </c>
      <c r="AU192" s="38">
        <f>(constantes!$B$3*(1+constantes!$B$3)^(AI192))/((1+constantes!$B$3)^(AI192)-1)</f>
        <v>8.8827433387272267E-2</v>
      </c>
      <c r="AV192" s="37">
        <f t="shared" ca="1" si="39"/>
        <v>77.07414654965477</v>
      </c>
      <c r="AW192" s="37">
        <f ca="1">IF(AP192=0,AY192/constantes!$B$3,AV192/constantes!$B$3)</f>
        <v>963.42683187068462</v>
      </c>
      <c r="AX192" s="39">
        <f ca="1">IF(AP192=0,0,PV(constantes!$B$3,AI192,-AV192)*constantes!$B$3)</f>
        <v>69.414723456997606</v>
      </c>
      <c r="AY192" s="40">
        <f>constantes!$B$10*F192/1000</f>
        <v>3.15</v>
      </c>
      <c r="AZ192" s="533">
        <f>constantes!$B$12</f>
        <v>0</v>
      </c>
      <c r="BA192" s="20">
        <v>318</v>
      </c>
      <c r="BB192" s="43"/>
      <c r="BC192" s="3" t="s">
        <v>2197</v>
      </c>
      <c r="BE192" s="534">
        <v>1</v>
      </c>
      <c r="BF192" s="535">
        <v>2027</v>
      </c>
      <c r="BG192" s="536">
        <v>1</v>
      </c>
      <c r="BH192" s="537">
        <v>2027</v>
      </c>
    </row>
    <row r="193" spans="1:60" ht="14.45" hidden="1" customHeight="1">
      <c r="A193" s="125">
        <v>1209</v>
      </c>
      <c r="B193" s="125">
        <v>1321</v>
      </c>
      <c r="C193" s="547" t="s">
        <v>2444</v>
      </c>
      <c r="D193" s="547" t="s">
        <v>2444</v>
      </c>
      <c r="E193" s="421"/>
      <c r="F193" s="42">
        <v>812</v>
      </c>
      <c r="K193" s="548" t="s">
        <v>155</v>
      </c>
      <c r="L193" s="548" t="s">
        <v>155</v>
      </c>
      <c r="M193" s="23">
        <v>4</v>
      </c>
      <c r="N193" s="540"/>
      <c r="O193" s="287">
        <v>1.6719999999999999E-2</v>
      </c>
      <c r="P193" s="287">
        <v>5.4030000000000002E-2</v>
      </c>
      <c r="Q193" s="288">
        <f t="shared" si="40"/>
        <v>0.53361857228515952</v>
      </c>
      <c r="R193" s="30">
        <f t="shared" si="31"/>
        <v>433.29828069554952</v>
      </c>
      <c r="S193" s="30">
        <f t="shared" si="41"/>
        <v>378.70171930445048</v>
      </c>
      <c r="T193" s="42">
        <v>501.29011778760963</v>
      </c>
      <c r="U193" s="42">
        <v>470.76943999079833</v>
      </c>
      <c r="V193" s="42">
        <v>353.64534351984565</v>
      </c>
      <c r="W193" s="42">
        <v>407.48822148394441</v>
      </c>
      <c r="X193" s="288">
        <f t="shared" si="42"/>
        <v>0.53361857228515952</v>
      </c>
      <c r="Y193" s="289">
        <f t="shared" si="34"/>
        <v>433.29828069554952</v>
      </c>
      <c r="Z193" s="289">
        <f t="shared" si="35"/>
        <v>0</v>
      </c>
      <c r="AA193" s="42">
        <v>501.29011778760963</v>
      </c>
      <c r="AB193" s="42">
        <v>470.76943999079833</v>
      </c>
      <c r="AC193" s="42">
        <v>353.64534351984565</v>
      </c>
      <c r="AD193" s="42">
        <v>407.48822148394441</v>
      </c>
      <c r="AE193" s="106">
        <v>1</v>
      </c>
      <c r="AF193" s="32" t="str">
        <f>IF(AE193=0,"",VLOOKUP(AE193,[3]tab_tipo_expansao!$A$2:$B$4,2,0))</f>
        <v>opcional</v>
      </c>
      <c r="AG193" s="125">
        <v>2021</v>
      </c>
      <c r="AH193" s="23">
        <v>2100</v>
      </c>
      <c r="AI193" s="125">
        <v>30</v>
      </c>
      <c r="AJ193" s="106">
        <f>AL193*F193/1000</f>
        <v>9744</v>
      </c>
      <c r="AK193" s="24">
        <f>AL193/[3]constantes!$B$4</f>
        <v>3076.9230769230771</v>
      </c>
      <c r="AL193">
        <v>12000</v>
      </c>
      <c r="AM193" s="87">
        <v>6</v>
      </c>
      <c r="AN193" s="531">
        <v>0</v>
      </c>
      <c r="AP193" s="532">
        <f t="shared" si="37"/>
        <v>9744</v>
      </c>
      <c r="AQ193" s="34"/>
      <c r="AR193" s="35">
        <f t="shared" si="44"/>
        <v>12000</v>
      </c>
      <c r="AS193" s="36">
        <f ca="1">OFFSET(cod_desembolso!$A$1,AM193,23)</f>
        <v>1.07328</v>
      </c>
      <c r="AT193" s="37">
        <f ca="1">IF(AP193=0,0,AP193*(OFFSET(cod_desembolso!$A$1,AM193,23)))</f>
        <v>10458.04032</v>
      </c>
      <c r="AU193" s="38">
        <f>(constantes!$B$3*(1+constantes!$B$3)^(AI193))/((1+constantes!$B$3)^(AI193)-1)</f>
        <v>8.8827433387272267E-2</v>
      </c>
      <c r="AV193" s="37">
        <f t="shared" ca="1" si="39"/>
        <v>1010.1608798862076</v>
      </c>
      <c r="AW193" s="37">
        <f ca="1">IF(AP193=0,AY193/constantes!$B$3,AV193/constantes!$B$3)</f>
        <v>12627.010998577594</v>
      </c>
      <c r="AX193" s="39">
        <f ca="1">IF(AP193=0,0,PV(constantes!$B$3,AI193,-AV193)*constantes!$B$3)</f>
        <v>909.77378619695605</v>
      </c>
      <c r="AY193" s="40">
        <f>2*[3]constantes!$B$10*F193/1000</f>
        <v>81.2</v>
      </c>
      <c r="AZ193" s="533">
        <f>[3]constantes!$B$12</f>
        <v>0</v>
      </c>
      <c r="BA193" s="20">
        <v>319</v>
      </c>
      <c r="BE193" s="534"/>
      <c r="BF193" s="541"/>
      <c r="BG193" s="536"/>
      <c r="BH193" s="537"/>
    </row>
    <row r="194" spans="1:60" ht="14.45" hidden="1" customHeight="1">
      <c r="A194" s="125">
        <v>1210</v>
      </c>
      <c r="B194" s="125">
        <v>1320</v>
      </c>
      <c r="C194" s="547" t="s">
        <v>2445</v>
      </c>
      <c r="D194" s="547" t="s">
        <v>2445</v>
      </c>
      <c r="E194" s="421"/>
      <c r="F194" s="42">
        <v>792</v>
      </c>
      <c r="K194" s="548" t="s">
        <v>154</v>
      </c>
      <c r="L194" s="548" t="s">
        <v>154</v>
      </c>
      <c r="M194" s="23">
        <v>3</v>
      </c>
      <c r="N194" s="540"/>
      <c r="O194" s="287">
        <v>1.6719999999999999E-2</v>
      </c>
      <c r="P194" s="287">
        <v>5.4030000000000002E-2</v>
      </c>
      <c r="Q194" s="288">
        <f t="shared" ref="Q194:Q196" si="45">R194/$F194</f>
        <v>0.32193192151971861</v>
      </c>
      <c r="R194" s="30">
        <f t="shared" ref="R194:R216" si="46">AVERAGE(T194:W194)</f>
        <v>254.97008184361715</v>
      </c>
      <c r="S194" s="30">
        <f t="shared" ref="S194:S196" si="47">F194-R194</f>
        <v>537.02991815638279</v>
      </c>
      <c r="T194" s="42">
        <v>229.83547164122351</v>
      </c>
      <c r="U194" s="42">
        <v>247.5578506167777</v>
      </c>
      <c r="V194" s="42">
        <v>289.72781342347088</v>
      </c>
      <c r="W194" s="42">
        <v>252.75919169299655</v>
      </c>
      <c r="X194" s="288">
        <f t="shared" ref="X194:X196" si="48">Y194/$F194</f>
        <v>0.32193192151971861</v>
      </c>
      <c r="Y194" s="289">
        <f t="shared" ref="Y194:Y216" si="49">AVERAGE(AA194:AD194)</f>
        <v>254.97008184361715</v>
      </c>
      <c r="Z194" s="289">
        <f t="shared" ref="Z194:Z216" si="50">Y194-R194</f>
        <v>0</v>
      </c>
      <c r="AA194" s="42">
        <v>229.83547164122351</v>
      </c>
      <c r="AB194" s="42">
        <v>247.5578506167777</v>
      </c>
      <c r="AC194" s="42">
        <v>289.72781342347088</v>
      </c>
      <c r="AD194" s="42">
        <v>252.75919169299655</v>
      </c>
      <c r="AE194" s="106">
        <v>1</v>
      </c>
      <c r="AF194" s="32" t="str">
        <f>IF(AE194=0,"",VLOOKUP(AE194,[3]tab_tipo_expansao!$A$2:$B$4,2,0))</f>
        <v>opcional</v>
      </c>
      <c r="AG194" s="125">
        <v>2021</v>
      </c>
      <c r="AH194" s="23">
        <v>2100</v>
      </c>
      <c r="AI194" s="125">
        <v>30</v>
      </c>
      <c r="AJ194" s="106">
        <f>AL194*F194/1000</f>
        <v>9504</v>
      </c>
      <c r="AK194" s="24">
        <f>AL194/[3]constantes!$B$4</f>
        <v>3076.9230769230771</v>
      </c>
      <c r="AL194">
        <v>12000</v>
      </c>
      <c r="AM194" s="87">
        <v>6</v>
      </c>
      <c r="AN194" s="531">
        <v>0</v>
      </c>
      <c r="AP194" s="532">
        <f t="shared" ref="AP194:AP216" si="51">AJ194+AN194+AO194</f>
        <v>9504</v>
      </c>
      <c r="AQ194" s="34"/>
      <c r="AR194" s="35">
        <f t="shared" si="44"/>
        <v>12000</v>
      </c>
      <c r="AS194" s="36">
        <f ca="1">OFFSET(cod_desembolso!$A$1,AM194,23)</f>
        <v>1.07328</v>
      </c>
      <c r="AT194" s="37">
        <f ca="1">IF(AP194=0,0,AP194*(OFFSET(cod_desembolso!$A$1,AM194,23)))</f>
        <v>10200.45312</v>
      </c>
      <c r="AU194" s="38">
        <f>(constantes!$B$3*(1+constantes!$B$3)^(AI194))/((1+constantes!$B$3)^(AI194)-1)</f>
        <v>8.8827433387272267E-2</v>
      </c>
      <c r="AV194" s="37">
        <f t="shared" ref="AV194:AV216" ca="1" si="52">IF(AND(AP194=0,AY194=0),0,AT194*AU194+AY194)</f>
        <v>985.28007003679363</v>
      </c>
      <c r="AW194" s="37">
        <f ca="1">IF(AP194=0,AY194/constantes!$B$3,AV194/constantes!$B$3)</f>
        <v>12316.00087545992</v>
      </c>
      <c r="AX194" s="39">
        <f ca="1">IF(AP194=0,0,PV(constantes!$B$3,AI194,-AV194)*constantes!$B$3)</f>
        <v>887.36556486205575</v>
      </c>
      <c r="AY194" s="40">
        <f>2*[3]constantes!$B$10*F194/1000</f>
        <v>79.2</v>
      </c>
      <c r="AZ194" s="533">
        <f>[3]constantes!$B$12</f>
        <v>0</v>
      </c>
      <c r="BA194" s="20">
        <v>319</v>
      </c>
      <c r="BE194" s="534"/>
      <c r="BF194" s="541"/>
      <c r="BG194" s="536"/>
      <c r="BH194" s="537"/>
    </row>
    <row r="195" spans="1:60" ht="14.45" hidden="1" customHeight="1">
      <c r="A195" s="125">
        <v>1211</v>
      </c>
      <c r="B195" s="125">
        <v>1319</v>
      </c>
      <c r="C195" s="547" t="s">
        <v>2446</v>
      </c>
      <c r="D195" s="547" t="s">
        <v>2446</v>
      </c>
      <c r="E195" s="421"/>
      <c r="F195" s="42">
        <v>1436</v>
      </c>
      <c r="K195" s="548" t="s">
        <v>153</v>
      </c>
      <c r="L195" s="548" t="s">
        <v>153</v>
      </c>
      <c r="M195" s="23">
        <v>2</v>
      </c>
      <c r="N195" s="540"/>
      <c r="O195" s="287">
        <v>1.6719999999999999E-2</v>
      </c>
      <c r="P195" s="287">
        <v>5.4030000000000002E-2</v>
      </c>
      <c r="Q195" s="288">
        <f t="shared" si="45"/>
        <v>0.54510398556895689</v>
      </c>
      <c r="R195" s="30">
        <f t="shared" si="46"/>
        <v>782.76932327702207</v>
      </c>
      <c r="S195" s="30">
        <f t="shared" si="47"/>
        <v>653.23067672297793</v>
      </c>
      <c r="T195" s="42">
        <v>737.04340510640452</v>
      </c>
      <c r="U195" s="42">
        <v>731.15385506582822</v>
      </c>
      <c r="V195" s="42">
        <v>852.97344049629703</v>
      </c>
      <c r="W195" s="42">
        <v>809.90659243955861</v>
      </c>
      <c r="X195" s="288">
        <f t="shared" si="48"/>
        <v>0.54510398556895689</v>
      </c>
      <c r="Y195" s="289">
        <f t="shared" si="49"/>
        <v>782.76932327702207</v>
      </c>
      <c r="Z195" s="289">
        <f t="shared" si="50"/>
        <v>0</v>
      </c>
      <c r="AA195" s="42">
        <v>737.04340510640452</v>
      </c>
      <c r="AB195" s="42">
        <v>731.15385506582822</v>
      </c>
      <c r="AC195" s="42">
        <v>852.97344049629703</v>
      </c>
      <c r="AD195" s="42">
        <v>809.90659243955861</v>
      </c>
      <c r="AE195" s="106">
        <v>1</v>
      </c>
      <c r="AF195" s="32" t="str">
        <f>IF(AE195=0,"",VLOOKUP(AE195,[3]tab_tipo_expansao!$A$2:$B$4,2,0))</f>
        <v>opcional</v>
      </c>
      <c r="AG195" s="125">
        <v>2021</v>
      </c>
      <c r="AH195" s="23">
        <v>2100</v>
      </c>
      <c r="AI195" s="125">
        <v>30</v>
      </c>
      <c r="AJ195" s="106">
        <f>AL195*F195/1000</f>
        <v>17232</v>
      </c>
      <c r="AK195" s="24">
        <f>AL195/[3]constantes!$B$4</f>
        <v>3076.9230769230771</v>
      </c>
      <c r="AL195">
        <v>12000</v>
      </c>
      <c r="AM195" s="87">
        <v>6</v>
      </c>
      <c r="AN195" s="531">
        <v>0</v>
      </c>
      <c r="AP195" s="532">
        <f t="shared" si="51"/>
        <v>17232</v>
      </c>
      <c r="AQ195" s="34"/>
      <c r="AR195" s="35">
        <f t="shared" si="44"/>
        <v>12000</v>
      </c>
      <c r="AS195" s="36">
        <f ca="1">OFFSET(cod_desembolso!$A$1,AM195,23)</f>
        <v>1.07328</v>
      </c>
      <c r="AT195" s="37">
        <f ca="1">IF(AP195=0,0,AP195*(OFFSET(cod_desembolso!$A$1,AM195,23)))</f>
        <v>18494.76096</v>
      </c>
      <c r="AU195" s="38">
        <f>(constantes!$B$3*(1+constantes!$B$3)^(AI195))/((1+constantes!$B$3)^(AI195)-1)</f>
        <v>8.8827433387272267E-2</v>
      </c>
      <c r="AV195" s="37">
        <f t="shared" ca="1" si="52"/>
        <v>1786.4421471879236</v>
      </c>
      <c r="AW195" s="37">
        <f ca="1">IF(AP195=0,AY195/constantes!$B$3,AV195/constantes!$B$3)</f>
        <v>22330.526839849044</v>
      </c>
      <c r="AX195" s="39">
        <f ca="1">IF(AP195=0,0,PV(constantes!$B$3,AI195,-AV195)*constantes!$B$3)</f>
        <v>1608.9102918458484</v>
      </c>
      <c r="AY195" s="40">
        <f>2*[3]constantes!$B$10*F195/1000</f>
        <v>143.6</v>
      </c>
      <c r="AZ195" s="533">
        <f>[3]constantes!$B$12</f>
        <v>0</v>
      </c>
      <c r="BA195" s="20">
        <v>319</v>
      </c>
      <c r="BE195" s="534"/>
      <c r="BF195" s="541"/>
      <c r="BG195" s="536"/>
      <c r="BH195" s="537"/>
    </row>
    <row r="196" spans="1:60" ht="14.45" hidden="1" customHeight="1">
      <c r="A196" s="125">
        <v>1212</v>
      </c>
      <c r="B196" s="125">
        <v>1319</v>
      </c>
      <c r="C196" s="547" t="s">
        <v>2447</v>
      </c>
      <c r="D196" s="547" t="s">
        <v>2448</v>
      </c>
      <c r="E196" s="421"/>
      <c r="F196" s="42">
        <v>2460</v>
      </c>
      <c r="K196" s="548" t="s">
        <v>153</v>
      </c>
      <c r="L196" s="548" t="s">
        <v>152</v>
      </c>
      <c r="M196" s="23">
        <v>1</v>
      </c>
      <c r="N196" s="540"/>
      <c r="O196" s="287">
        <v>1.6719999999999999E-2</v>
      </c>
      <c r="P196" s="287">
        <v>5.4030000000000002E-2</v>
      </c>
      <c r="Q196" s="288">
        <f t="shared" si="45"/>
        <v>0.48449834393174773</v>
      </c>
      <c r="R196" s="30">
        <f t="shared" si="46"/>
        <v>1191.8659260720995</v>
      </c>
      <c r="S196" s="30">
        <f t="shared" si="47"/>
        <v>1268.1340739279005</v>
      </c>
      <c r="T196" s="42">
        <v>1414.4377686931095</v>
      </c>
      <c r="U196" s="42">
        <v>1333.4905232242556</v>
      </c>
      <c r="V196" s="42">
        <v>915.83421976732393</v>
      </c>
      <c r="W196" s="42">
        <v>1103.7011926037083</v>
      </c>
      <c r="X196" s="288">
        <f t="shared" si="48"/>
        <v>0.48449834393174773</v>
      </c>
      <c r="Y196" s="289">
        <f t="shared" si="49"/>
        <v>1191.8659260720995</v>
      </c>
      <c r="Z196" s="289">
        <f t="shared" si="50"/>
        <v>0</v>
      </c>
      <c r="AA196" s="42">
        <v>1414.4377686931095</v>
      </c>
      <c r="AB196" s="42">
        <v>1333.4905232242556</v>
      </c>
      <c r="AC196" s="42">
        <v>915.83421976732393</v>
      </c>
      <c r="AD196" s="42">
        <v>1103.7011926037083</v>
      </c>
      <c r="AE196" s="106">
        <v>1</v>
      </c>
      <c r="AF196" s="32" t="str">
        <f>IF(AE196=0,"",VLOOKUP(AE196,[3]tab_tipo_expansao!$A$2:$B$4,2,0))</f>
        <v>opcional</v>
      </c>
      <c r="AG196" s="125">
        <v>2021</v>
      </c>
      <c r="AH196" s="23">
        <v>2100</v>
      </c>
      <c r="AI196" s="125">
        <v>30</v>
      </c>
      <c r="AJ196" s="106">
        <f>AL196*F196/1000</f>
        <v>29520</v>
      </c>
      <c r="AK196" s="24">
        <f>AL196/[3]constantes!$B$4</f>
        <v>3076.9230769230771</v>
      </c>
      <c r="AL196">
        <v>12000</v>
      </c>
      <c r="AM196" s="87">
        <v>6</v>
      </c>
      <c r="AN196" s="531">
        <v>0</v>
      </c>
      <c r="AP196" s="532">
        <f t="shared" si="51"/>
        <v>29520</v>
      </c>
      <c r="AQ196" s="34"/>
      <c r="AR196" s="35">
        <f t="shared" si="44"/>
        <v>12000</v>
      </c>
      <c r="AS196" s="36">
        <f ca="1">OFFSET(cod_desembolso!$A$1,AM196,23)</f>
        <v>1.07328</v>
      </c>
      <c r="AT196" s="37">
        <f ca="1">IF(AP196=0,0,AP196*(OFFSET(cod_desembolso!$A$1,AM196,23)))</f>
        <v>31683.225600000002</v>
      </c>
      <c r="AU196" s="38">
        <f>(constantes!$B$3*(1+constantes!$B$3)^(AI196))/((1+constantes!$B$3)^(AI196)-1)</f>
        <v>8.8827433387272267E-2</v>
      </c>
      <c r="AV196" s="37">
        <f t="shared" ca="1" si="52"/>
        <v>3060.3396114779193</v>
      </c>
      <c r="AW196" s="37">
        <f ca="1">IF(AP196=0,AY196/constantes!$B$3,AV196/constantes!$B$3)</f>
        <v>38254.245143473992</v>
      </c>
      <c r="AX196" s="39">
        <f ca="1">IF(AP196=0,0,PV(constantes!$B$3,AI196,-AV196)*constantes!$B$3)</f>
        <v>2756.2112241927489</v>
      </c>
      <c r="AY196" s="40">
        <f>2*[3]constantes!$B$10*F196/1000</f>
        <v>246</v>
      </c>
      <c r="AZ196" s="533">
        <f>[3]constantes!$B$12</f>
        <v>0</v>
      </c>
      <c r="BA196" s="20">
        <v>319</v>
      </c>
      <c r="BE196" s="534"/>
      <c r="BF196" s="541"/>
      <c r="BG196" s="536"/>
      <c r="BH196" s="537"/>
    </row>
    <row r="197" spans="1:60" ht="15" hidden="1" customHeight="1">
      <c r="A197" s="125">
        <v>1213</v>
      </c>
      <c r="B197" s="125">
        <v>1317</v>
      </c>
      <c r="C197" s="421" t="s">
        <v>2449</v>
      </c>
      <c r="D197" s="421" t="s">
        <v>2449</v>
      </c>
      <c r="E197" s="421"/>
      <c r="F197" s="42">
        <v>2872</v>
      </c>
      <c r="K197" s="135" t="s">
        <v>152</v>
      </c>
      <c r="L197" s="135" t="s">
        <v>153</v>
      </c>
      <c r="M197" s="23">
        <v>2</v>
      </c>
      <c r="N197" s="540"/>
      <c r="O197" s="287">
        <v>2.5329999923706055E-2</v>
      </c>
      <c r="P197" s="287">
        <v>8.0909996032714843E-2</v>
      </c>
      <c r="Q197" s="288">
        <f>R197/$F198</f>
        <v>0.74248927984540869</v>
      </c>
      <c r="R197" s="30">
        <f t="shared" si="46"/>
        <v>1565.5386465540441</v>
      </c>
      <c r="S197" s="30">
        <f>F198-R197</f>
        <v>542.96135344595587</v>
      </c>
      <c r="T197" s="42">
        <v>1474.086810212809</v>
      </c>
      <c r="U197" s="42">
        <v>1462.3077101316564</v>
      </c>
      <c r="V197" s="42">
        <v>1705.9468809925941</v>
      </c>
      <c r="W197" s="42">
        <v>1619.8131848791172</v>
      </c>
      <c r="X197" s="288">
        <f>Y197/$F198</f>
        <v>0.74248927984540869</v>
      </c>
      <c r="Y197" s="289">
        <f t="shared" si="49"/>
        <v>1565.5386465540441</v>
      </c>
      <c r="Z197" s="289">
        <f t="shared" si="50"/>
        <v>0</v>
      </c>
      <c r="AA197" s="42">
        <v>1474.086810212809</v>
      </c>
      <c r="AB197" s="42">
        <v>1462.3077101316564</v>
      </c>
      <c r="AC197" s="42">
        <v>1705.9468809925941</v>
      </c>
      <c r="AD197" s="42">
        <v>1619.8131848791172</v>
      </c>
      <c r="AE197" s="106">
        <v>1</v>
      </c>
      <c r="AF197" s="32" t="str">
        <f>IF(AE197=0,"",VLOOKUP(AE197,[3]tab_tipo_expansao!$A$2:$B$4,2,0))</f>
        <v>opcional</v>
      </c>
      <c r="AG197" s="125">
        <v>2021</v>
      </c>
      <c r="AH197" s="23">
        <v>2100</v>
      </c>
      <c r="AI197" s="125">
        <v>30</v>
      </c>
      <c r="AJ197" s="106">
        <f>AL197*F197/1000</f>
        <v>21540</v>
      </c>
      <c r="AK197" s="24">
        <f>AL197/[3]constantes!$B$4</f>
        <v>1923.0769230769231</v>
      </c>
      <c r="AL197">
        <v>7500</v>
      </c>
      <c r="AM197" s="87">
        <v>6</v>
      </c>
      <c r="AN197" s="531">
        <v>0</v>
      </c>
      <c r="AP197" s="532">
        <f t="shared" si="51"/>
        <v>21540</v>
      </c>
      <c r="AQ197" s="34"/>
      <c r="AR197" s="35">
        <f t="shared" si="44"/>
        <v>7500</v>
      </c>
      <c r="AS197" s="36">
        <f ca="1">OFFSET(cod_desembolso!$A$1,AM197,23)</f>
        <v>1.07328</v>
      </c>
      <c r="AT197" s="37">
        <f ca="1">IF(AP197=0,0,AP197*(OFFSET(cod_desembolso!$A$1,AM197,23)))</f>
        <v>23118.4512</v>
      </c>
      <c r="AU197" s="38">
        <f>(constantes!$B$3*(1+constantes!$B$3)^(AI197))/((1+constantes!$B$3)^(AI197)-1)</f>
        <v>8.8827433387272267E-2</v>
      </c>
      <c r="AV197" s="37">
        <f t="shared" ca="1" si="52"/>
        <v>2264.4026839849043</v>
      </c>
      <c r="AW197" s="37">
        <f ca="1">IF(AP197=0,AY197/constantes!$B$3,AV197/constantes!$B$3)</f>
        <v>28305.033549811305</v>
      </c>
      <c r="AX197" s="39">
        <f ca="1">IF(AP197=0,0,PV(constantes!$B$3,AI197,-AV197)*constantes!$B$3)</f>
        <v>2039.3723854318741</v>
      </c>
      <c r="AY197" s="40">
        <f>2*[3]constantes!$B$10*F198/1000</f>
        <v>210.85</v>
      </c>
      <c r="AZ197" s="533">
        <f>[3]constantes!$B$12</f>
        <v>0</v>
      </c>
      <c r="BA197" s="20">
        <v>319</v>
      </c>
      <c r="BC197" s="648"/>
      <c r="BE197" s="534"/>
      <c r="BF197" s="541"/>
      <c r="BG197" s="536"/>
      <c r="BH197" s="537"/>
    </row>
    <row r="198" spans="1:60" ht="15" hidden="1" customHeight="1">
      <c r="A198" s="125">
        <v>1214</v>
      </c>
      <c r="B198" s="125">
        <v>1318</v>
      </c>
      <c r="C198" s="421" t="s">
        <v>2447</v>
      </c>
      <c r="D198" s="421" t="s">
        <v>2450</v>
      </c>
      <c r="E198" s="421"/>
      <c r="F198" s="42">
        <v>2108.5</v>
      </c>
      <c r="K198" s="135" t="s">
        <v>152</v>
      </c>
      <c r="L198" s="135" t="s">
        <v>152</v>
      </c>
      <c r="M198" s="23">
        <v>1</v>
      </c>
      <c r="N198" s="540"/>
      <c r="O198" s="287">
        <v>2.5329999923706055E-2</v>
      </c>
      <c r="P198" s="287">
        <v>8.0909996032714843E-2</v>
      </c>
      <c r="Q198" s="288">
        <f>R198/$F197</f>
        <v>0.35569803557802576</v>
      </c>
      <c r="R198" s="30">
        <f t="shared" si="46"/>
        <v>1021.5647581800901</v>
      </c>
      <c r="S198" s="30">
        <f>F197-R198</f>
        <v>1850.4352418199101</v>
      </c>
      <c r="T198" s="42">
        <v>1212.3341606867566</v>
      </c>
      <c r="U198" s="42">
        <v>1142.9531578123344</v>
      </c>
      <c r="V198" s="42">
        <v>784.97416763390345</v>
      </c>
      <c r="W198" s="42">
        <v>945.99754658736526</v>
      </c>
      <c r="X198" s="288">
        <v>0.37130872075804133</v>
      </c>
      <c r="Y198" s="289">
        <f t="shared" si="49"/>
        <v>1021.5647581800901</v>
      </c>
      <c r="Z198" s="289">
        <f t="shared" si="50"/>
        <v>0</v>
      </c>
      <c r="AA198" s="42">
        <v>1212.3341606867566</v>
      </c>
      <c r="AB198" s="42">
        <v>1142.9531578123344</v>
      </c>
      <c r="AC198" s="42">
        <v>784.97416763390345</v>
      </c>
      <c r="AD198" s="42">
        <v>945.99754658736526</v>
      </c>
      <c r="AE198" s="106">
        <v>1</v>
      </c>
      <c r="AF198" s="32" t="str">
        <f>IF(AE198=0,"",VLOOKUP(AE198,[3]tab_tipo_expansao!$A$2:$B$4,2,0))</f>
        <v>opcional</v>
      </c>
      <c r="AG198" s="125">
        <v>2021</v>
      </c>
      <c r="AH198" s="23">
        <v>2100</v>
      </c>
      <c r="AI198" s="125">
        <v>30</v>
      </c>
      <c r="AJ198" s="106">
        <f>AL198*F197/1000</f>
        <v>21540</v>
      </c>
      <c r="AK198" s="24">
        <f>AL198/[3]constantes!$B$4</f>
        <v>1923.0769230769231</v>
      </c>
      <c r="AL198">
        <v>7500</v>
      </c>
      <c r="AM198" s="87">
        <v>6</v>
      </c>
      <c r="AN198" s="531">
        <v>0</v>
      </c>
      <c r="AP198" s="532">
        <f t="shared" si="51"/>
        <v>21540</v>
      </c>
      <c r="AQ198" s="34"/>
      <c r="AR198" s="35">
        <f>AP198*1000/F197</f>
        <v>7500</v>
      </c>
      <c r="AS198" s="36">
        <f ca="1">OFFSET(cod_desembolso!$A$1,AM198,23)</f>
        <v>1.07328</v>
      </c>
      <c r="AT198" s="37">
        <f ca="1">IF(AP198=0,0,AP198*(OFFSET(cod_desembolso!$A$1,AM198,23)))</f>
        <v>23118.4512</v>
      </c>
      <c r="AU198" s="38">
        <f>(constantes!$B$3*(1+constantes!$B$3)^(AI198))/((1+constantes!$B$3)^(AI198)-1)</f>
        <v>8.8827433387272267E-2</v>
      </c>
      <c r="AV198" s="37">
        <f t="shared" ca="1" si="52"/>
        <v>2340.7526839849043</v>
      </c>
      <c r="AW198" s="37">
        <f ca="1">IF(AP198=0,AY198/constantes!$B$3,AV198/constantes!$B$3)</f>
        <v>29259.408549811302</v>
      </c>
      <c r="AX198" s="39">
        <f ca="1">IF(AP198=0,0,PV(constantes!$B$3,AI198,-AV198)*constantes!$B$3)</f>
        <v>2108.1349260916968</v>
      </c>
      <c r="AY198" s="40">
        <f>2*[3]constantes!$B$10*F197/1000</f>
        <v>287.2</v>
      </c>
      <c r="AZ198" s="533">
        <f>[3]constantes!$B$12</f>
        <v>0</v>
      </c>
      <c r="BA198" s="20">
        <v>319</v>
      </c>
      <c r="BC198" s="648"/>
      <c r="BE198" s="534"/>
      <c r="BF198" s="541"/>
      <c r="BG198" s="536"/>
      <c r="BH198" s="537"/>
    </row>
    <row r="199" spans="1:60" ht="15" hidden="1" customHeight="1">
      <c r="A199" s="125">
        <v>1215</v>
      </c>
      <c r="B199" s="125">
        <v>1318</v>
      </c>
      <c r="C199" s="421" t="s">
        <v>2447</v>
      </c>
      <c r="D199" s="421" t="s">
        <v>2451</v>
      </c>
      <c r="E199" s="421"/>
      <c r="F199" s="42">
        <v>4568.5</v>
      </c>
      <c r="K199" s="135" t="s">
        <v>152</v>
      </c>
      <c r="L199" s="135" t="s">
        <v>152</v>
      </c>
      <c r="M199" s="23">
        <v>1</v>
      </c>
      <c r="N199" s="540"/>
      <c r="O199" s="287">
        <v>2.5329999923706055E-2</v>
      </c>
      <c r="P199" s="287">
        <v>8.0909996032714843E-2</v>
      </c>
      <c r="Q199" s="288">
        <f>R199/$F198</f>
        <v>1.0497655604705665</v>
      </c>
      <c r="R199" s="30">
        <f t="shared" si="46"/>
        <v>2213.4306842521892</v>
      </c>
      <c r="S199" s="30">
        <f>F198-R199</f>
        <v>-104.93068425218917</v>
      </c>
      <c r="T199" s="42">
        <v>2626.7719293798664</v>
      </c>
      <c r="U199" s="42">
        <v>2476.4436810365901</v>
      </c>
      <c r="V199" s="42">
        <v>1700.8083874012273</v>
      </c>
      <c r="W199" s="42">
        <v>2049.6987391910734</v>
      </c>
      <c r="X199" s="288">
        <v>0.37130872075804133</v>
      </c>
      <c r="Y199" s="289">
        <f t="shared" si="49"/>
        <v>2213.4306842521892</v>
      </c>
      <c r="Z199" s="289">
        <f t="shared" si="50"/>
        <v>0</v>
      </c>
      <c r="AA199" s="42">
        <v>2626.7719293798664</v>
      </c>
      <c r="AB199" s="42">
        <v>2476.4436810365901</v>
      </c>
      <c r="AC199" s="42">
        <v>1700.8083874012273</v>
      </c>
      <c r="AD199" s="42">
        <v>2049.6987391910734</v>
      </c>
      <c r="AE199" s="106">
        <v>1</v>
      </c>
      <c r="AF199" s="32" t="str">
        <f>IF(AE199=0,"",VLOOKUP(AE199,[3]tab_tipo_expansao!$A$2:$B$4,2,0))</f>
        <v>opcional</v>
      </c>
      <c r="AG199" s="125">
        <v>2021</v>
      </c>
      <c r="AH199" s="23">
        <v>2100</v>
      </c>
      <c r="AI199" s="125">
        <v>30</v>
      </c>
      <c r="AJ199" s="106">
        <f>AL199*F198/1000</f>
        <v>15813.75</v>
      </c>
      <c r="AK199" s="24">
        <f>AL199/[3]constantes!$B$4</f>
        <v>1923.0769230769231</v>
      </c>
      <c r="AL199">
        <v>7500</v>
      </c>
      <c r="AM199" s="87">
        <v>6</v>
      </c>
      <c r="AN199" s="531">
        <v>0</v>
      </c>
      <c r="AP199" s="532">
        <f t="shared" si="51"/>
        <v>15813.75</v>
      </c>
      <c r="AQ199" s="34"/>
      <c r="AR199" s="35">
        <f>AP199*1000/F198</f>
        <v>7500</v>
      </c>
      <c r="AS199" s="36">
        <f ca="1">OFFSET(cod_desembolso!$A$1,AM199,23)</f>
        <v>1.07328</v>
      </c>
      <c r="AT199" s="37">
        <f ca="1">IF(AP199=0,0,AP199*(OFFSET(cod_desembolso!$A$1,AM199,23)))</f>
        <v>16972.581600000001</v>
      </c>
      <c r="AU199" s="38">
        <f>(constantes!$B$3*(1+constantes!$B$3)^(AI199))/((1+constantes!$B$3)^(AI199)-1)</f>
        <v>8.8827433387272267E-2</v>
      </c>
      <c r="AV199" s="37">
        <f t="shared" ca="1" si="52"/>
        <v>1718.4808614840431</v>
      </c>
      <c r="AW199" s="37">
        <f ca="1">IF(AP199=0,AY199/constantes!$B$3,AV199/constantes!$B$3)</f>
        <v>21481.010768550539</v>
      </c>
      <c r="AX199" s="39">
        <f ca="1">IF(AP199=0,0,PV(constantes!$B$3,AI199,-AV199)*constantes!$B$3)</f>
        <v>1547.7028174318746</v>
      </c>
      <c r="AY199" s="40">
        <f>2*[3]constantes!$B$10*F198/1000</f>
        <v>210.85</v>
      </c>
      <c r="AZ199" s="533">
        <f>[3]constantes!$B$12</f>
        <v>0</v>
      </c>
      <c r="BA199" s="20">
        <v>319</v>
      </c>
      <c r="BC199" s="648"/>
      <c r="BE199" s="534"/>
      <c r="BF199" s="541"/>
      <c r="BG199" s="536"/>
      <c r="BH199" s="537"/>
    </row>
    <row r="200" spans="1:60" ht="14.45" hidden="1">
      <c r="A200" s="125">
        <v>1301</v>
      </c>
      <c r="B200" s="125">
        <v>1301</v>
      </c>
      <c r="C200" s="546" t="s">
        <v>2452</v>
      </c>
      <c r="D200" s="546" t="s">
        <v>2452</v>
      </c>
      <c r="E200" s="546"/>
      <c r="F200" s="526">
        <v>1</v>
      </c>
      <c r="K200" s="549" t="s">
        <v>151</v>
      </c>
      <c r="L200" s="549" t="s">
        <v>151</v>
      </c>
      <c r="M200" s="662">
        <v>2</v>
      </c>
      <c r="N200" s="107"/>
      <c r="O200" s="529">
        <v>1.6719999999999999E-2</v>
      </c>
      <c r="P200" s="529">
        <v>5.4030000000000002E-2</v>
      </c>
      <c r="Q200" s="288">
        <f t="shared" ref="Q200:Q216" si="53">R200/$F200</f>
        <v>0.54455888158338783</v>
      </c>
      <c r="R200" s="30">
        <f t="shared" si="46"/>
        <v>0.54455888158338783</v>
      </c>
      <c r="S200" s="30">
        <f t="shared" ref="S200:S216" si="54">F200-R200</f>
        <v>0.45544111841661217</v>
      </c>
      <c r="T200" s="107">
        <v>0.51274816274463664</v>
      </c>
      <c r="U200" s="107">
        <v>0.50865090613562824</v>
      </c>
      <c r="V200" s="107">
        <v>0.59339865393857982</v>
      </c>
      <c r="W200" s="107">
        <v>0.56343780351470685</v>
      </c>
      <c r="X200" s="288">
        <f t="shared" ref="X200:X216" si="55">Y200/$F200</f>
        <v>0.54455888158338783</v>
      </c>
      <c r="Y200" s="289">
        <f t="shared" si="49"/>
        <v>0.54455888158338783</v>
      </c>
      <c r="Z200" s="289">
        <f t="shared" si="50"/>
        <v>0</v>
      </c>
      <c r="AA200" s="107">
        <v>0.51274816274463664</v>
      </c>
      <c r="AB200" s="107">
        <v>0.50865090613562824</v>
      </c>
      <c r="AC200" s="107">
        <v>0.59339865393857982</v>
      </c>
      <c r="AD200" s="107">
        <v>0.56343780351470685</v>
      </c>
      <c r="AE200" s="106">
        <v>2</v>
      </c>
      <c r="AF200" s="32" t="str">
        <f>IF(AE200=0,"",VLOOKUP(AE200,tab_tipo_expansao!$A$2:$B$4,2,0))</f>
        <v>obrigatoria</v>
      </c>
      <c r="AG200" s="125">
        <v>2015</v>
      </c>
      <c r="AH200" s="125">
        <v>2100</v>
      </c>
      <c r="AI200" s="125">
        <v>30</v>
      </c>
      <c r="AJ200" s="530">
        <f t="shared" ref="AJ200:AJ216" si="56">AL200*F200/1000</f>
        <v>5.97</v>
      </c>
      <c r="AK200" s="24">
        <f>AL200/constantes!$B$4</f>
        <v>1530.7692307692307</v>
      </c>
      <c r="AL200" s="22">
        <v>5970</v>
      </c>
      <c r="AM200" s="87">
        <v>6</v>
      </c>
      <c r="AN200" s="531">
        <v>0</v>
      </c>
      <c r="AO200" s="23"/>
      <c r="AP200" s="532">
        <f t="shared" si="51"/>
        <v>5.97</v>
      </c>
      <c r="AR200" s="35">
        <f t="shared" ref="AR200:AR216" si="57">AP200*1000/F200</f>
        <v>5970</v>
      </c>
      <c r="AS200" s="36">
        <f ca="1">OFFSET(cod_desembolso!$A$1,AM200,23)</f>
        <v>1.07328</v>
      </c>
      <c r="AT200" s="37">
        <f ca="1">IF(AP200=0,0,AP200*(OFFSET(cod_desembolso!$A$1,AM200,23)))</f>
        <v>6.4074815999999997</v>
      </c>
      <c r="AU200" s="38">
        <f>(constantes!$B$3*(1+constantes!$B$3)^(AI200))/((1+constantes!$B$3)^(AI200)-1)</f>
        <v>8.8827433387272267E-2</v>
      </c>
      <c r="AV200" s="37">
        <f t="shared" ca="1" si="52"/>
        <v>0.66916014500417265</v>
      </c>
      <c r="AW200" s="37">
        <f ca="1">IF(AP200=0,AY200/constantes!$B$3,AV200/constantes!$B$3)</f>
        <v>8.3645018125521577</v>
      </c>
      <c r="AX200" s="39">
        <f ca="1">IF(AP200=0,0,PV(constantes!$B$3,AI200,-AV200)*constantes!$B$3)</f>
        <v>0.60266079474501977</v>
      </c>
      <c r="AY200" s="40">
        <f>2*constantes!$B$10*F200/1000</f>
        <v>0.1</v>
      </c>
      <c r="AZ200" s="533">
        <f>constantes!$B$12</f>
        <v>0</v>
      </c>
      <c r="BA200" s="20">
        <v>319</v>
      </c>
      <c r="BB200" s="43"/>
      <c r="BC200" s="648"/>
      <c r="BE200" s="534"/>
      <c r="BF200" s="535"/>
      <c r="BG200" s="536"/>
      <c r="BH200" s="537"/>
    </row>
    <row r="201" spans="1:60" ht="14.45" hidden="1">
      <c r="A201" s="125">
        <v>1302</v>
      </c>
      <c r="B201" s="125">
        <v>1302</v>
      </c>
      <c r="C201" s="546" t="s">
        <v>2453</v>
      </c>
      <c r="D201" s="546" t="s">
        <v>2453</v>
      </c>
      <c r="E201" s="546"/>
      <c r="F201" s="526">
        <v>3.4</v>
      </c>
      <c r="K201" s="549" t="s">
        <v>155</v>
      </c>
      <c r="L201" s="549" t="s">
        <v>155</v>
      </c>
      <c r="M201" s="662">
        <v>9</v>
      </c>
      <c r="N201" s="107"/>
      <c r="O201" s="529">
        <v>1.9820000000000001E-2</v>
      </c>
      <c r="P201" s="529">
        <v>5.2919999999999995E-2</v>
      </c>
      <c r="Q201" s="288">
        <f t="shared" si="53"/>
        <v>0.53361857228515952</v>
      </c>
      <c r="R201" s="30">
        <f t="shared" si="46"/>
        <v>1.8143031457695422</v>
      </c>
      <c r="S201" s="30">
        <f t="shared" si="54"/>
        <v>1.5856968542304577</v>
      </c>
      <c r="T201" s="107">
        <v>2.0989980301451632</v>
      </c>
      <c r="U201" s="107">
        <v>1.9712020886314214</v>
      </c>
      <c r="V201" s="107">
        <v>1.4807809950338366</v>
      </c>
      <c r="W201" s="107">
        <v>1.7062314692677472</v>
      </c>
      <c r="X201" s="288">
        <f t="shared" si="55"/>
        <v>0.53361857228515952</v>
      </c>
      <c r="Y201" s="289">
        <f t="shared" si="49"/>
        <v>1.8143031457695422</v>
      </c>
      <c r="Z201" s="289">
        <f t="shared" si="50"/>
        <v>0</v>
      </c>
      <c r="AA201" s="107">
        <v>2.0989980301451632</v>
      </c>
      <c r="AB201" s="107">
        <v>1.9712020886314214</v>
      </c>
      <c r="AC201" s="107">
        <v>1.4807809950338366</v>
      </c>
      <c r="AD201" s="107">
        <v>1.7062314692677472</v>
      </c>
      <c r="AE201" s="106">
        <v>2</v>
      </c>
      <c r="AF201" s="32" t="str">
        <f>IF(AE201=0,"",VLOOKUP(AE201,tab_tipo_expansao!$A$2:$B$4,2,0))</f>
        <v>obrigatoria</v>
      </c>
      <c r="AG201" s="125">
        <v>2015</v>
      </c>
      <c r="AH201" s="125">
        <v>2100</v>
      </c>
      <c r="AI201" s="125">
        <v>30</v>
      </c>
      <c r="AJ201" s="530">
        <f t="shared" si="56"/>
        <v>20.491799999999994</v>
      </c>
      <c r="AK201" s="24">
        <f>AL201/constantes!$B$4</f>
        <v>1545.3846153846152</v>
      </c>
      <c r="AL201" s="22">
        <v>6026.9999999999991</v>
      </c>
      <c r="AM201" s="87">
        <v>6</v>
      </c>
      <c r="AN201" s="531">
        <v>0</v>
      </c>
      <c r="AO201" s="23"/>
      <c r="AP201" s="532">
        <f t="shared" si="51"/>
        <v>20.491799999999994</v>
      </c>
      <c r="AR201" s="35">
        <f t="shared" si="57"/>
        <v>6026.9999999999991</v>
      </c>
      <c r="AS201" s="36">
        <f ca="1">OFFSET(cod_desembolso!$A$1,AM201,23)</f>
        <v>1.07328</v>
      </c>
      <c r="AT201" s="37">
        <f ca="1">IF(AP201=0,0,AP201*(OFFSET(cod_desembolso!$A$1,AM201,23)))</f>
        <v>21.993439103999993</v>
      </c>
      <c r="AU201" s="38">
        <f>(constantes!$B$3*(1+constantes!$B$3)^(AI201))/((1+constantes!$B$3)^(AI201)-1)</f>
        <v>8.8827433387272267E-2</v>
      </c>
      <c r="AV201" s="37">
        <f t="shared" ca="1" si="52"/>
        <v>2.2936207469675884</v>
      </c>
      <c r="AW201" s="37">
        <f ca="1">IF(AP201=0,AY201/constantes!$B$3,AV201/constantes!$B$3)</f>
        <v>28.670259337094855</v>
      </c>
      <c r="AX201" s="39">
        <f ca="1">IF(AP201=0,0,PV(constantes!$B$3,AI201,-AV201)*constantes!$B$3)</f>
        <v>2.0656868352530671</v>
      </c>
      <c r="AY201" s="40">
        <f>2*constantes!$B$10*F201/1000</f>
        <v>0.34</v>
      </c>
      <c r="AZ201" s="533">
        <f>constantes!$B$12</f>
        <v>0</v>
      </c>
      <c r="BA201" s="20">
        <v>319</v>
      </c>
      <c r="BB201" s="43"/>
      <c r="BC201" s="648"/>
      <c r="BE201" s="534"/>
      <c r="BF201" s="535"/>
      <c r="BG201" s="536"/>
      <c r="BH201" s="537"/>
    </row>
    <row r="202" spans="1:60" ht="14.45" hidden="1">
      <c r="A202" s="125">
        <v>1303</v>
      </c>
      <c r="B202" s="125">
        <v>1303</v>
      </c>
      <c r="C202" s="546" t="s">
        <v>2454</v>
      </c>
      <c r="D202" s="546" t="s">
        <v>2454</v>
      </c>
      <c r="E202" s="546"/>
      <c r="F202" s="526">
        <v>166.4</v>
      </c>
      <c r="K202" s="549" t="s">
        <v>148</v>
      </c>
      <c r="L202" s="549" t="s">
        <v>148</v>
      </c>
      <c r="M202" s="662">
        <v>1</v>
      </c>
      <c r="N202" s="107"/>
      <c r="O202" s="529">
        <v>2.5329999923706055E-2</v>
      </c>
      <c r="P202" s="529">
        <v>8.0909996032714843E-2</v>
      </c>
      <c r="Q202" s="288">
        <f t="shared" si="53"/>
        <v>0.48442264106550825</v>
      </c>
      <c r="R202" s="30">
        <f t="shared" si="46"/>
        <v>80.607927473300578</v>
      </c>
      <c r="S202" s="30">
        <f t="shared" si="54"/>
        <v>85.792072526699428</v>
      </c>
      <c r="T202" s="107">
        <v>95.6608411904664</v>
      </c>
      <c r="U202" s="107">
        <v>90.186240776793625</v>
      </c>
      <c r="V202" s="107">
        <v>61.939431902263721</v>
      </c>
      <c r="W202" s="107">
        <v>74.645196023678608</v>
      </c>
      <c r="X202" s="288">
        <f t="shared" si="55"/>
        <v>0.48442264106550825</v>
      </c>
      <c r="Y202" s="289">
        <f t="shared" si="49"/>
        <v>80.607927473300578</v>
      </c>
      <c r="Z202" s="289">
        <f t="shared" si="50"/>
        <v>0</v>
      </c>
      <c r="AA202" s="107">
        <v>95.6608411904664</v>
      </c>
      <c r="AB202" s="107">
        <v>90.186240776793625</v>
      </c>
      <c r="AC202" s="107">
        <v>61.939431902263721</v>
      </c>
      <c r="AD202" s="107">
        <v>74.645196023678608</v>
      </c>
      <c r="AE202" s="106">
        <v>2</v>
      </c>
      <c r="AF202" s="32" t="str">
        <f>IF(AE202=0,"",VLOOKUP(AE202,tab_tipo_expansao!$A$2:$B$4,2,0))</f>
        <v>obrigatoria</v>
      </c>
      <c r="AG202" s="125">
        <v>2016</v>
      </c>
      <c r="AH202" s="125">
        <v>2100</v>
      </c>
      <c r="AI202" s="125">
        <v>30</v>
      </c>
      <c r="AJ202" s="530">
        <f t="shared" si="56"/>
        <v>1006.0544</v>
      </c>
      <c r="AK202" s="24">
        <f>AL202/constantes!$B$4</f>
        <v>1550.2564102564104</v>
      </c>
      <c r="AL202" s="22">
        <v>6046</v>
      </c>
      <c r="AM202" s="87">
        <v>6</v>
      </c>
      <c r="AN202" s="531">
        <v>0</v>
      </c>
      <c r="AO202" s="23"/>
      <c r="AP202" s="532">
        <f t="shared" si="51"/>
        <v>1006.0544</v>
      </c>
      <c r="AR202" s="35">
        <f t="shared" si="57"/>
        <v>6046</v>
      </c>
      <c r="AS202" s="36">
        <f ca="1">OFFSET(cod_desembolso!$A$1,AM202,23)</f>
        <v>1.07328</v>
      </c>
      <c r="AT202" s="37">
        <f ca="1">IF(AP202=0,0,AP202*(OFFSET(cod_desembolso!$A$1,AM202,23)))</f>
        <v>1079.7780664320001</v>
      </c>
      <c r="AU202" s="38">
        <f>(constantes!$B$3*(1+constantes!$B$3)^(AI202))/((1+constantes!$B$3)^(AI202)-1)</f>
        <v>8.8827433387272267E-2</v>
      </c>
      <c r="AV202" s="37">
        <f t="shared" ca="1" si="52"/>
        <v>112.55391426902614</v>
      </c>
      <c r="AW202" s="37">
        <f ca="1">IF(AP202=0,AY202/constantes!$B$3,AV202/constantes!$B$3)</f>
        <v>1406.9239283628267</v>
      </c>
      <c r="AX202" s="39">
        <f ca="1">IF(AP202=0,0,PV(constantes!$B$3,AI202,-AV202)*constantes!$B$3)</f>
        <v>101.36860650093131</v>
      </c>
      <c r="AY202" s="40">
        <f>2*constantes!$B$10*F202/1000</f>
        <v>16.64</v>
      </c>
      <c r="AZ202" s="533">
        <f>constantes!$B$12</f>
        <v>0</v>
      </c>
      <c r="BA202" s="20">
        <v>319</v>
      </c>
      <c r="BB202" s="43"/>
      <c r="BC202" s="648"/>
      <c r="BE202" s="534"/>
      <c r="BF202" s="535"/>
      <c r="BG202" s="536"/>
      <c r="BH202" s="537"/>
    </row>
    <row r="203" spans="1:60" ht="14.45" hidden="1">
      <c r="A203" s="125">
        <v>1304</v>
      </c>
      <c r="B203" s="125">
        <v>1304</v>
      </c>
      <c r="C203" s="546" t="s">
        <v>2455</v>
      </c>
      <c r="D203" s="546" t="s">
        <v>2455</v>
      </c>
      <c r="E203" s="546"/>
      <c r="F203" s="526">
        <v>115.5</v>
      </c>
      <c r="K203" s="549" t="s">
        <v>151</v>
      </c>
      <c r="L203" s="549" t="s">
        <v>151</v>
      </c>
      <c r="M203" s="662">
        <v>2</v>
      </c>
      <c r="N203" s="107"/>
      <c r="O203" s="529">
        <v>1.6719999999999999E-2</v>
      </c>
      <c r="P203" s="529">
        <v>5.4030000000000002E-2</v>
      </c>
      <c r="Q203" s="288">
        <f t="shared" si="53"/>
        <v>0.5449435220580533</v>
      </c>
      <c r="R203" s="30">
        <f t="shared" si="46"/>
        <v>62.940976797705162</v>
      </c>
      <c r="S203" s="30">
        <f t="shared" si="54"/>
        <v>52.559023202294838</v>
      </c>
      <c r="T203" s="107">
        <v>59.264243603075279</v>
      </c>
      <c r="U203" s="107">
        <v>58.790676204060524</v>
      </c>
      <c r="V203" s="107">
        <v>68.585954930602654</v>
      </c>
      <c r="W203" s="107">
        <v>65.123032453082217</v>
      </c>
      <c r="X203" s="288">
        <f t="shared" si="55"/>
        <v>0.5449435220580533</v>
      </c>
      <c r="Y203" s="289">
        <f t="shared" si="49"/>
        <v>62.940976797705162</v>
      </c>
      <c r="Z203" s="289">
        <f t="shared" si="50"/>
        <v>0</v>
      </c>
      <c r="AA203" s="107">
        <v>59.264243603075279</v>
      </c>
      <c r="AB203" s="107">
        <v>58.790676204060524</v>
      </c>
      <c r="AC203" s="107">
        <v>68.585954930602654</v>
      </c>
      <c r="AD203" s="107">
        <v>65.123032453082217</v>
      </c>
      <c r="AE203" s="106">
        <v>2</v>
      </c>
      <c r="AF203" s="32" t="str">
        <f>IF(AE203=0,"",VLOOKUP(AE203,tab_tipo_expansao!$A$2:$B$4,2,0))</f>
        <v>obrigatoria</v>
      </c>
      <c r="AG203" s="125">
        <v>2016</v>
      </c>
      <c r="AH203" s="125">
        <v>2100</v>
      </c>
      <c r="AI203" s="125">
        <v>30</v>
      </c>
      <c r="AJ203" s="530">
        <f t="shared" si="56"/>
        <v>689.53499999999997</v>
      </c>
      <c r="AK203" s="24">
        <f>AL203/constantes!$B$4</f>
        <v>1530.7692307692307</v>
      </c>
      <c r="AL203" s="22">
        <v>5970</v>
      </c>
      <c r="AM203" s="87">
        <v>6</v>
      </c>
      <c r="AN203" s="531">
        <v>0</v>
      </c>
      <c r="AO203" s="23"/>
      <c r="AP203" s="532">
        <f t="shared" si="51"/>
        <v>689.53499999999997</v>
      </c>
      <c r="AR203" s="35">
        <f t="shared" si="57"/>
        <v>5970</v>
      </c>
      <c r="AS203" s="36">
        <f ca="1">OFFSET(cod_desembolso!$A$1,AM203,23)</f>
        <v>1.07328</v>
      </c>
      <c r="AT203" s="37">
        <f ca="1">IF(AP203=0,0,AP203*(OFFSET(cod_desembolso!$A$1,AM203,23)))</f>
        <v>740.06412479999995</v>
      </c>
      <c r="AU203" s="38">
        <f>(constantes!$B$3*(1+constantes!$B$3)^(AI203))/((1+constantes!$B$3)^(AI203)-1)</f>
        <v>8.8827433387272267E-2</v>
      </c>
      <c r="AV203" s="37">
        <f t="shared" ca="1" si="52"/>
        <v>77.287996747981936</v>
      </c>
      <c r="AW203" s="37">
        <f ca="1">IF(AP203=0,AY203/constantes!$B$3,AV203/constantes!$B$3)</f>
        <v>966.09995934977417</v>
      </c>
      <c r="AX203" s="39">
        <f ca="1">IF(AP203=0,0,PV(constantes!$B$3,AI203,-AV203)*constantes!$B$3)</f>
        <v>69.607321793049778</v>
      </c>
      <c r="AY203" s="40">
        <f>2*constantes!$B$10*F203/1000</f>
        <v>11.55</v>
      </c>
      <c r="AZ203" s="533">
        <f>constantes!$B$12</f>
        <v>0</v>
      </c>
      <c r="BA203" s="20">
        <v>319</v>
      </c>
      <c r="BB203" s="43"/>
      <c r="BC203" s="648"/>
      <c r="BE203" s="534"/>
      <c r="BF203" s="535"/>
      <c r="BG203" s="536"/>
      <c r="BH203" s="537"/>
    </row>
    <row r="204" spans="1:60" ht="14.45" hidden="1">
      <c r="A204" s="125">
        <v>1305</v>
      </c>
      <c r="B204" s="125">
        <v>1305</v>
      </c>
      <c r="C204" s="546" t="s">
        <v>2456</v>
      </c>
      <c r="D204" s="546" t="s">
        <v>2456</v>
      </c>
      <c r="E204" s="546"/>
      <c r="F204" s="526">
        <v>5.8</v>
      </c>
      <c r="K204" s="549" t="s">
        <v>154</v>
      </c>
      <c r="L204" s="549" t="s">
        <v>154</v>
      </c>
      <c r="M204" s="662">
        <v>3</v>
      </c>
      <c r="N204" s="107"/>
      <c r="O204" s="529">
        <v>1.6719999999999999E-2</v>
      </c>
      <c r="P204" s="529">
        <v>5.4030000000000002E-2</v>
      </c>
      <c r="Q204" s="288">
        <f t="shared" si="53"/>
        <v>0.31921215183791418</v>
      </c>
      <c r="R204" s="30">
        <f t="shared" si="46"/>
        <v>1.8514304806599022</v>
      </c>
      <c r="S204" s="30">
        <f t="shared" si="54"/>
        <v>3.9485695193400976</v>
      </c>
      <c r="T204" s="107">
        <v>1.668918936122066</v>
      </c>
      <c r="U204" s="107">
        <v>1.7976075743650111</v>
      </c>
      <c r="V204" s="107">
        <v>2.1038190088363407</v>
      </c>
      <c r="W204" s="107">
        <v>1.835376403316191</v>
      </c>
      <c r="X204" s="288">
        <f t="shared" si="55"/>
        <v>0.31921215183791418</v>
      </c>
      <c r="Y204" s="289">
        <f t="shared" si="49"/>
        <v>1.8514304806599022</v>
      </c>
      <c r="Z204" s="289">
        <f t="shared" si="50"/>
        <v>0</v>
      </c>
      <c r="AA204" s="107">
        <v>1.668918936122066</v>
      </c>
      <c r="AB204" s="107">
        <v>1.7976075743650111</v>
      </c>
      <c r="AC204" s="107">
        <v>2.1038190088363407</v>
      </c>
      <c r="AD204" s="107">
        <v>1.835376403316191</v>
      </c>
      <c r="AE204" s="106">
        <v>2</v>
      </c>
      <c r="AF204" s="32" t="str">
        <f>IF(AE204=0,"",VLOOKUP(AE204,tab_tipo_expansao!$A$2:$B$4,2,0))</f>
        <v>obrigatoria</v>
      </c>
      <c r="AG204" s="125">
        <v>2016</v>
      </c>
      <c r="AH204" s="125">
        <v>2100</v>
      </c>
      <c r="AI204" s="125">
        <v>30</v>
      </c>
      <c r="AJ204" s="530">
        <f t="shared" si="56"/>
        <v>34.956600000000002</v>
      </c>
      <c r="AK204" s="24">
        <f>AL204/constantes!$B$4</f>
        <v>1545.3846153846155</v>
      </c>
      <c r="AL204" s="22">
        <v>6027</v>
      </c>
      <c r="AM204" s="87">
        <v>6</v>
      </c>
      <c r="AN204" s="531">
        <v>0</v>
      </c>
      <c r="AO204" s="23"/>
      <c r="AP204" s="532">
        <f t="shared" si="51"/>
        <v>34.956600000000002</v>
      </c>
      <c r="AR204" s="35">
        <f t="shared" si="57"/>
        <v>6027</v>
      </c>
      <c r="AS204" s="36">
        <f ca="1">OFFSET(cod_desembolso!$A$1,AM204,23)</f>
        <v>1.07328</v>
      </c>
      <c r="AT204" s="37">
        <f ca="1">IF(AP204=0,0,AP204*(OFFSET(cod_desembolso!$A$1,AM204,23)))</f>
        <v>37.518219647999999</v>
      </c>
      <c r="AU204" s="38">
        <f>(constantes!$B$3*(1+constantes!$B$3)^(AI204))/((1+constantes!$B$3)^(AI204)-1)</f>
        <v>8.8827433387272267E-2</v>
      </c>
      <c r="AV204" s="37">
        <f t="shared" ca="1" si="52"/>
        <v>3.9126471565917695</v>
      </c>
      <c r="AW204" s="37">
        <f ca="1">IF(AP204=0,AY204/constantes!$B$3,AV204/constantes!$B$3)</f>
        <v>48.908089457397118</v>
      </c>
      <c r="AX204" s="39">
        <f ca="1">IF(AP204=0,0,PV(constantes!$B$3,AI204,-AV204)*constantes!$B$3)</f>
        <v>3.523818718961115</v>
      </c>
      <c r="AY204" s="40">
        <f>2*constantes!$B$10*F204/1000</f>
        <v>0.57999999999999996</v>
      </c>
      <c r="AZ204" s="533">
        <f>constantes!$B$12</f>
        <v>0</v>
      </c>
      <c r="BA204" s="20">
        <v>319</v>
      </c>
      <c r="BB204" s="43"/>
      <c r="BC204" s="648"/>
      <c r="BE204" s="534"/>
      <c r="BF204" s="535"/>
      <c r="BG204" s="536"/>
      <c r="BH204" s="537"/>
    </row>
    <row r="205" spans="1:60" ht="15" hidden="1" customHeight="1">
      <c r="A205" s="125">
        <v>1306</v>
      </c>
      <c r="B205" s="125">
        <v>1306</v>
      </c>
      <c r="C205" s="546" t="s">
        <v>2457</v>
      </c>
      <c r="D205" s="546" t="s">
        <v>2457</v>
      </c>
      <c r="E205" s="546"/>
      <c r="F205" s="526">
        <v>7.4</v>
      </c>
      <c r="K205" s="549" t="s">
        <v>157</v>
      </c>
      <c r="L205" s="549" t="s">
        <v>157</v>
      </c>
      <c r="M205" s="662">
        <v>6</v>
      </c>
      <c r="N205" s="107"/>
      <c r="O205" s="529">
        <v>1.6719999999999999E-2</v>
      </c>
      <c r="P205" s="529">
        <v>5.4030000000000002E-2</v>
      </c>
      <c r="Q205" s="288">
        <f t="shared" si="53"/>
        <v>0.48482570767764749</v>
      </c>
      <c r="R205" s="30">
        <f t="shared" si="46"/>
        <v>3.5877102368145914</v>
      </c>
      <c r="S205" s="30">
        <f t="shared" si="54"/>
        <v>3.8122897631854089</v>
      </c>
      <c r="T205" s="107">
        <v>4.2576876736473475</v>
      </c>
      <c r="U205" s="107">
        <v>4.0140233026323635</v>
      </c>
      <c r="V205" s="107">
        <v>2.7568099176329404</v>
      </c>
      <c r="W205" s="107">
        <v>3.3223200533457153</v>
      </c>
      <c r="X205" s="288">
        <f t="shared" si="55"/>
        <v>0.48482570767764749</v>
      </c>
      <c r="Y205" s="289">
        <f t="shared" si="49"/>
        <v>3.5877102368145914</v>
      </c>
      <c r="Z205" s="289">
        <f t="shared" si="50"/>
        <v>0</v>
      </c>
      <c r="AA205" s="107">
        <v>4.2576876736473475</v>
      </c>
      <c r="AB205" s="107">
        <v>4.0140233026323635</v>
      </c>
      <c r="AC205" s="107">
        <v>2.7568099176329404</v>
      </c>
      <c r="AD205" s="107">
        <v>3.3223200533457153</v>
      </c>
      <c r="AE205" s="106">
        <v>2</v>
      </c>
      <c r="AF205" s="32" t="str">
        <f>IF(AE205=0,"",VLOOKUP(AE205,tab_tipo_expansao!$A$2:$B$4,2,0))</f>
        <v>obrigatoria</v>
      </c>
      <c r="AG205" s="125">
        <v>2016</v>
      </c>
      <c r="AH205" s="125">
        <v>2100</v>
      </c>
      <c r="AI205" s="125">
        <v>30</v>
      </c>
      <c r="AJ205" s="530">
        <f t="shared" si="56"/>
        <v>44.599799999999995</v>
      </c>
      <c r="AK205" s="24">
        <f>AL205/constantes!$B$4</f>
        <v>1545.3846153846152</v>
      </c>
      <c r="AL205" s="22">
        <v>6026.9999999999991</v>
      </c>
      <c r="AM205" s="87">
        <v>6</v>
      </c>
      <c r="AN205" s="531">
        <v>0</v>
      </c>
      <c r="AO205" s="23"/>
      <c r="AP205" s="532">
        <f t="shared" si="51"/>
        <v>44.599799999999995</v>
      </c>
      <c r="AR205" s="35">
        <f t="shared" si="57"/>
        <v>6026.9999999999991</v>
      </c>
      <c r="AS205" s="36">
        <f ca="1">OFFSET(cod_desembolso!$A$1,AM205,23)</f>
        <v>1.07328</v>
      </c>
      <c r="AT205" s="37">
        <f ca="1">IF(AP205=0,0,AP205*(OFFSET(cod_desembolso!$A$1,AM205,23)))</f>
        <v>47.868073343999995</v>
      </c>
      <c r="AU205" s="38">
        <f>(constantes!$B$3*(1+constantes!$B$3)^(AI205))/((1+constantes!$B$3)^(AI205)-1)</f>
        <v>8.8827433387272267E-2</v>
      </c>
      <c r="AV205" s="37">
        <f t="shared" ca="1" si="52"/>
        <v>4.9919980963412227</v>
      </c>
      <c r="AW205" s="37">
        <f ca="1">IF(AP205=0,AY205/constantes!$B$3,AV205/constantes!$B$3)</f>
        <v>62.399976204265286</v>
      </c>
      <c r="AX205" s="39">
        <f ca="1">IF(AP205=0,0,PV(constantes!$B$3,AI205,-AV205)*constantes!$B$3)</f>
        <v>4.4959066414331463</v>
      </c>
      <c r="AY205" s="40">
        <f>2*constantes!$B$10*F205/1000</f>
        <v>0.74</v>
      </c>
      <c r="AZ205" s="533">
        <f>constantes!$B$12</f>
        <v>0</v>
      </c>
      <c r="BA205" s="20">
        <v>319</v>
      </c>
      <c r="BB205" s="43"/>
      <c r="BC205" s="648"/>
      <c r="BE205" s="534"/>
      <c r="BF205" s="535"/>
      <c r="BG205" s="536"/>
      <c r="BH205" s="537"/>
    </row>
    <row r="206" spans="1:60" ht="15" hidden="1" customHeight="1">
      <c r="A206" s="125">
        <v>1307</v>
      </c>
      <c r="B206" s="125">
        <v>1307</v>
      </c>
      <c r="C206" t="s">
        <v>2458</v>
      </c>
      <c r="D206" t="s">
        <v>2458</v>
      </c>
      <c r="E206"/>
      <c r="F206" s="42">
        <v>11.2</v>
      </c>
      <c r="K206" s="135" t="s">
        <v>152</v>
      </c>
      <c r="L206" s="135" t="s">
        <v>152</v>
      </c>
      <c r="M206" s="23">
        <v>1</v>
      </c>
      <c r="N206" s="540"/>
      <c r="O206" s="287">
        <v>2.5329999923706055E-2</v>
      </c>
      <c r="P206" s="287">
        <v>8.0909996032714843E-2</v>
      </c>
      <c r="Q206" s="288">
        <f t="shared" si="53"/>
        <v>0.48493093173882967</v>
      </c>
      <c r="R206" s="30">
        <f t="shared" si="46"/>
        <v>5.4312264354748923</v>
      </c>
      <c r="S206" s="30">
        <f t="shared" si="54"/>
        <v>5.768773564525107</v>
      </c>
      <c r="T206" s="42">
        <v>6.4454664174999001</v>
      </c>
      <c r="U206" s="42">
        <v>6.0765970590828893</v>
      </c>
      <c r="V206" s="42">
        <v>4.1733746356063826</v>
      </c>
      <c r="W206" s="42">
        <v>5.0294676297103953</v>
      </c>
      <c r="X206" s="288">
        <f t="shared" si="55"/>
        <v>0.48493093173882967</v>
      </c>
      <c r="Y206" s="289">
        <f t="shared" si="49"/>
        <v>5.4312264354748923</v>
      </c>
      <c r="Z206" s="289">
        <f t="shared" si="50"/>
        <v>0</v>
      </c>
      <c r="AA206" s="42">
        <v>6.4454664174999001</v>
      </c>
      <c r="AB206" s="42">
        <v>6.0765970590828893</v>
      </c>
      <c r="AC206" s="42">
        <v>4.1733746356063826</v>
      </c>
      <c r="AD206" s="42">
        <v>5.0294676297103953</v>
      </c>
      <c r="AE206" s="106">
        <v>2</v>
      </c>
      <c r="AF206" s="32" t="str">
        <f>IF(AE206=0,"",VLOOKUP(AE206,tab_tipo_expansao!$A$2:$B$4,2,0))</f>
        <v>obrigatoria</v>
      </c>
      <c r="AG206" s="125">
        <v>2017</v>
      </c>
      <c r="AH206" s="23">
        <v>2100</v>
      </c>
      <c r="AI206" s="125">
        <v>30</v>
      </c>
      <c r="AJ206" s="106">
        <f t="shared" si="56"/>
        <v>66.864000000000004</v>
      </c>
      <c r="AK206" s="24">
        <f>AL206/constantes!$B$4</f>
        <v>1530.7692307692307</v>
      </c>
      <c r="AL206">
        <v>5970</v>
      </c>
      <c r="AM206" s="87">
        <v>6</v>
      </c>
      <c r="AN206" s="531">
        <v>0</v>
      </c>
      <c r="AP206" s="532">
        <f t="shared" si="51"/>
        <v>66.864000000000004</v>
      </c>
      <c r="AQ206" s="34"/>
      <c r="AR206" s="35">
        <f t="shared" si="57"/>
        <v>5970</v>
      </c>
      <c r="AS206" s="36">
        <f ca="1">OFFSET(cod_desembolso!$A$1,AM206,23)</f>
        <v>1.07328</v>
      </c>
      <c r="AT206" s="37">
        <f ca="1">IF(AP206=0,0,AP206*(OFFSET(cod_desembolso!$A$1,AM206,23)))</f>
        <v>71.763793920000012</v>
      </c>
      <c r="AU206" s="38">
        <f>(constantes!$B$3*(1+constantes!$B$3)^(AI206))/((1+constantes!$B$3)^(AI206)-1)</f>
        <v>8.8827433387272267E-2</v>
      </c>
      <c r="AV206" s="37">
        <f t="shared" ca="1" si="52"/>
        <v>7.4945936240467361</v>
      </c>
      <c r="AW206" s="37">
        <f ca="1">IF(AP206=0,AY206/constantes!$B$3,AV206/constantes!$B$3)</f>
        <v>93.682420300584198</v>
      </c>
      <c r="AX206" s="39">
        <f ca="1">IF(AP206=0,0,PV(constantes!$B$3,AI206,-AV206)*constantes!$B$3)</f>
        <v>6.7498009011442228</v>
      </c>
      <c r="AY206" s="40">
        <f>2*constantes!$B$10*F206/1000</f>
        <v>1.1200000000000001</v>
      </c>
      <c r="AZ206" s="533">
        <f>constantes!$B$12</f>
        <v>0</v>
      </c>
      <c r="BA206" s="20">
        <v>319</v>
      </c>
      <c r="BC206" s="648"/>
      <c r="BE206" s="534"/>
      <c r="BF206" s="541"/>
      <c r="BG206" s="536"/>
      <c r="BH206" s="537"/>
    </row>
    <row r="207" spans="1:60" ht="15" hidden="1" customHeight="1">
      <c r="A207" s="125">
        <v>1308</v>
      </c>
      <c r="B207" s="125">
        <v>1308</v>
      </c>
      <c r="C207" t="s">
        <v>2459</v>
      </c>
      <c r="D207" t="s">
        <v>2459</v>
      </c>
      <c r="E207"/>
      <c r="F207" s="42">
        <v>48.6</v>
      </c>
      <c r="K207" s="135" t="s">
        <v>153</v>
      </c>
      <c r="L207" s="135" t="s">
        <v>153</v>
      </c>
      <c r="M207" s="23">
        <v>2</v>
      </c>
      <c r="N207" s="540"/>
      <c r="O207" s="287">
        <v>1.6719999999999999E-2</v>
      </c>
      <c r="P207" s="287">
        <v>5.4030000000000002E-2</v>
      </c>
      <c r="Q207" s="288">
        <f t="shared" si="53"/>
        <v>0.54485162261267495</v>
      </c>
      <c r="R207" s="30">
        <f t="shared" si="46"/>
        <v>26.479788858976001</v>
      </c>
      <c r="S207" s="30">
        <f t="shared" si="54"/>
        <v>22.120211141024001</v>
      </c>
      <c r="T207" s="42">
        <v>24.932956832560148</v>
      </c>
      <c r="U207" s="42">
        <v>24.733723115919407</v>
      </c>
      <c r="V207" s="42">
        <v>28.854677789490854</v>
      </c>
      <c r="W207" s="42">
        <v>27.397797697933601</v>
      </c>
      <c r="X207" s="288">
        <f t="shared" si="55"/>
        <v>0.54485162261267495</v>
      </c>
      <c r="Y207" s="289">
        <f t="shared" si="49"/>
        <v>26.479788858976001</v>
      </c>
      <c r="Z207" s="289">
        <f t="shared" si="50"/>
        <v>0</v>
      </c>
      <c r="AA207" s="42">
        <v>24.932956832560148</v>
      </c>
      <c r="AB207" s="42">
        <v>24.733723115919407</v>
      </c>
      <c r="AC207" s="42">
        <v>28.854677789490854</v>
      </c>
      <c r="AD207" s="42">
        <v>27.397797697933601</v>
      </c>
      <c r="AE207" s="106">
        <v>2</v>
      </c>
      <c r="AF207" s="32" t="str">
        <f>IF(AE207=0,"",VLOOKUP(AE207,tab_tipo_expansao!$A$2:$B$4,2,0))</f>
        <v>obrigatoria</v>
      </c>
      <c r="AG207" s="125">
        <v>2017</v>
      </c>
      <c r="AH207" s="23">
        <v>2100</v>
      </c>
      <c r="AI207" s="125">
        <v>30</v>
      </c>
      <c r="AJ207" s="106">
        <f t="shared" si="56"/>
        <v>293.83560000000006</v>
      </c>
      <c r="AK207" s="24">
        <f>AL207/constantes!$B$4</f>
        <v>1550.2564102564104</v>
      </c>
      <c r="AL207">
        <v>6046</v>
      </c>
      <c r="AM207" s="87">
        <v>6</v>
      </c>
      <c r="AN207" s="531">
        <v>0</v>
      </c>
      <c r="AP207" s="532">
        <f t="shared" si="51"/>
        <v>293.83560000000006</v>
      </c>
      <c r="AQ207" s="34"/>
      <c r="AR207" s="35">
        <f t="shared" si="57"/>
        <v>6046.0000000000009</v>
      </c>
      <c r="AS207" s="36">
        <f ca="1">OFFSET(cod_desembolso!$A$1,AM207,23)</f>
        <v>1.07328</v>
      </c>
      <c r="AT207" s="37">
        <f ca="1">IF(AP207=0,0,AP207*(OFFSET(cod_desembolso!$A$1,AM207,23)))</f>
        <v>315.36787276800004</v>
      </c>
      <c r="AU207" s="38">
        <f>(constantes!$B$3*(1+constantes!$B$3)^(AI207))/((1+constantes!$B$3)^(AI207)-1)</f>
        <v>8.8827433387272267E-2</v>
      </c>
      <c r="AV207" s="37">
        <f t="shared" ca="1" si="52"/>
        <v>32.873318710785277</v>
      </c>
      <c r="AW207" s="37">
        <f ca="1">IF(AP207=0,AY207/constantes!$B$3,AV207/constantes!$B$3)</f>
        <v>410.91648388481593</v>
      </c>
      <c r="AX207" s="39">
        <f ca="1">IF(AP207=0,0,PV(constantes!$B$3,AI207,-AV207)*constantes!$B$3)</f>
        <v>29.606455985247969</v>
      </c>
      <c r="AY207" s="40">
        <f>2*constantes!$B$10*F207/1000</f>
        <v>4.8600000000000003</v>
      </c>
      <c r="AZ207" s="533">
        <f>constantes!$B$12</f>
        <v>0</v>
      </c>
      <c r="BA207" s="20">
        <v>319</v>
      </c>
      <c r="BC207" s="648"/>
      <c r="BE207" s="534"/>
      <c r="BF207" s="541"/>
      <c r="BG207" s="536"/>
      <c r="BH207" s="537"/>
    </row>
    <row r="208" spans="1:60" ht="15" hidden="1" customHeight="1">
      <c r="A208" s="125">
        <v>1309</v>
      </c>
      <c r="B208" s="125">
        <v>1309</v>
      </c>
      <c r="C208" t="s">
        <v>2460</v>
      </c>
      <c r="D208" t="s">
        <v>2460</v>
      </c>
      <c r="E208"/>
      <c r="F208" s="42">
        <v>172</v>
      </c>
      <c r="K208" s="135" t="s">
        <v>157</v>
      </c>
      <c r="L208" s="135" t="s">
        <v>157</v>
      </c>
      <c r="M208" s="23">
        <v>6</v>
      </c>
      <c r="N208" s="540"/>
      <c r="O208" s="287">
        <v>1.6719999999999999E-2</v>
      </c>
      <c r="P208" s="287">
        <v>5.4030000000000002E-2</v>
      </c>
      <c r="Q208" s="288">
        <f t="shared" si="53"/>
        <v>0.48401947928948963</v>
      </c>
      <c r="R208" s="30">
        <f t="shared" si="46"/>
        <v>83.251350437792212</v>
      </c>
      <c r="S208" s="30">
        <f t="shared" si="54"/>
        <v>88.748649562207788</v>
      </c>
      <c r="T208" s="42">
        <v>98.79790316851097</v>
      </c>
      <c r="U208" s="42">
        <v>93.143770977895883</v>
      </c>
      <c r="V208" s="42">
        <v>63.970647960414347</v>
      </c>
      <c r="W208" s="42">
        <v>77.09307964434764</v>
      </c>
      <c r="X208" s="288">
        <f t="shared" si="55"/>
        <v>0.48401947928948963</v>
      </c>
      <c r="Y208" s="289">
        <f t="shared" si="49"/>
        <v>83.251350437792212</v>
      </c>
      <c r="Z208" s="289">
        <f t="shared" si="50"/>
        <v>0</v>
      </c>
      <c r="AA208" s="42">
        <v>98.79790316851097</v>
      </c>
      <c r="AB208" s="42">
        <v>93.143770977895883</v>
      </c>
      <c r="AC208" s="42">
        <v>63.970647960414347</v>
      </c>
      <c r="AD208" s="42">
        <v>77.09307964434764</v>
      </c>
      <c r="AE208" s="106">
        <v>2</v>
      </c>
      <c r="AF208" s="32" t="str">
        <f>IF(AE208=0,"",VLOOKUP(AE208,tab_tipo_expansao!$A$2:$B$4,2,0))</f>
        <v>obrigatoria</v>
      </c>
      <c r="AG208" s="125">
        <v>2017</v>
      </c>
      <c r="AH208" s="23">
        <v>2100</v>
      </c>
      <c r="AI208" s="125">
        <v>30</v>
      </c>
      <c r="AJ208" s="106">
        <f t="shared" si="56"/>
        <v>1036.6439999999998</v>
      </c>
      <c r="AK208" s="24">
        <f>AL208/constantes!$B$4</f>
        <v>1545.3846153846152</v>
      </c>
      <c r="AL208">
        <v>6026.9999999999991</v>
      </c>
      <c r="AM208" s="87">
        <v>6</v>
      </c>
      <c r="AN208" s="531">
        <v>0</v>
      </c>
      <c r="AP208" s="532">
        <f t="shared" si="51"/>
        <v>1036.6439999999998</v>
      </c>
      <c r="AQ208" s="34"/>
      <c r="AR208" s="35">
        <f t="shared" si="57"/>
        <v>6026.9999999999991</v>
      </c>
      <c r="AS208" s="36">
        <f ca="1">OFFSET(cod_desembolso!$A$1,AM208,23)</f>
        <v>1.07328</v>
      </c>
      <c r="AT208" s="37">
        <f ca="1">IF(AP208=0,0,AP208*(OFFSET(cod_desembolso!$A$1,AM208,23)))</f>
        <v>1112.6092723199997</v>
      </c>
      <c r="AU208" s="38">
        <f>(constantes!$B$3*(1+constantes!$B$3)^(AI208))/((1+constantes!$B$3)^(AI208)-1)</f>
        <v>8.8827433387272267E-2</v>
      </c>
      <c r="AV208" s="37">
        <f t="shared" ca="1" si="52"/>
        <v>116.03022602306625</v>
      </c>
      <c r="AW208" s="37">
        <f ca="1">IF(AP208=0,AY208/constantes!$B$3,AV208/constantes!$B$3)</f>
        <v>1450.377825288328</v>
      </c>
      <c r="AX208" s="39">
        <f ca="1">IF(AP208=0,0,PV(constantes!$B$3,AI208,-AV208)*constantes!$B$3)</f>
        <v>104.49945166574341</v>
      </c>
      <c r="AY208" s="40">
        <f>2*constantes!$B$10*F208/1000</f>
        <v>17.2</v>
      </c>
      <c r="AZ208" s="533">
        <f>constantes!$B$12</f>
        <v>0</v>
      </c>
      <c r="BA208" s="20">
        <v>319</v>
      </c>
      <c r="BC208" s="648"/>
      <c r="BE208" s="534"/>
      <c r="BF208" s="541"/>
      <c r="BG208" s="536"/>
      <c r="BH208" s="537"/>
    </row>
    <row r="209" spans="1:60" ht="15" hidden="1" customHeight="1">
      <c r="A209" s="125">
        <v>1310</v>
      </c>
      <c r="B209" s="125">
        <v>1310</v>
      </c>
      <c r="C209" t="s">
        <v>2461</v>
      </c>
      <c r="D209" t="s">
        <v>2461</v>
      </c>
      <c r="E209"/>
      <c r="F209" s="42">
        <v>81.400000000000006</v>
      </c>
      <c r="K209" s="135" t="s">
        <v>152</v>
      </c>
      <c r="L209" s="135" t="s">
        <v>152</v>
      </c>
      <c r="M209" s="23">
        <v>1</v>
      </c>
      <c r="N209" s="540"/>
      <c r="O209" s="287">
        <v>2.5329999923706055E-2</v>
      </c>
      <c r="P209" s="287">
        <v>8.0909996032714843E-2</v>
      </c>
      <c r="Q209" s="288">
        <f t="shared" si="53"/>
        <v>0.54543211941776359</v>
      </c>
      <c r="R209" s="30">
        <f t="shared" si="46"/>
        <v>44.398174520605963</v>
      </c>
      <c r="S209" s="30">
        <f t="shared" si="54"/>
        <v>37.001825479394043</v>
      </c>
      <c r="T209" s="42">
        <v>41.804629737125026</v>
      </c>
      <c r="U209" s="42">
        <v>41.470578232072853</v>
      </c>
      <c r="V209" s="42">
        <v>48.380107071715109</v>
      </c>
      <c r="W209" s="42">
        <v>45.937383041510863</v>
      </c>
      <c r="X209" s="288">
        <f t="shared" si="55"/>
        <v>0.54543211941776359</v>
      </c>
      <c r="Y209" s="289">
        <f t="shared" si="49"/>
        <v>44.398174520605963</v>
      </c>
      <c r="Z209" s="289">
        <f t="shared" si="50"/>
        <v>0</v>
      </c>
      <c r="AA209" s="42">
        <v>41.804629737125026</v>
      </c>
      <c r="AB209" s="42">
        <v>41.470578232072853</v>
      </c>
      <c r="AC209" s="42">
        <v>48.380107071715109</v>
      </c>
      <c r="AD209" s="42">
        <v>45.937383041510863</v>
      </c>
      <c r="AE209" s="106">
        <v>2</v>
      </c>
      <c r="AF209" s="32" t="str">
        <f>IF(AE209=0,"",VLOOKUP(AE209,tab_tipo_expansao!$A$2:$B$4,2,0))</f>
        <v>obrigatoria</v>
      </c>
      <c r="AG209" s="125">
        <v>2018</v>
      </c>
      <c r="AH209" s="23">
        <v>2100</v>
      </c>
      <c r="AI209" s="125">
        <v>30</v>
      </c>
      <c r="AJ209" s="106">
        <f t="shared" si="56"/>
        <v>485.95800000000008</v>
      </c>
      <c r="AK209" s="24">
        <f>AL209/constantes!$B$4</f>
        <v>1530.7692307692307</v>
      </c>
      <c r="AL209">
        <v>5970</v>
      </c>
      <c r="AM209" s="87">
        <v>6</v>
      </c>
      <c r="AN209" s="531">
        <v>0</v>
      </c>
      <c r="AP209" s="532">
        <f t="shared" si="51"/>
        <v>485.95800000000008</v>
      </c>
      <c r="AQ209" s="34"/>
      <c r="AR209" s="35">
        <f t="shared" si="57"/>
        <v>5970</v>
      </c>
      <c r="AS209" s="36">
        <f ca="1">OFFSET(cod_desembolso!$A$1,AM209,23)</f>
        <v>1.07328</v>
      </c>
      <c r="AT209" s="37">
        <f ca="1">IF(AP209=0,0,AP209*(OFFSET(cod_desembolso!$A$1,AM209,23)))</f>
        <v>521.56900224000015</v>
      </c>
      <c r="AU209" s="38">
        <f>(constantes!$B$3*(1+constantes!$B$3)^(AI209))/((1+constantes!$B$3)^(AI209)-1)</f>
        <v>8.8827433387272267E-2</v>
      </c>
      <c r="AV209" s="37">
        <f t="shared" ca="1" si="52"/>
        <v>54.469635803339671</v>
      </c>
      <c r="AW209" s="37">
        <f ca="1">IF(AP209=0,AY209/constantes!$B$3,AV209/constantes!$B$3)</f>
        <v>680.87044754174588</v>
      </c>
      <c r="AX209" s="39">
        <f ca="1">IF(AP209=0,0,PV(constantes!$B$3,AI209,-AV209)*constantes!$B$3)</f>
        <v>49.056588692244624</v>
      </c>
      <c r="AY209" s="40">
        <f>2*constantes!$B$10*F209/1000</f>
        <v>8.14</v>
      </c>
      <c r="AZ209" s="533">
        <f>constantes!$B$12</f>
        <v>0</v>
      </c>
      <c r="BA209" s="20">
        <v>319</v>
      </c>
      <c r="BC209" s="648"/>
      <c r="BE209" s="534"/>
      <c r="BF209" s="541"/>
      <c r="BG209" s="536"/>
      <c r="BH209" s="537"/>
    </row>
    <row r="210" spans="1:60" ht="15" hidden="1" customHeight="1">
      <c r="A210" s="125">
        <v>1311</v>
      </c>
      <c r="B210" s="125">
        <v>1311</v>
      </c>
      <c r="C210" t="s">
        <v>2462</v>
      </c>
      <c r="D210" t="s">
        <v>2462</v>
      </c>
      <c r="E210"/>
      <c r="F210" s="42">
        <v>136.9</v>
      </c>
      <c r="K210" s="135" t="s">
        <v>153</v>
      </c>
      <c r="L210" s="135" t="s">
        <v>153</v>
      </c>
      <c r="M210" s="23">
        <v>2</v>
      </c>
      <c r="N210" s="540"/>
      <c r="O210" s="287">
        <v>2.5329999923706055E-2</v>
      </c>
      <c r="P210" s="287">
        <v>8.0909996032714843E-2</v>
      </c>
      <c r="Q210" s="288">
        <f t="shared" si="53"/>
        <v>0.48453019553945686</v>
      </c>
      <c r="R210" s="30">
        <f t="shared" si="46"/>
        <v>66.332183769351644</v>
      </c>
      <c r="S210" s="30">
        <f t="shared" si="54"/>
        <v>70.567816230648361</v>
      </c>
      <c r="T210" s="42">
        <v>78.719211574798734</v>
      </c>
      <c r="U210" s="42">
        <v>74.214168310613658</v>
      </c>
      <c r="V210" s="42">
        <v>50.969897233383968</v>
      </c>
      <c r="W210" s="42">
        <v>61.425457958610217</v>
      </c>
      <c r="X210" s="288">
        <f t="shared" si="55"/>
        <v>0.48453019553945686</v>
      </c>
      <c r="Y210" s="289">
        <f t="shared" si="49"/>
        <v>66.332183769351644</v>
      </c>
      <c r="Z210" s="289">
        <f t="shared" si="50"/>
        <v>0</v>
      </c>
      <c r="AA210" s="42">
        <v>78.719211574798734</v>
      </c>
      <c r="AB210" s="42">
        <v>74.214168310613658</v>
      </c>
      <c r="AC210" s="42">
        <v>50.969897233383968</v>
      </c>
      <c r="AD210" s="42">
        <v>61.425457958610217</v>
      </c>
      <c r="AE210" s="106">
        <v>2</v>
      </c>
      <c r="AF210" s="32" t="str">
        <f>IF(AE210=0,"",VLOOKUP(AE210,tab_tipo_expansao!$A$2:$B$4,2,0))</f>
        <v>obrigatoria</v>
      </c>
      <c r="AG210" s="125">
        <v>2018</v>
      </c>
      <c r="AH210" s="23">
        <v>2100</v>
      </c>
      <c r="AI210" s="125">
        <v>30</v>
      </c>
      <c r="AJ210" s="106">
        <f t="shared" si="56"/>
        <v>827.69740000000002</v>
      </c>
      <c r="AK210" s="24">
        <f>AL210/constantes!$B$4</f>
        <v>1550.2564102564104</v>
      </c>
      <c r="AL210">
        <v>6046</v>
      </c>
      <c r="AM210" s="87">
        <v>6</v>
      </c>
      <c r="AN210" s="531">
        <v>0</v>
      </c>
      <c r="AP210" s="532">
        <f t="shared" si="51"/>
        <v>827.69740000000002</v>
      </c>
      <c r="AQ210" s="34"/>
      <c r="AR210" s="35">
        <f t="shared" si="57"/>
        <v>6046</v>
      </c>
      <c r="AS210" s="36">
        <f ca="1">OFFSET(cod_desembolso!$A$1,AM210,23)</f>
        <v>1.07328</v>
      </c>
      <c r="AT210" s="37">
        <f ca="1">IF(AP210=0,0,AP210*(OFFSET(cod_desembolso!$A$1,AM210,23)))</f>
        <v>888.35106547200007</v>
      </c>
      <c r="AU210" s="38">
        <f>(constantes!$B$3*(1+constantes!$B$3)^(AI210))/((1+constantes!$B$3)^(AI210)-1)</f>
        <v>8.8827433387272267E-2</v>
      </c>
      <c r="AV210" s="37">
        <f t="shared" ca="1" si="52"/>
        <v>92.599945092726429</v>
      </c>
      <c r="AW210" s="37">
        <f ca="1">IF(AP210=0,AY210/constantes!$B$3,AV210/constantes!$B$3)</f>
        <v>1157.4993136590804</v>
      </c>
      <c r="AX210" s="39">
        <f ca="1">IF(AP210=0,0,PV(constantes!$B$3,AI210,-AV210)*constantes!$B$3)</f>
        <v>83.39760955515321</v>
      </c>
      <c r="AY210" s="40">
        <f>2*constantes!$B$10*F210/1000</f>
        <v>13.69</v>
      </c>
      <c r="AZ210" s="533">
        <f>constantes!$B$12</f>
        <v>0</v>
      </c>
      <c r="BA210" s="20">
        <v>319</v>
      </c>
      <c r="BC210" s="648"/>
      <c r="BE210" s="534"/>
      <c r="BF210" s="541"/>
      <c r="BG210" s="536"/>
      <c r="BH210" s="537"/>
    </row>
    <row r="211" spans="1:60" ht="15" hidden="1" customHeight="1">
      <c r="A211" s="125">
        <v>1312</v>
      </c>
      <c r="B211" s="125">
        <v>1312</v>
      </c>
      <c r="C211" t="s">
        <v>2463</v>
      </c>
      <c r="D211" t="s">
        <v>2463</v>
      </c>
      <c r="E211"/>
      <c r="F211" s="42">
        <v>37.9</v>
      </c>
      <c r="K211" s="135" t="s">
        <v>152</v>
      </c>
      <c r="L211" s="135" t="s">
        <v>152</v>
      </c>
      <c r="M211" s="23">
        <v>1</v>
      </c>
      <c r="N211" s="540"/>
      <c r="O211" s="287">
        <v>2.5329999923706055E-2</v>
      </c>
      <c r="P211" s="287">
        <v>8.0909996032714843E-2</v>
      </c>
      <c r="Q211" s="288">
        <f t="shared" si="53"/>
        <v>0.54510398556895689</v>
      </c>
      <c r="R211" s="30">
        <f t="shared" si="46"/>
        <v>20.659441053063464</v>
      </c>
      <c r="S211" s="30">
        <f t="shared" si="54"/>
        <v>17.240558946936535</v>
      </c>
      <c r="T211" s="42">
        <v>19.452607975997722</v>
      </c>
      <c r="U211" s="42">
        <v>19.297166509049358</v>
      </c>
      <c r="V211" s="42">
        <v>22.512321305577757</v>
      </c>
      <c r="W211" s="42">
        <v>21.375668421629015</v>
      </c>
      <c r="X211" s="288">
        <f t="shared" si="55"/>
        <v>0.54510398556895689</v>
      </c>
      <c r="Y211" s="289">
        <f t="shared" si="49"/>
        <v>20.659441053063464</v>
      </c>
      <c r="Z211" s="289">
        <f t="shared" si="50"/>
        <v>0</v>
      </c>
      <c r="AA211" s="42">
        <v>19.452607975997722</v>
      </c>
      <c r="AB211" s="42">
        <v>19.297166509049358</v>
      </c>
      <c r="AC211" s="42">
        <v>22.512321305577757</v>
      </c>
      <c r="AD211" s="42">
        <v>21.375668421629015</v>
      </c>
      <c r="AE211" s="106">
        <v>2</v>
      </c>
      <c r="AF211" s="32" t="str">
        <f>IF(AE211=0,"",VLOOKUP(AE211,tab_tipo_expansao!$A$2:$B$4,2,0))</f>
        <v>obrigatoria</v>
      </c>
      <c r="AG211" s="125">
        <v>2019</v>
      </c>
      <c r="AH211" s="23">
        <v>2100</v>
      </c>
      <c r="AI211" s="125">
        <v>30</v>
      </c>
      <c r="AJ211" s="106">
        <f t="shared" si="56"/>
        <v>226.26300000000001</v>
      </c>
      <c r="AK211" s="24">
        <f>AL211/constantes!$B$4</f>
        <v>1530.7692307692307</v>
      </c>
      <c r="AL211">
        <v>5970</v>
      </c>
      <c r="AM211" s="87">
        <v>6</v>
      </c>
      <c r="AN211" s="531">
        <v>0</v>
      </c>
      <c r="AP211" s="532">
        <f t="shared" si="51"/>
        <v>226.26300000000001</v>
      </c>
      <c r="AQ211" s="34"/>
      <c r="AR211" s="35">
        <f t="shared" si="57"/>
        <v>5970</v>
      </c>
      <c r="AS211" s="36">
        <f ca="1">OFFSET(cod_desembolso!$A$1,AM211,23)</f>
        <v>1.07328</v>
      </c>
      <c r="AT211" s="37">
        <f ca="1">IF(AP211=0,0,AP211*(OFFSET(cod_desembolso!$A$1,AM211,23)))</f>
        <v>242.84355264000001</v>
      </c>
      <c r="AU211" s="38">
        <f>(constantes!$B$3*(1+constantes!$B$3)^(AI211))/((1+constantes!$B$3)^(AI211)-1)</f>
        <v>8.8827433387272267E-2</v>
      </c>
      <c r="AV211" s="37">
        <f t="shared" ca="1" si="52"/>
        <v>25.361169495658146</v>
      </c>
      <c r="AW211" s="37">
        <f ca="1">IF(AP211=0,AY211/constantes!$B$3,AV211/constantes!$B$3)</f>
        <v>317.01461869572682</v>
      </c>
      <c r="AX211" s="39">
        <f ca="1">IF(AP211=0,0,PV(constantes!$B$3,AI211,-AV211)*constantes!$B$3)</f>
        <v>22.840844120836255</v>
      </c>
      <c r="AY211" s="40">
        <f>2*constantes!$B$10*F211/1000</f>
        <v>3.79</v>
      </c>
      <c r="AZ211" s="533">
        <f>constantes!$B$12</f>
        <v>0</v>
      </c>
      <c r="BA211" s="20">
        <v>319</v>
      </c>
      <c r="BC211" s="648"/>
      <c r="BE211" s="534"/>
      <c r="BF211" s="541"/>
      <c r="BG211" s="536"/>
      <c r="BH211" s="537"/>
    </row>
    <row r="212" spans="1:60" ht="15" hidden="1" customHeight="1">
      <c r="A212" s="125">
        <v>1313</v>
      </c>
      <c r="B212" s="125">
        <v>1313</v>
      </c>
      <c r="C212" t="s">
        <v>2464</v>
      </c>
      <c r="D212" t="s">
        <v>2464</v>
      </c>
      <c r="E212"/>
      <c r="F212" s="42">
        <v>85.2</v>
      </c>
      <c r="K212" s="135" t="s">
        <v>153</v>
      </c>
      <c r="L212" s="135" t="s">
        <v>153</v>
      </c>
      <c r="M212" s="23">
        <v>2</v>
      </c>
      <c r="N212" s="540"/>
      <c r="O212" s="287">
        <v>1.6719999999999999E-2</v>
      </c>
      <c r="P212" s="287">
        <v>5.4030000000000002E-2</v>
      </c>
      <c r="Q212" s="288">
        <f t="shared" si="53"/>
        <v>0.48466894194017429</v>
      </c>
      <c r="R212" s="30">
        <f t="shared" si="46"/>
        <v>41.293793853302851</v>
      </c>
      <c r="S212" s="30">
        <f t="shared" si="54"/>
        <v>43.906206146697151</v>
      </c>
      <c r="T212" s="42">
        <v>49.005093912891745</v>
      </c>
      <c r="U212" s="42">
        <v>46.200568005854997</v>
      </c>
      <c r="V212" s="42">
        <v>31.730305101938626</v>
      </c>
      <c r="W212" s="42">
        <v>38.239208392526045</v>
      </c>
      <c r="X212" s="288">
        <f t="shared" si="55"/>
        <v>0.48466894194017429</v>
      </c>
      <c r="Y212" s="289">
        <f t="shared" si="49"/>
        <v>41.293793853302851</v>
      </c>
      <c r="Z212" s="289">
        <f t="shared" si="50"/>
        <v>0</v>
      </c>
      <c r="AA212" s="42">
        <v>49.005093912891745</v>
      </c>
      <c r="AB212" s="42">
        <v>46.200568005854997</v>
      </c>
      <c r="AC212" s="42">
        <v>31.730305101938626</v>
      </c>
      <c r="AD212" s="42">
        <v>38.239208392526045</v>
      </c>
      <c r="AE212" s="106">
        <v>2</v>
      </c>
      <c r="AF212" s="32" t="str">
        <f>IF(AE212=0,"",VLOOKUP(AE212,tab_tipo_expansao!$A$2:$B$4,2,0))</f>
        <v>obrigatoria</v>
      </c>
      <c r="AG212" s="125">
        <v>2019</v>
      </c>
      <c r="AH212" s="23">
        <v>2100</v>
      </c>
      <c r="AI212" s="125">
        <v>30</v>
      </c>
      <c r="AJ212" s="106">
        <f t="shared" si="56"/>
        <v>515.11919999999998</v>
      </c>
      <c r="AK212" s="24">
        <f>AL212/constantes!$B$4</f>
        <v>1550.2564102564104</v>
      </c>
      <c r="AL212">
        <v>6046</v>
      </c>
      <c r="AM212" s="87">
        <v>6</v>
      </c>
      <c r="AN212" s="531">
        <v>0</v>
      </c>
      <c r="AP212" s="532">
        <f t="shared" si="51"/>
        <v>515.11919999999998</v>
      </c>
      <c r="AQ212" s="34"/>
      <c r="AR212" s="35">
        <f t="shared" si="57"/>
        <v>6045.9999999999991</v>
      </c>
      <c r="AS212" s="36">
        <f ca="1">OFFSET(cod_desembolso!$A$1,AM212,23)</f>
        <v>1.07328</v>
      </c>
      <c r="AT212" s="37">
        <f ca="1">IF(AP212=0,0,AP212*(OFFSET(cod_desembolso!$A$1,AM212,23)))</f>
        <v>552.86713497599999</v>
      </c>
      <c r="AU212" s="38">
        <f>(constantes!$B$3*(1+constantes!$B$3)^(AI212))/((1+constantes!$B$3)^(AI212)-1)</f>
        <v>8.8827433387272267E-2</v>
      </c>
      <c r="AV212" s="37">
        <f t="shared" ca="1" si="52"/>
        <v>57.629768604092703</v>
      </c>
      <c r="AW212" s="37">
        <f ca="1">IF(AP212=0,AY212/constantes!$B$3,AV212/constantes!$B$3)</f>
        <v>720.37210755115882</v>
      </c>
      <c r="AX212" s="39">
        <f ca="1">IF(AP212=0,0,PV(constantes!$B$3,AI212,-AV212)*constantes!$B$3)</f>
        <v>51.902675924755684</v>
      </c>
      <c r="AY212" s="40">
        <f>2*constantes!$B$10*F212/1000</f>
        <v>8.52</v>
      </c>
      <c r="AZ212" s="533">
        <f>constantes!$B$12</f>
        <v>0</v>
      </c>
      <c r="BA212" s="20">
        <v>319</v>
      </c>
      <c r="BC212" s="648"/>
      <c r="BE212" s="534"/>
      <c r="BF212" s="541"/>
      <c r="BG212" s="536"/>
      <c r="BH212" s="537"/>
    </row>
    <row r="213" spans="1:60" ht="15" hidden="1" customHeight="1">
      <c r="A213" s="125">
        <v>1314</v>
      </c>
      <c r="B213" s="125">
        <v>1314</v>
      </c>
      <c r="C213" t="s">
        <v>2465</v>
      </c>
      <c r="D213" t="s">
        <v>2465</v>
      </c>
      <c r="E213"/>
      <c r="F213" s="42">
        <v>1.3</v>
      </c>
      <c r="K213" s="135" t="s">
        <v>152</v>
      </c>
      <c r="L213" s="135" t="s">
        <v>152</v>
      </c>
      <c r="M213" s="23">
        <v>1</v>
      </c>
      <c r="N213" s="540"/>
      <c r="O213" s="287">
        <v>2.5329999923706055E-2</v>
      </c>
      <c r="P213" s="287">
        <v>8.0909996032714843E-2</v>
      </c>
      <c r="Q213" s="288">
        <f t="shared" si="53"/>
        <v>0.47480837705311274</v>
      </c>
      <c r="R213" s="30">
        <f t="shared" si="46"/>
        <v>0.61725089016904655</v>
      </c>
      <c r="S213" s="30">
        <f t="shared" si="54"/>
        <v>0.68274910983095349</v>
      </c>
      <c r="T213" s="42">
        <v>0.73251777126626882</v>
      </c>
      <c r="U213" s="42">
        <v>0.69059631162101709</v>
      </c>
      <c r="V213" s="42">
        <v>0.47429788454616695</v>
      </c>
      <c r="W213" s="42">
        <v>0.57159159324273356</v>
      </c>
      <c r="X213" s="288">
        <f t="shared" si="55"/>
        <v>0.47480837705311274</v>
      </c>
      <c r="Y213" s="289">
        <f t="shared" si="49"/>
        <v>0.61725089016904655</v>
      </c>
      <c r="Z213" s="289">
        <f t="shared" si="50"/>
        <v>0</v>
      </c>
      <c r="AA213" s="42">
        <v>0.73251777126626882</v>
      </c>
      <c r="AB213" s="42">
        <v>0.69059631162101709</v>
      </c>
      <c r="AC213" s="42">
        <v>0.47429788454616695</v>
      </c>
      <c r="AD213" s="42">
        <v>0.57159159324273356</v>
      </c>
      <c r="AE213" s="106">
        <v>2</v>
      </c>
      <c r="AF213" s="32" t="str">
        <f>IF(AE213=0,"",VLOOKUP(AE213,tab_tipo_expansao!$A$2:$B$4,2,0))</f>
        <v>obrigatoria</v>
      </c>
      <c r="AG213" s="125">
        <v>2020</v>
      </c>
      <c r="AH213" s="23">
        <v>2100</v>
      </c>
      <c r="AI213" s="125">
        <v>30</v>
      </c>
      <c r="AJ213" s="106">
        <f t="shared" si="56"/>
        <v>7.7610000000000001</v>
      </c>
      <c r="AK213" s="24">
        <f>AL213/constantes!$B$4</f>
        <v>1530.7692307692307</v>
      </c>
      <c r="AL213">
        <v>5970</v>
      </c>
      <c r="AM213" s="87">
        <v>6</v>
      </c>
      <c r="AN213" s="531">
        <v>0</v>
      </c>
      <c r="AP213" s="532">
        <f t="shared" si="51"/>
        <v>7.7610000000000001</v>
      </c>
      <c r="AQ213" s="34"/>
      <c r="AR213" s="35">
        <f t="shared" si="57"/>
        <v>5970</v>
      </c>
      <c r="AS213" s="36">
        <f ca="1">OFFSET(cod_desembolso!$A$1,AM213,23)</f>
        <v>1.07328</v>
      </c>
      <c r="AT213" s="37">
        <f ca="1">IF(AP213=0,0,AP213*(OFFSET(cod_desembolso!$A$1,AM213,23)))</f>
        <v>8.3297260800000004</v>
      </c>
      <c r="AU213" s="38">
        <f>(constantes!$B$3*(1+constantes!$B$3)^(AI213))/((1+constantes!$B$3)^(AI213)-1)</f>
        <v>8.8827433387272267E-2</v>
      </c>
      <c r="AV213" s="37">
        <f t="shared" ca="1" si="52"/>
        <v>0.86990818850542462</v>
      </c>
      <c r="AW213" s="37">
        <f ca="1">IF(AP213=0,AY213/constantes!$B$3,AV213/constantes!$B$3)</f>
        <v>10.873852356317807</v>
      </c>
      <c r="AX213" s="39">
        <f ca="1">IF(AP213=0,0,PV(constantes!$B$3,AI213,-AV213)*constantes!$B$3)</f>
        <v>0.78345903316852583</v>
      </c>
      <c r="AY213" s="40">
        <f>2*constantes!$B$10*F213/1000</f>
        <v>0.13</v>
      </c>
      <c r="AZ213" s="533">
        <f>constantes!$B$12</f>
        <v>0</v>
      </c>
      <c r="BA213" s="20">
        <v>319</v>
      </c>
      <c r="BC213" s="648"/>
      <c r="BE213" s="534"/>
      <c r="BF213" s="541"/>
      <c r="BG213" s="536"/>
      <c r="BH213" s="537"/>
    </row>
    <row r="214" spans="1:60" ht="15" hidden="1" customHeight="1">
      <c r="A214" s="125">
        <v>1315</v>
      </c>
      <c r="B214" s="125">
        <v>1315</v>
      </c>
      <c r="C214" t="s">
        <v>2466</v>
      </c>
      <c r="D214" t="s">
        <v>2466</v>
      </c>
      <c r="E214"/>
      <c r="F214" s="42">
        <v>13.7</v>
      </c>
      <c r="G214" s="21"/>
      <c r="H214" s="17"/>
      <c r="I214" s="17"/>
      <c r="K214" s="135" t="s">
        <v>153</v>
      </c>
      <c r="L214" s="135" t="s">
        <v>153</v>
      </c>
      <c r="M214" s="23">
        <v>2</v>
      </c>
      <c r="N214" s="540"/>
      <c r="O214" s="287">
        <v>2.5329999923706055E-2</v>
      </c>
      <c r="P214" s="287">
        <v>8.0909996032714843E-2</v>
      </c>
      <c r="Q214" s="288">
        <f t="shared" si="53"/>
        <v>0.32096847562319974</v>
      </c>
      <c r="R214" s="30">
        <f t="shared" si="46"/>
        <v>4.3972681160378366</v>
      </c>
      <c r="S214" s="30">
        <f t="shared" si="54"/>
        <v>9.3027318839621636</v>
      </c>
      <c r="T214" s="42">
        <v>3.9637912969033731</v>
      </c>
      <c r="U214" s="42">
        <v>4.2694352040082917</v>
      </c>
      <c r="V214" s="42">
        <v>4.9967073277161482</v>
      </c>
      <c r="W214" s="42">
        <v>4.3591386355235349</v>
      </c>
      <c r="X214" s="288">
        <f t="shared" si="55"/>
        <v>0.32096847562319974</v>
      </c>
      <c r="Y214" s="289">
        <f t="shared" si="49"/>
        <v>4.3972681160378366</v>
      </c>
      <c r="Z214" s="289">
        <f t="shared" si="50"/>
        <v>0</v>
      </c>
      <c r="AA214" s="42">
        <v>3.9637912969033731</v>
      </c>
      <c r="AB214" s="42">
        <v>4.2694352040082917</v>
      </c>
      <c r="AC214" s="42">
        <v>4.9967073277161482</v>
      </c>
      <c r="AD214" s="42">
        <v>4.3591386355235349</v>
      </c>
      <c r="AE214" s="106">
        <v>2</v>
      </c>
      <c r="AF214" s="32" t="str">
        <f>IF(AE214=0,"",VLOOKUP(AE214,tab_tipo_expansao!$A$2:$B$4,2,0))</f>
        <v>obrigatoria</v>
      </c>
      <c r="AG214" s="125">
        <v>2020</v>
      </c>
      <c r="AH214" s="23">
        <v>2100</v>
      </c>
      <c r="AI214" s="125">
        <v>30</v>
      </c>
      <c r="AJ214" s="106">
        <f t="shared" si="56"/>
        <v>82.830199999999991</v>
      </c>
      <c r="AK214" s="24">
        <f>AL214/constantes!$B$4</f>
        <v>1550.2564102564104</v>
      </c>
      <c r="AL214">
        <v>6046</v>
      </c>
      <c r="AM214" s="87">
        <v>6</v>
      </c>
      <c r="AN214" s="531">
        <v>0</v>
      </c>
      <c r="AP214" s="532">
        <f t="shared" si="51"/>
        <v>82.830199999999991</v>
      </c>
      <c r="AQ214" s="34"/>
      <c r="AR214" s="35">
        <f t="shared" si="57"/>
        <v>6046</v>
      </c>
      <c r="AS214" s="36">
        <f ca="1">OFFSET(cod_desembolso!$A$1,AM214,23)</f>
        <v>1.07328</v>
      </c>
      <c r="AT214" s="37">
        <f ca="1">IF(AP214=0,0,AP214*(OFFSET(cod_desembolso!$A$1,AM214,23)))</f>
        <v>88.899997055999989</v>
      </c>
      <c r="AU214" s="38">
        <f>(constantes!$B$3*(1+constantes!$B$3)^(AI214))/((1+constantes!$B$3)^(AI214)-1)</f>
        <v>8.8827433387272267E-2</v>
      </c>
      <c r="AV214" s="37">
        <f t="shared" ca="1" si="52"/>
        <v>9.2667585666205401</v>
      </c>
      <c r="AW214" s="37">
        <f ca="1">IF(AP214=0,AY214/constantes!$B$3,AV214/constantes!$B$3)</f>
        <v>115.83448208275675</v>
      </c>
      <c r="AX214" s="39">
        <f ca="1">IF(AP214=0,0,PV(constantes!$B$3,AI214,-AV214)*constantes!$B$3)</f>
        <v>8.3458528188867724</v>
      </c>
      <c r="AY214" s="40">
        <f>2*constantes!$B$10*F214/1000</f>
        <v>1.37</v>
      </c>
      <c r="AZ214" s="533">
        <f>constantes!$B$12</f>
        <v>0</v>
      </c>
      <c r="BA214" s="20">
        <v>319</v>
      </c>
      <c r="BC214" s="648"/>
      <c r="BE214" s="534"/>
      <c r="BF214" s="541"/>
      <c r="BG214" s="536"/>
      <c r="BH214" s="537"/>
    </row>
    <row r="215" spans="1:60" ht="15" hidden="1" customHeight="1">
      <c r="A215" s="125">
        <v>1316</v>
      </c>
      <c r="B215" s="125">
        <v>1316</v>
      </c>
      <c r="C215" t="s">
        <v>2467</v>
      </c>
      <c r="D215" t="s">
        <v>2467</v>
      </c>
      <c r="E215"/>
      <c r="F215" s="42">
        <v>92</v>
      </c>
      <c r="K215" s="135" t="s">
        <v>154</v>
      </c>
      <c r="L215" s="135" t="s">
        <v>154</v>
      </c>
      <c r="M215" s="23">
        <v>3</v>
      </c>
      <c r="N215" s="540"/>
      <c r="O215" s="287">
        <v>1.6719999999999999E-2</v>
      </c>
      <c r="P215" s="287">
        <v>5.4030000000000002E-2</v>
      </c>
      <c r="Q215" s="288">
        <f t="shared" si="53"/>
        <v>0.54510398556895689</v>
      </c>
      <c r="R215" s="30">
        <f t="shared" si="46"/>
        <v>50.149566672344029</v>
      </c>
      <c r="S215" s="30">
        <f t="shared" si="54"/>
        <v>41.850433327655971</v>
      </c>
      <c r="T215" s="42">
        <v>47.220051023530097</v>
      </c>
      <c r="U215" s="42">
        <v>46.842726090568362</v>
      </c>
      <c r="V215" s="42">
        <v>54.647323485835187</v>
      </c>
      <c r="W215" s="42">
        <v>51.888166089442471</v>
      </c>
      <c r="X215" s="288">
        <f t="shared" si="55"/>
        <v>0.54510398556895689</v>
      </c>
      <c r="Y215" s="289">
        <f t="shared" si="49"/>
        <v>50.149566672344029</v>
      </c>
      <c r="Z215" s="289">
        <f t="shared" si="50"/>
        <v>0</v>
      </c>
      <c r="AA215" s="42">
        <v>47.220051023530097</v>
      </c>
      <c r="AB215" s="42">
        <v>46.842726090568362</v>
      </c>
      <c r="AC215" s="42">
        <v>54.647323485835187</v>
      </c>
      <c r="AD215" s="42">
        <v>51.888166089442471</v>
      </c>
      <c r="AE215" s="106">
        <v>2</v>
      </c>
      <c r="AF215" s="32" t="str">
        <f>IF(AE215=0,"",VLOOKUP(AE215,tab_tipo_expansao!$A$2:$B$4,2,0))</f>
        <v>obrigatoria</v>
      </c>
      <c r="AG215" s="125">
        <v>2020</v>
      </c>
      <c r="AH215" s="23">
        <v>2100</v>
      </c>
      <c r="AI215" s="125">
        <v>30</v>
      </c>
      <c r="AJ215" s="106">
        <f t="shared" si="56"/>
        <v>554.48400000000004</v>
      </c>
      <c r="AK215" s="24">
        <f>AL215/constantes!$B$4</f>
        <v>1545.3846153846155</v>
      </c>
      <c r="AL215">
        <v>6027</v>
      </c>
      <c r="AM215" s="87">
        <v>6</v>
      </c>
      <c r="AN215" s="531">
        <v>0</v>
      </c>
      <c r="AP215" s="532">
        <f t="shared" si="51"/>
        <v>554.48400000000004</v>
      </c>
      <c r="AQ215" s="34"/>
      <c r="AR215" s="35">
        <f t="shared" si="57"/>
        <v>6027</v>
      </c>
      <c r="AS215" s="36">
        <f ca="1">OFFSET(cod_desembolso!$A$1,AM215,23)</f>
        <v>1.07328</v>
      </c>
      <c r="AT215" s="37">
        <f ca="1">IF(AP215=0,0,AP215*(OFFSET(cod_desembolso!$A$1,AM215,23)))</f>
        <v>595.11658752000005</v>
      </c>
      <c r="AU215" s="38">
        <f>(constantes!$B$3*(1+constantes!$B$3)^(AI215))/((1+constantes!$B$3)^(AI215)-1)</f>
        <v>8.8827433387272267E-2</v>
      </c>
      <c r="AV215" s="37">
        <f t="shared" ca="1" si="52"/>
        <v>62.06267903559359</v>
      </c>
      <c r="AW215" s="37">
        <f ca="1">IF(AP215=0,AY215/constantes!$B$3,AV215/constantes!$B$3)</f>
        <v>775.7834879449199</v>
      </c>
      <c r="AX215" s="39">
        <f ca="1">IF(AP215=0,0,PV(constantes!$B$3,AI215,-AV215)*constantes!$B$3)</f>
        <v>55.89505554214184</v>
      </c>
      <c r="AY215" s="40">
        <f>2*constantes!$B$10*F215/1000</f>
        <v>9.1999999999999993</v>
      </c>
      <c r="AZ215" s="533">
        <f>constantes!$B$12</f>
        <v>0</v>
      </c>
      <c r="BA215" s="20">
        <v>319</v>
      </c>
      <c r="BE215" s="534"/>
      <c r="BF215" s="541"/>
      <c r="BG215" s="536"/>
      <c r="BH215" s="537"/>
    </row>
    <row r="216" spans="1:60" ht="15" hidden="1" customHeight="1">
      <c r="A216" s="125">
        <v>1317</v>
      </c>
      <c r="B216" s="125">
        <v>1317</v>
      </c>
      <c r="C216" t="s">
        <v>2468</v>
      </c>
      <c r="D216" t="s">
        <v>2468</v>
      </c>
      <c r="E216"/>
      <c r="F216" s="42">
        <v>157.5</v>
      </c>
      <c r="K216" s="135" t="s">
        <v>157</v>
      </c>
      <c r="L216" s="135" t="s">
        <v>157</v>
      </c>
      <c r="M216" s="23">
        <v>6</v>
      </c>
      <c r="N216" s="540"/>
      <c r="O216" s="287">
        <v>1.6719999999999999E-2</v>
      </c>
      <c r="P216" s="287">
        <v>5.4030000000000002E-2</v>
      </c>
      <c r="Q216" s="288">
        <f t="shared" si="53"/>
        <v>0.48462446731016806</v>
      </c>
      <c r="R216" s="30">
        <f t="shared" si="46"/>
        <v>76.328353601351466</v>
      </c>
      <c r="S216" s="30">
        <f t="shared" si="54"/>
        <v>81.171646398648534</v>
      </c>
      <c r="T216" s="42">
        <v>90.582089641333809</v>
      </c>
      <c r="U216" s="42">
        <v>85.398142487509162</v>
      </c>
      <c r="V216" s="42">
        <v>58.650991388765846</v>
      </c>
      <c r="W216" s="42">
        <v>70.682190887797077</v>
      </c>
      <c r="X216" s="288">
        <f t="shared" si="55"/>
        <v>0.48462446731016806</v>
      </c>
      <c r="Y216" s="289">
        <f t="shared" si="49"/>
        <v>76.328353601351466</v>
      </c>
      <c r="Z216" s="289">
        <f t="shared" si="50"/>
        <v>0</v>
      </c>
      <c r="AA216" s="42">
        <v>90.582089641333809</v>
      </c>
      <c r="AB216" s="42">
        <v>85.398142487509162</v>
      </c>
      <c r="AC216" s="42">
        <v>58.650991388765846</v>
      </c>
      <c r="AD216" s="42">
        <v>70.682190887797077</v>
      </c>
      <c r="AE216" s="106">
        <v>2</v>
      </c>
      <c r="AF216" s="32" t="str">
        <f>IF(AE216=0,"",VLOOKUP(AE216,tab_tipo_expansao!$A$2:$B$4,2,0))</f>
        <v>obrigatoria</v>
      </c>
      <c r="AG216" s="125">
        <v>2020</v>
      </c>
      <c r="AH216" s="23">
        <v>2100</v>
      </c>
      <c r="AI216" s="125">
        <v>30</v>
      </c>
      <c r="AJ216" s="106">
        <f t="shared" si="56"/>
        <v>949.25249999999983</v>
      </c>
      <c r="AK216" s="24">
        <f>AL216/constantes!$B$4</f>
        <v>1545.3846153846152</v>
      </c>
      <c r="AL216">
        <v>6026.9999999999991</v>
      </c>
      <c r="AM216" s="87">
        <v>6</v>
      </c>
      <c r="AN216" s="531">
        <v>0</v>
      </c>
      <c r="AP216" s="532">
        <f t="shared" si="51"/>
        <v>949.25249999999983</v>
      </c>
      <c r="AQ216" s="34"/>
      <c r="AR216" s="35">
        <f t="shared" si="57"/>
        <v>6026.9999999999991</v>
      </c>
      <c r="AS216" s="36">
        <f ca="1">OFFSET(cod_desembolso!$A$1,AM216,23)</f>
        <v>1.07328</v>
      </c>
      <c r="AT216" s="37">
        <f ca="1">IF(AP216=0,0,AP216*(OFFSET(cod_desembolso!$A$1,AM216,23)))</f>
        <v>1018.8137231999998</v>
      </c>
      <c r="AU216" s="38">
        <f>(constantes!$B$3*(1+constantes!$B$3)^(AI216))/((1+constantes!$B$3)^(AI216)-1)</f>
        <v>8.8827433387272267E-2</v>
      </c>
      <c r="AV216" s="37">
        <f t="shared" ca="1" si="52"/>
        <v>106.24860813158683</v>
      </c>
      <c r="AW216" s="37">
        <f ca="1">IF(AP216=0,AY216/constantes!$B$3,AV216/constantes!$B$3)</f>
        <v>1328.1076016448353</v>
      </c>
      <c r="AX216" s="39">
        <f ca="1">IF(AP216=0,0,PV(constantes!$B$3,AI216,-AV216)*constantes!$B$3)</f>
        <v>95.689904868340619</v>
      </c>
      <c r="AY216" s="40">
        <f>2*constantes!$B$10*F216/1000</f>
        <v>15.75</v>
      </c>
      <c r="AZ216" s="533">
        <f>constantes!$B$12</f>
        <v>0</v>
      </c>
      <c r="BA216" s="20">
        <v>319</v>
      </c>
      <c r="BE216" s="534"/>
      <c r="BF216" s="541"/>
      <c r="BG216" s="536"/>
      <c r="BH216" s="537"/>
    </row>
    <row r="217" spans="1:60" ht="14.45" hidden="1">
      <c r="A217" s="125">
        <v>1318</v>
      </c>
      <c r="B217" s="125">
        <v>1318</v>
      </c>
      <c r="C217" s="643" t="s">
        <v>2469</v>
      </c>
      <c r="D217" s="643" t="s">
        <v>2469</v>
      </c>
      <c r="F217" s="526">
        <v>7550</v>
      </c>
      <c r="G217" s="640" t="s">
        <v>2470</v>
      </c>
      <c r="H217" s="640"/>
      <c r="I217" s="3" t="s">
        <v>2471</v>
      </c>
      <c r="J217" s="3" t="s">
        <v>2472</v>
      </c>
      <c r="K217" s="549" t="s">
        <v>157</v>
      </c>
      <c r="L217" s="539" t="s">
        <v>157</v>
      </c>
      <c r="M217" s="647">
        <v>6</v>
      </c>
      <c r="N217" s="529"/>
      <c r="O217" s="529">
        <v>1.9820000000000001E-2</v>
      </c>
      <c r="P217" s="529">
        <v>5.3999999999999999E-2</v>
      </c>
      <c r="Q217" s="288">
        <f t="shared" ref="Q217:Q237" si="58">R217/$F217</f>
        <v>0.57817313492063505</v>
      </c>
      <c r="R217" s="30">
        <f t="shared" ref="R217:R237" si="59">AVERAGE(T217:W217)</f>
        <v>4365.2071686507943</v>
      </c>
      <c r="S217" s="30">
        <f t="shared" ref="S217:S237" si="60">F217-R217</f>
        <v>3184.7928313492057</v>
      </c>
      <c r="T217" s="107">
        <v>6908.4714666666669</v>
      </c>
      <c r="U217" s="107">
        <v>6764.8544079365083</v>
      </c>
      <c r="V217" s="107">
        <v>1726.8813</v>
      </c>
      <c r="W217" s="107">
        <v>2060.6215000000007</v>
      </c>
      <c r="X217" s="288">
        <f t="shared" ref="X217:X237" si="61">Y217/$F217</f>
        <v>0.60538599738562093</v>
      </c>
      <c r="Y217" s="289">
        <f t="shared" ref="Y217:Y237" si="62">AVERAGE(AA217:AD217)</f>
        <v>4570.6642802614379</v>
      </c>
      <c r="Z217" s="289">
        <f t="shared" ref="Z217:Z237" si="63">Y217-R217</f>
        <v>205.45711161064355</v>
      </c>
      <c r="AA217" s="559">
        <v>7088.2120763398698</v>
      </c>
      <c r="AB217" s="559">
        <v>6713.860219084967</v>
      </c>
      <c r="AC217" s="559">
        <v>1993.710044444445</v>
      </c>
      <c r="AD217" s="42">
        <v>2486.8747811764702</v>
      </c>
      <c r="AE217" s="640">
        <v>1</v>
      </c>
      <c r="AF217" s="641" t="str">
        <f>IF(AE217=0,"",VLOOKUP(AE217,[4]tab_tipo_expansao!$A$2:$B$4,2,0))</f>
        <v>opcional</v>
      </c>
      <c r="AG217" s="125">
        <v>2028</v>
      </c>
      <c r="AH217" s="125">
        <v>2100</v>
      </c>
      <c r="AI217" s="125">
        <v>30</v>
      </c>
      <c r="AJ217" s="106">
        <v>37750</v>
      </c>
      <c r="AK217" s="24">
        <f>AL217/[4]constantes!$B$4</f>
        <v>1282.051282051282</v>
      </c>
      <c r="AL217">
        <f t="shared" ref="AL217:AL237" si="64">AJ217/F217*1000</f>
        <v>5000</v>
      </c>
      <c r="AM217" s="87">
        <v>3</v>
      </c>
      <c r="AN217" s="531">
        <v>0</v>
      </c>
      <c r="AO217" s="23"/>
      <c r="AP217" s="532">
        <f t="shared" ref="AP217:AP237" si="65">AJ217+AN217+AO217</f>
        <v>37750</v>
      </c>
      <c r="AR217" s="35">
        <f t="shared" ref="AR217:AR237" si="66">AP217*1000/F217</f>
        <v>5000</v>
      </c>
      <c r="AS217" s="36">
        <f ca="1">OFFSET(cod_desembolso!$A$1,AM217,23)</f>
        <v>1.1255071012622904</v>
      </c>
      <c r="AT217" s="37">
        <f ca="1">IF(AP217=0,0,AP217*(OFFSET(cod_desembolso!$A$1,AM217,23)))</f>
        <v>42487.893072651459</v>
      </c>
      <c r="AU217" s="38">
        <f>(constantes!$B$3*(1+constantes!$B$3)^(AI217))/((1+constantes!$B$3)^(AI217)-1)</f>
        <v>8.8827433387272267E-2</v>
      </c>
      <c r="AV217" s="37">
        <f t="shared" ref="AV217:AV237" ca="1" si="67">IF(AND(AP217=0,AY217=0),0,AT217*AU217+AY217)</f>
        <v>4151.5904916764939</v>
      </c>
      <c r="AW217" s="37">
        <f ca="1">IF(AP217=0,AY217/constantes!$B$3,AV217/constantes!$B$3)</f>
        <v>51894.881145956169</v>
      </c>
      <c r="AX217" s="39">
        <f ca="1">IF(AP217=0,0,PV(constantes!$B$3,AI217,-AV217)*constantes!$B$3)</f>
        <v>3739.016502774567</v>
      </c>
      <c r="AY217" s="40">
        <f>constantes!$B$10*F217/1000</f>
        <v>377.5</v>
      </c>
      <c r="AZ217" s="533">
        <f>[4]constantes!$B$12</f>
        <v>0</v>
      </c>
      <c r="BA217" s="20">
        <v>318</v>
      </c>
      <c r="BB217" s="43"/>
      <c r="BC217" s="3" t="s">
        <v>2197</v>
      </c>
      <c r="BD217" s="640"/>
      <c r="BE217" s="534">
        <v>1</v>
      </c>
      <c r="BF217" s="535">
        <v>2027</v>
      </c>
      <c r="BG217" s="536">
        <v>1</v>
      </c>
      <c r="BH217" s="537">
        <v>2027</v>
      </c>
    </row>
    <row r="218" spans="1:60" ht="13.15" hidden="1" customHeight="1">
      <c r="A218" s="125">
        <v>1319</v>
      </c>
      <c r="B218" s="125">
        <v>1319</v>
      </c>
      <c r="C218" s="640" t="s">
        <v>2473</v>
      </c>
      <c r="D218" s="640" t="s">
        <v>2473</v>
      </c>
      <c r="F218" s="526">
        <v>825</v>
      </c>
      <c r="G218" s="640" t="s">
        <v>2474</v>
      </c>
      <c r="H218" s="640"/>
      <c r="I218" s="3" t="s">
        <v>2475</v>
      </c>
      <c r="J218" s="3" t="s">
        <v>2476</v>
      </c>
      <c r="K218" s="549" t="s">
        <v>157</v>
      </c>
      <c r="L218" s="549" t="s">
        <v>157</v>
      </c>
      <c r="M218" s="647">
        <v>6</v>
      </c>
      <c r="N218" s="529"/>
      <c r="O218" s="529">
        <v>1.9820000000000001E-2</v>
      </c>
      <c r="P218" s="529">
        <v>5.3999999999999999E-2</v>
      </c>
      <c r="Q218" s="288">
        <f t="shared" si="58"/>
        <v>0.57817313492063493</v>
      </c>
      <c r="R218" s="30">
        <f t="shared" si="59"/>
        <v>476.9928363095238</v>
      </c>
      <c r="S218" s="30">
        <f t="shared" si="60"/>
        <v>348.0071636904762</v>
      </c>
      <c r="T218" s="107">
        <v>754.89920000000006</v>
      </c>
      <c r="U218" s="107">
        <v>739.2059452380953</v>
      </c>
      <c r="V218" s="107">
        <v>188.69895</v>
      </c>
      <c r="W218" s="107">
        <v>225.16725000000005</v>
      </c>
      <c r="X218" s="288">
        <f t="shared" si="61"/>
        <v>0.60538599738562082</v>
      </c>
      <c r="Y218" s="289">
        <f t="shared" si="62"/>
        <v>499.44344784313722</v>
      </c>
      <c r="Z218" s="289">
        <f t="shared" si="63"/>
        <v>22.450611533613426</v>
      </c>
      <c r="AA218" s="559">
        <v>774.53973019607849</v>
      </c>
      <c r="AB218" s="559">
        <v>733.63373254901956</v>
      </c>
      <c r="AC218" s="559">
        <v>217.85573333333338</v>
      </c>
      <c r="AD218" s="42">
        <v>271.74459529411757</v>
      </c>
      <c r="AE218" s="640">
        <v>1</v>
      </c>
      <c r="AF218" s="641" t="str">
        <f>IF(AE218=0,"",VLOOKUP(AE218,[4]tab_tipo_expansao!$A$2:$B$4,2,0))</f>
        <v>opcional</v>
      </c>
      <c r="AG218" s="125">
        <v>2028</v>
      </c>
      <c r="AH218" s="125">
        <v>2100</v>
      </c>
      <c r="AI218" s="125">
        <v>30</v>
      </c>
      <c r="AJ218" s="106">
        <v>4125</v>
      </c>
      <c r="AK218" s="24">
        <f>AL218/[4]constantes!$B$4</f>
        <v>1282.051282051282</v>
      </c>
      <c r="AL218">
        <f t="shared" si="64"/>
        <v>5000</v>
      </c>
      <c r="AM218" s="87">
        <v>3</v>
      </c>
      <c r="AN218" s="531">
        <v>0</v>
      </c>
      <c r="AO218" s="23"/>
      <c r="AP218" s="532">
        <f t="shared" si="65"/>
        <v>4125</v>
      </c>
      <c r="AR218" s="35">
        <f t="shared" si="66"/>
        <v>5000</v>
      </c>
      <c r="AS218" s="36">
        <f ca="1">OFFSET(cod_desembolso!$A$1,AM218,23)</f>
        <v>1.1255071012622904</v>
      </c>
      <c r="AT218" s="37">
        <f ca="1">IF(AP218=0,0,AP218*(OFFSET(cod_desembolso!$A$1,AM218,23)))</f>
        <v>4642.7167927069477</v>
      </c>
      <c r="AU218" s="38">
        <f>(constantes!$B$3*(1+constantes!$B$3)^(AI218))/((1+constantes!$B$3)^(AI218)-1)</f>
        <v>8.8827433387272267E-2</v>
      </c>
      <c r="AV218" s="37">
        <f t="shared" ca="1" si="67"/>
        <v>453.65061664014672</v>
      </c>
      <c r="AW218" s="37">
        <f ca="1">IF(AP218=0,AY218/constantes!$B$3,AV218/constantes!$B$3)</f>
        <v>5670.6327080018336</v>
      </c>
      <c r="AX218" s="39">
        <f ca="1">IF(AP218=0,0,PV(constantes!$B$3,AI218,-AV218)*constantes!$B$3)</f>
        <v>408.56802844887653</v>
      </c>
      <c r="AY218" s="40">
        <f>constantes!$B$10*F218/1000</f>
        <v>41.25</v>
      </c>
      <c r="AZ218" s="533">
        <f>[4]constantes!$B$12</f>
        <v>0</v>
      </c>
      <c r="BA218" s="20">
        <v>318</v>
      </c>
      <c r="BB218" s="43"/>
      <c r="BC218" s="3" t="s">
        <v>2197</v>
      </c>
      <c r="BD218" s="640"/>
      <c r="BE218" s="534">
        <v>1</v>
      </c>
      <c r="BF218" s="535">
        <v>2027</v>
      </c>
      <c r="BG218" s="536">
        <v>1</v>
      </c>
      <c r="BH218" s="537">
        <v>2027</v>
      </c>
    </row>
    <row r="219" spans="1:60" ht="13.15" hidden="1" customHeight="1">
      <c r="A219" s="125">
        <v>1320</v>
      </c>
      <c r="B219" s="125">
        <v>1320</v>
      </c>
      <c r="C219" s="640" t="s">
        <v>2477</v>
      </c>
      <c r="D219" s="640" t="s">
        <v>2477</v>
      </c>
      <c r="F219" s="526">
        <v>915</v>
      </c>
      <c r="G219" s="640" t="s">
        <v>2474</v>
      </c>
      <c r="H219" s="640"/>
      <c r="I219" s="3" t="s">
        <v>2478</v>
      </c>
      <c r="J219" s="3" t="s">
        <v>2479</v>
      </c>
      <c r="K219" s="549" t="s">
        <v>157</v>
      </c>
      <c r="L219" s="549" t="s">
        <v>157</v>
      </c>
      <c r="M219" s="647">
        <v>6</v>
      </c>
      <c r="N219" s="529"/>
      <c r="O219" s="529">
        <v>1.9820000000000001E-2</v>
      </c>
      <c r="P219" s="529">
        <v>5.3999999999999999E-2</v>
      </c>
      <c r="Q219" s="288">
        <f t="shared" si="58"/>
        <v>0.57817313492063493</v>
      </c>
      <c r="R219" s="30">
        <f t="shared" si="59"/>
        <v>529.02841845238095</v>
      </c>
      <c r="S219" s="30">
        <f t="shared" si="60"/>
        <v>385.97158154761905</v>
      </c>
      <c r="T219" s="107">
        <v>837.25184000000002</v>
      </c>
      <c r="U219" s="107">
        <v>819.84659380952382</v>
      </c>
      <c r="V219" s="107">
        <v>209.28429</v>
      </c>
      <c r="W219" s="107">
        <v>249.73095000000006</v>
      </c>
      <c r="X219" s="288">
        <f t="shared" si="61"/>
        <v>0.60538599738562093</v>
      </c>
      <c r="Y219" s="289">
        <f t="shared" si="62"/>
        <v>553.92818760784314</v>
      </c>
      <c r="Z219" s="289">
        <f t="shared" si="63"/>
        <v>24.899769155462195</v>
      </c>
      <c r="AA219" s="559">
        <v>859.03497349019608</v>
      </c>
      <c r="AB219" s="559">
        <v>813.66650337254896</v>
      </c>
      <c r="AC219" s="559">
        <v>241.62181333333339</v>
      </c>
      <c r="AD219" s="42">
        <v>301.389460235294</v>
      </c>
      <c r="AE219" s="640">
        <v>1</v>
      </c>
      <c r="AF219" s="641" t="str">
        <f>IF(AE219=0,"",VLOOKUP(AE219,[4]tab_tipo_expansao!$A$2:$B$4,2,0))</f>
        <v>opcional</v>
      </c>
      <c r="AG219" s="125">
        <v>2028</v>
      </c>
      <c r="AH219" s="125">
        <v>2100</v>
      </c>
      <c r="AI219" s="125">
        <v>30</v>
      </c>
      <c r="AJ219" s="106">
        <v>4575</v>
      </c>
      <c r="AK219" s="24">
        <f>AL219/[4]constantes!$B$4</f>
        <v>1282.051282051282</v>
      </c>
      <c r="AL219">
        <f t="shared" si="64"/>
        <v>5000</v>
      </c>
      <c r="AM219" s="87">
        <v>3</v>
      </c>
      <c r="AN219" s="531">
        <v>0</v>
      </c>
      <c r="AO219" s="23"/>
      <c r="AP219" s="532">
        <f t="shared" si="65"/>
        <v>4575</v>
      </c>
      <c r="AR219" s="35">
        <f t="shared" si="66"/>
        <v>5000</v>
      </c>
      <c r="AS219" s="36">
        <f ca="1">OFFSET(cod_desembolso!$A$1,AM219,23)</f>
        <v>1.1255071012622904</v>
      </c>
      <c r="AT219" s="37">
        <f ca="1">IF(AP219=0,0,AP219*(OFFSET(cod_desembolso!$A$1,AM219,23)))</f>
        <v>5149.1949882749786</v>
      </c>
      <c r="AU219" s="38">
        <f>(constantes!$B$3*(1+constantes!$B$3)^(AI219))/((1+constantes!$B$3)^(AI219)-1)</f>
        <v>8.8827433387272267E-2</v>
      </c>
      <c r="AV219" s="37">
        <f t="shared" ca="1" si="67"/>
        <v>503.13977481907187</v>
      </c>
      <c r="AW219" s="37">
        <f ca="1">IF(AP219=0,AY219/constantes!$B$3,AV219/constantes!$B$3)</f>
        <v>6289.2471852383987</v>
      </c>
      <c r="AX219" s="39">
        <f ca="1">IF(AP219=0,0,PV(constantes!$B$3,AI219,-AV219)*constantes!$B$3)</f>
        <v>453.13908609784488</v>
      </c>
      <c r="AY219" s="40">
        <f>constantes!$B$10*F219/1000</f>
        <v>45.75</v>
      </c>
      <c r="AZ219" s="533">
        <f>[4]constantes!$B$12</f>
        <v>0</v>
      </c>
      <c r="BA219" s="20">
        <v>318</v>
      </c>
      <c r="BB219" s="43"/>
      <c r="BC219" s="3" t="s">
        <v>2197</v>
      </c>
      <c r="BD219" s="640"/>
      <c r="BE219" s="534">
        <v>1</v>
      </c>
      <c r="BF219" s="535">
        <v>2027</v>
      </c>
      <c r="BG219" s="536">
        <v>1</v>
      </c>
      <c r="BH219" s="537">
        <v>2027</v>
      </c>
    </row>
    <row r="220" spans="1:60" ht="13.15" hidden="1" customHeight="1">
      <c r="A220" s="125">
        <v>1321</v>
      </c>
      <c r="B220" s="125">
        <v>1321</v>
      </c>
      <c r="C220" s="640" t="s">
        <v>2480</v>
      </c>
      <c r="D220" s="640" t="s">
        <v>2480</v>
      </c>
      <c r="F220" s="526">
        <v>1525</v>
      </c>
      <c r="G220" s="640" t="s">
        <v>2474</v>
      </c>
      <c r="H220" s="640"/>
      <c r="I220" s="3" t="s">
        <v>2481</v>
      </c>
      <c r="J220" s="3" t="s">
        <v>2482</v>
      </c>
      <c r="K220" s="549" t="s">
        <v>157</v>
      </c>
      <c r="L220" s="549" t="s">
        <v>157</v>
      </c>
      <c r="M220" s="647">
        <v>6</v>
      </c>
      <c r="N220" s="529"/>
      <c r="O220" s="529">
        <v>1.9820000000000001E-2</v>
      </c>
      <c r="P220" s="529">
        <v>5.3999999999999999E-2</v>
      </c>
      <c r="Q220" s="288">
        <f t="shared" si="58"/>
        <v>0.57817313492063493</v>
      </c>
      <c r="R220" s="30">
        <f t="shared" si="59"/>
        <v>881.71403075396836</v>
      </c>
      <c r="S220" s="30">
        <f t="shared" si="60"/>
        <v>643.28596924603164</v>
      </c>
      <c r="T220" s="107">
        <v>1395.4197333333334</v>
      </c>
      <c r="U220" s="107">
        <v>1366.4109896825398</v>
      </c>
      <c r="V220" s="107">
        <v>348.80715000000004</v>
      </c>
      <c r="W220" s="107">
        <v>416.21825000000007</v>
      </c>
      <c r="X220" s="288">
        <f t="shared" si="61"/>
        <v>0.60538599738562093</v>
      </c>
      <c r="Y220" s="289">
        <f t="shared" si="62"/>
        <v>923.21364601307198</v>
      </c>
      <c r="Z220" s="289">
        <f t="shared" si="63"/>
        <v>41.499615259103621</v>
      </c>
      <c r="AA220" s="559">
        <v>1431.7249558169935</v>
      </c>
      <c r="AB220" s="559">
        <v>1356.1108389542483</v>
      </c>
      <c r="AC220" s="559">
        <v>402.70302222222233</v>
      </c>
      <c r="AD220" s="42">
        <v>502.31576705882338</v>
      </c>
      <c r="AE220" s="640">
        <v>1</v>
      </c>
      <c r="AF220" s="641" t="str">
        <f>IF(AE220=0,"",VLOOKUP(AE220,[4]tab_tipo_expansao!$A$2:$B$4,2,0))</f>
        <v>opcional</v>
      </c>
      <c r="AG220" s="125">
        <v>2028</v>
      </c>
      <c r="AH220" s="125">
        <v>2100</v>
      </c>
      <c r="AI220" s="125">
        <v>30</v>
      </c>
      <c r="AJ220" s="106">
        <v>7625</v>
      </c>
      <c r="AK220" s="24">
        <f>AL220/[4]constantes!$B$4</f>
        <v>1282.051282051282</v>
      </c>
      <c r="AL220">
        <f t="shared" si="64"/>
        <v>5000</v>
      </c>
      <c r="AM220" s="87">
        <v>3</v>
      </c>
      <c r="AN220" s="531">
        <v>0</v>
      </c>
      <c r="AO220" s="23"/>
      <c r="AP220" s="532">
        <f t="shared" si="65"/>
        <v>7625</v>
      </c>
      <c r="AR220" s="35">
        <f t="shared" si="66"/>
        <v>5000</v>
      </c>
      <c r="AS220" s="36">
        <f ca="1">OFFSET(cod_desembolso!$A$1,AM220,23)</f>
        <v>1.1255071012622904</v>
      </c>
      <c r="AT220" s="37">
        <f ca="1">IF(AP220=0,0,AP220*(OFFSET(cod_desembolso!$A$1,AM220,23)))</f>
        <v>8581.9916471249635</v>
      </c>
      <c r="AU220" s="38">
        <f>(constantes!$B$3*(1+constantes!$B$3)^(AI220))/((1+constantes!$B$3)^(AI220)-1)</f>
        <v>8.8827433387272267E-2</v>
      </c>
      <c r="AV220" s="37">
        <f t="shared" ca="1" si="67"/>
        <v>838.5662913651197</v>
      </c>
      <c r="AW220" s="37">
        <f ca="1">IF(AP220=0,AY220/constantes!$B$3,AV220/constantes!$B$3)</f>
        <v>10482.078642063996</v>
      </c>
      <c r="AX220" s="39">
        <f ca="1">IF(AP220=0,0,PV(constantes!$B$3,AI220,-AV220)*constantes!$B$3)</f>
        <v>755.23181016307467</v>
      </c>
      <c r="AY220" s="40">
        <f>constantes!$B$10*F220/1000</f>
        <v>76.25</v>
      </c>
      <c r="AZ220" s="533">
        <f>[4]constantes!$B$12</f>
        <v>0</v>
      </c>
      <c r="BA220" s="20">
        <v>318</v>
      </c>
      <c r="BB220" s="43"/>
      <c r="BC220" s="3" t="s">
        <v>2197</v>
      </c>
      <c r="BD220" s="640"/>
      <c r="BE220" s="534">
        <v>1</v>
      </c>
      <c r="BF220" s="535">
        <v>2027</v>
      </c>
      <c r="BG220" s="536">
        <v>1</v>
      </c>
      <c r="BH220" s="537">
        <v>2027</v>
      </c>
    </row>
    <row r="221" spans="1:60" ht="13.15" hidden="1" customHeight="1">
      <c r="A221" s="125">
        <v>1322</v>
      </c>
      <c r="B221" s="125">
        <v>1322</v>
      </c>
      <c r="C221" s="640" t="s">
        <v>2483</v>
      </c>
      <c r="D221" s="640" t="s">
        <v>2483</v>
      </c>
      <c r="F221" s="526">
        <v>220</v>
      </c>
      <c r="G221" s="640" t="s">
        <v>2474</v>
      </c>
      <c r="H221" s="640"/>
      <c r="I221" s="3" t="s">
        <v>2484</v>
      </c>
      <c r="J221" s="3" t="s">
        <v>2485</v>
      </c>
      <c r="K221" s="549" t="s">
        <v>157</v>
      </c>
      <c r="L221" s="549" t="s">
        <v>157</v>
      </c>
      <c r="M221" s="647">
        <v>6</v>
      </c>
      <c r="N221" s="529"/>
      <c r="O221" s="529">
        <v>1.9820000000000001E-2</v>
      </c>
      <c r="P221" s="529">
        <v>5.3999999999999999E-2</v>
      </c>
      <c r="Q221" s="288">
        <f t="shared" si="58"/>
        <v>0.57817313492063493</v>
      </c>
      <c r="R221" s="30">
        <f t="shared" si="59"/>
        <v>127.19808968253969</v>
      </c>
      <c r="S221" s="30">
        <f t="shared" si="60"/>
        <v>92.801910317460312</v>
      </c>
      <c r="T221" s="107">
        <v>201.30645333333334</v>
      </c>
      <c r="U221" s="107">
        <v>197.1215853968254</v>
      </c>
      <c r="V221" s="107">
        <v>50.319720000000004</v>
      </c>
      <c r="W221" s="107">
        <v>60.044600000000017</v>
      </c>
      <c r="X221" s="288">
        <f t="shared" si="61"/>
        <v>0.60538599738562093</v>
      </c>
      <c r="Y221" s="289">
        <f t="shared" si="62"/>
        <v>133.18491942483661</v>
      </c>
      <c r="Z221" s="289">
        <f t="shared" si="63"/>
        <v>5.9868297422969192</v>
      </c>
      <c r="AA221" s="559">
        <v>206.54392805228758</v>
      </c>
      <c r="AB221" s="559">
        <v>195.63566201307191</v>
      </c>
      <c r="AC221" s="559">
        <v>58.094862222222233</v>
      </c>
      <c r="AD221" s="42">
        <v>72.465225411764678</v>
      </c>
      <c r="AE221" s="640">
        <v>1</v>
      </c>
      <c r="AF221" s="641" t="str">
        <f>IF(AE221=0,"",VLOOKUP(AE221,[4]tab_tipo_expansao!$A$2:$B$4,2,0))</f>
        <v>opcional</v>
      </c>
      <c r="AG221" s="125">
        <v>2028</v>
      </c>
      <c r="AH221" s="125">
        <v>2100</v>
      </c>
      <c r="AI221" s="125">
        <v>30</v>
      </c>
      <c r="AJ221" s="106">
        <v>1100</v>
      </c>
      <c r="AK221" s="24">
        <f>AL221/[4]constantes!$B$4</f>
        <v>1282.051282051282</v>
      </c>
      <c r="AL221">
        <f t="shared" si="64"/>
        <v>5000</v>
      </c>
      <c r="AM221" s="87">
        <v>3</v>
      </c>
      <c r="AN221" s="531">
        <v>0</v>
      </c>
      <c r="AO221" s="23"/>
      <c r="AP221" s="532">
        <f t="shared" si="65"/>
        <v>1100</v>
      </c>
      <c r="AR221" s="35">
        <f t="shared" si="66"/>
        <v>5000</v>
      </c>
      <c r="AS221" s="36">
        <f ca="1">OFFSET(cod_desembolso!$A$1,AM221,23)</f>
        <v>1.1255071012622904</v>
      </c>
      <c r="AT221" s="37">
        <f ca="1">IF(AP221=0,0,AP221*(OFFSET(cod_desembolso!$A$1,AM221,23)))</f>
        <v>1238.0578113885194</v>
      </c>
      <c r="AU221" s="38">
        <f>(constantes!$B$3*(1+constantes!$B$3)^(AI221))/((1+constantes!$B$3)^(AI221)-1)</f>
        <v>8.8827433387272267E-2</v>
      </c>
      <c r="AV221" s="37">
        <f t="shared" ca="1" si="67"/>
        <v>120.97349777070581</v>
      </c>
      <c r="AW221" s="37">
        <f ca="1">IF(AP221=0,AY221/constantes!$B$3,AV221/constantes!$B$3)</f>
        <v>1512.1687221338225</v>
      </c>
      <c r="AX221" s="39">
        <f ca="1">IF(AP221=0,0,PV(constantes!$B$3,AI221,-AV221)*constantes!$B$3)</f>
        <v>108.95147425303374</v>
      </c>
      <c r="AY221" s="40">
        <f>constantes!$B$10*F221/1000</f>
        <v>11</v>
      </c>
      <c r="AZ221" s="533">
        <f>[4]constantes!$B$12</f>
        <v>0</v>
      </c>
      <c r="BA221" s="20">
        <v>318</v>
      </c>
      <c r="BB221" s="43"/>
      <c r="BC221" s="3" t="s">
        <v>2197</v>
      </c>
      <c r="BD221" s="640"/>
      <c r="BE221" s="534">
        <v>1</v>
      </c>
      <c r="BF221" s="535">
        <v>2027</v>
      </c>
      <c r="BG221" s="536">
        <v>1</v>
      </c>
      <c r="BH221" s="537">
        <v>2027</v>
      </c>
    </row>
    <row r="222" spans="1:60" ht="13.15" hidden="1" customHeight="1">
      <c r="A222" s="125">
        <v>1323</v>
      </c>
      <c r="B222" s="125">
        <v>1323</v>
      </c>
      <c r="C222" s="640" t="s">
        <v>2486</v>
      </c>
      <c r="D222" s="640" t="s">
        <v>2486</v>
      </c>
      <c r="F222" s="526">
        <v>286</v>
      </c>
      <c r="G222" s="640" t="s">
        <v>2474</v>
      </c>
      <c r="H222" s="640"/>
      <c r="I222" s="3" t="s">
        <v>2487</v>
      </c>
      <c r="J222" s="3" t="s">
        <v>2488</v>
      </c>
      <c r="K222" s="549" t="s">
        <v>157</v>
      </c>
      <c r="L222" s="549" t="s">
        <v>157</v>
      </c>
      <c r="M222" s="647">
        <v>6</v>
      </c>
      <c r="N222" s="529"/>
      <c r="O222" s="529">
        <v>1.9820000000000001E-2</v>
      </c>
      <c r="P222" s="529">
        <v>5.3999999999999999E-2</v>
      </c>
      <c r="Q222" s="288">
        <f t="shared" si="58"/>
        <v>0.57817313492063482</v>
      </c>
      <c r="R222" s="30">
        <f t="shared" si="59"/>
        <v>165.35751658730157</v>
      </c>
      <c r="S222" s="30">
        <f t="shared" si="60"/>
        <v>120.64248341269843</v>
      </c>
      <c r="T222" s="107">
        <v>261.69838933333335</v>
      </c>
      <c r="U222" s="107">
        <v>256.25806101587301</v>
      </c>
      <c r="V222" s="107">
        <v>65.415636000000006</v>
      </c>
      <c r="W222" s="107">
        <v>78.057980000000015</v>
      </c>
      <c r="X222" s="288">
        <f t="shared" si="61"/>
        <v>0.60538599738562082</v>
      </c>
      <c r="Y222" s="289">
        <f t="shared" si="62"/>
        <v>173.14039525228756</v>
      </c>
      <c r="Z222" s="289">
        <f t="shared" si="63"/>
        <v>7.7828786649859865</v>
      </c>
      <c r="AA222" s="559">
        <v>268.50710646797387</v>
      </c>
      <c r="AB222" s="559">
        <v>254.32636061699347</v>
      </c>
      <c r="AC222" s="559">
        <v>75.523320888888904</v>
      </c>
      <c r="AD222" s="42">
        <v>94.204793035294088</v>
      </c>
      <c r="AE222" s="640">
        <v>1</v>
      </c>
      <c r="AF222" s="641" t="str">
        <f>IF(AE222=0,"",VLOOKUP(AE222,[4]tab_tipo_expansao!$A$2:$B$4,2,0))</f>
        <v>opcional</v>
      </c>
      <c r="AG222" s="125">
        <v>2028</v>
      </c>
      <c r="AH222" s="125">
        <v>2100</v>
      </c>
      <c r="AI222" s="125">
        <v>30</v>
      </c>
      <c r="AJ222" s="106">
        <v>1430</v>
      </c>
      <c r="AK222" s="24">
        <f>AL222/[4]constantes!$B$4</f>
        <v>1282.051282051282</v>
      </c>
      <c r="AL222">
        <f t="shared" si="64"/>
        <v>5000</v>
      </c>
      <c r="AM222" s="87">
        <v>3</v>
      </c>
      <c r="AN222" s="531">
        <v>0</v>
      </c>
      <c r="AO222" s="23"/>
      <c r="AP222" s="532">
        <f t="shared" si="65"/>
        <v>1430</v>
      </c>
      <c r="AR222" s="35">
        <f t="shared" si="66"/>
        <v>5000</v>
      </c>
      <c r="AS222" s="36">
        <f ca="1">OFFSET(cod_desembolso!$A$1,AM222,23)</f>
        <v>1.1255071012622904</v>
      </c>
      <c r="AT222" s="37">
        <f ca="1">IF(AP222=0,0,AP222*(OFFSET(cod_desembolso!$A$1,AM222,23)))</f>
        <v>1609.4751548050751</v>
      </c>
      <c r="AU222" s="38">
        <f>(constantes!$B$3*(1+constantes!$B$3)^(AI222))/((1+constantes!$B$3)^(AI222)-1)</f>
        <v>8.8827433387272267E-2</v>
      </c>
      <c r="AV222" s="37">
        <f t="shared" ca="1" si="67"/>
        <v>157.26554710191755</v>
      </c>
      <c r="AW222" s="37">
        <f ca="1">IF(AP222=0,AY222/constantes!$B$3,AV222/constantes!$B$3)</f>
        <v>1965.8193387739693</v>
      </c>
      <c r="AX222" s="39">
        <f ca="1">IF(AP222=0,0,PV(constantes!$B$3,AI222,-AV222)*constantes!$B$3)</f>
        <v>141.63691652894389</v>
      </c>
      <c r="AY222" s="40">
        <f>constantes!$B$10*F222/1000</f>
        <v>14.3</v>
      </c>
      <c r="AZ222" s="533">
        <f>[4]constantes!$B$12</f>
        <v>0</v>
      </c>
      <c r="BA222" s="20">
        <v>318</v>
      </c>
      <c r="BB222" s="43"/>
      <c r="BC222" s="3" t="s">
        <v>2197</v>
      </c>
      <c r="BD222" s="640"/>
      <c r="BE222" s="534">
        <v>1</v>
      </c>
      <c r="BF222" s="535">
        <v>2027</v>
      </c>
      <c r="BG222" s="536">
        <v>1</v>
      </c>
      <c r="BH222" s="537">
        <v>2027</v>
      </c>
    </row>
    <row r="223" spans="1:60" ht="13.15" hidden="1" customHeight="1">
      <c r="A223" s="125">
        <v>1324</v>
      </c>
      <c r="B223" s="125">
        <v>1324</v>
      </c>
      <c r="C223" s="640" t="s">
        <v>2489</v>
      </c>
      <c r="D223" s="640" t="s">
        <v>2489</v>
      </c>
      <c r="F223" s="526">
        <v>1074</v>
      </c>
      <c r="G223" s="640" t="s">
        <v>2474</v>
      </c>
      <c r="H223" s="640"/>
      <c r="I223" s="3" t="s">
        <v>2490</v>
      </c>
      <c r="J223" s="3" t="s">
        <v>2491</v>
      </c>
      <c r="K223" s="549" t="s">
        <v>157</v>
      </c>
      <c r="L223" s="549" t="s">
        <v>157</v>
      </c>
      <c r="M223" s="647">
        <v>6</v>
      </c>
      <c r="N223" s="529"/>
      <c r="O223" s="529">
        <v>1.9820000000000001E-2</v>
      </c>
      <c r="P223" s="529">
        <v>5.3999999999999999E-2</v>
      </c>
      <c r="Q223" s="288">
        <f t="shared" si="58"/>
        <v>0.57817313492063493</v>
      </c>
      <c r="R223" s="30">
        <f t="shared" si="59"/>
        <v>620.95794690476191</v>
      </c>
      <c r="S223" s="30">
        <f t="shared" si="60"/>
        <v>453.04205309523809</v>
      </c>
      <c r="T223" s="107">
        <v>982.74150400000008</v>
      </c>
      <c r="U223" s="107">
        <v>962.31173961904767</v>
      </c>
      <c r="V223" s="107">
        <v>245.651724</v>
      </c>
      <c r="W223" s="107">
        <v>293.12682000000007</v>
      </c>
      <c r="X223" s="288">
        <f t="shared" si="61"/>
        <v>0.60538599738562093</v>
      </c>
      <c r="Y223" s="289">
        <f t="shared" si="62"/>
        <v>650.18456119215693</v>
      </c>
      <c r="Z223" s="289">
        <f t="shared" si="63"/>
        <v>29.226614287395023</v>
      </c>
      <c r="AA223" s="559">
        <v>1008.309903309804</v>
      </c>
      <c r="AB223" s="559">
        <v>955.05773182745099</v>
      </c>
      <c r="AC223" s="559">
        <v>283.60855466666675</v>
      </c>
      <c r="AD223" s="42">
        <v>353.76205496470578</v>
      </c>
      <c r="AE223" s="640">
        <v>1</v>
      </c>
      <c r="AF223" s="641" t="str">
        <f>IF(AE223=0,"",VLOOKUP(AE223,[4]tab_tipo_expansao!$A$2:$B$4,2,0))</f>
        <v>opcional</v>
      </c>
      <c r="AG223" s="125">
        <v>2028</v>
      </c>
      <c r="AH223" s="125">
        <v>2100</v>
      </c>
      <c r="AI223" s="125">
        <v>30</v>
      </c>
      <c r="AJ223" s="106">
        <v>5370</v>
      </c>
      <c r="AK223" s="24">
        <f>AL223/[4]constantes!$B$4</f>
        <v>1282.051282051282</v>
      </c>
      <c r="AL223">
        <f t="shared" si="64"/>
        <v>5000</v>
      </c>
      <c r="AM223" s="87">
        <v>3</v>
      </c>
      <c r="AN223" s="531">
        <v>0</v>
      </c>
      <c r="AO223" s="23"/>
      <c r="AP223" s="532">
        <f t="shared" si="65"/>
        <v>5370</v>
      </c>
      <c r="AR223" s="35">
        <f t="shared" si="66"/>
        <v>5000</v>
      </c>
      <c r="AS223" s="36">
        <f ca="1">OFFSET(cod_desembolso!$A$1,AM223,23)</f>
        <v>1.1255071012622904</v>
      </c>
      <c r="AT223" s="37">
        <f ca="1">IF(AP223=0,0,AP223*(OFFSET(cod_desembolso!$A$1,AM223,23)))</f>
        <v>6043.9731337784997</v>
      </c>
      <c r="AU223" s="38">
        <f>(constantes!$B$3*(1+constantes!$B$3)^(AI223))/((1+constantes!$B$3)^(AI223)-1)</f>
        <v>8.8827433387272267E-2</v>
      </c>
      <c r="AV223" s="37">
        <f t="shared" ca="1" si="67"/>
        <v>590.570620935173</v>
      </c>
      <c r="AW223" s="37">
        <f ca="1">IF(AP223=0,AY223/constantes!$B$3,AV223/constantes!$B$3)</f>
        <v>7382.1327616896624</v>
      </c>
      <c r="AX223" s="39">
        <f ca="1">IF(AP223=0,0,PV(constantes!$B$3,AI223,-AV223)*constantes!$B$3)</f>
        <v>531.88128794435568</v>
      </c>
      <c r="AY223" s="40">
        <f>constantes!$B$10*F223/1000</f>
        <v>53.7</v>
      </c>
      <c r="AZ223" s="533">
        <f>[4]constantes!$B$12</f>
        <v>0</v>
      </c>
      <c r="BA223" s="20">
        <v>318</v>
      </c>
      <c r="BB223" s="43"/>
      <c r="BC223" s="3" t="s">
        <v>2197</v>
      </c>
      <c r="BD223" s="640"/>
      <c r="BE223" s="534">
        <v>1</v>
      </c>
      <c r="BF223" s="535">
        <v>2027</v>
      </c>
      <c r="BG223" s="536">
        <v>1</v>
      </c>
      <c r="BH223" s="537">
        <v>2027</v>
      </c>
    </row>
    <row r="224" spans="1:60" ht="13.15" hidden="1" customHeight="1">
      <c r="A224" s="125">
        <v>1325</v>
      </c>
      <c r="B224" s="125">
        <v>1325</v>
      </c>
      <c r="C224" s="640" t="s">
        <v>2492</v>
      </c>
      <c r="D224" s="640" t="s">
        <v>2492</v>
      </c>
      <c r="F224" s="526">
        <v>1379</v>
      </c>
      <c r="G224" s="640" t="s">
        <v>2474</v>
      </c>
      <c r="H224" s="640"/>
      <c r="I224" s="3" t="s">
        <v>2493</v>
      </c>
      <c r="J224" s="3">
        <v>-74.430000000000007</v>
      </c>
      <c r="K224" s="549" t="s">
        <v>157</v>
      </c>
      <c r="L224" s="549" t="s">
        <v>157</v>
      </c>
      <c r="M224" s="647">
        <v>6</v>
      </c>
      <c r="N224" s="529"/>
      <c r="O224" s="529">
        <v>1.9820000000000001E-2</v>
      </c>
      <c r="P224" s="529">
        <v>5.3999999999999999E-2</v>
      </c>
      <c r="Q224" s="288">
        <f t="shared" si="58"/>
        <v>0.57817313492063493</v>
      </c>
      <c r="R224" s="30">
        <f t="shared" si="59"/>
        <v>797.30075305555556</v>
      </c>
      <c r="S224" s="30">
        <f t="shared" si="60"/>
        <v>581.69924694444444</v>
      </c>
      <c r="T224" s="107">
        <v>1261.8254506666667</v>
      </c>
      <c r="U224" s="107">
        <v>1235.5939375555556</v>
      </c>
      <c r="V224" s="107">
        <v>315.41315400000002</v>
      </c>
      <c r="W224" s="107">
        <v>376.37047000000007</v>
      </c>
      <c r="X224" s="288">
        <f t="shared" si="61"/>
        <v>0.60538599738562093</v>
      </c>
      <c r="Y224" s="289">
        <f t="shared" si="62"/>
        <v>834.82729039477124</v>
      </c>
      <c r="Z224" s="289">
        <f t="shared" si="63"/>
        <v>37.526537339215679</v>
      </c>
      <c r="AA224" s="559">
        <v>1294.6548944732026</v>
      </c>
      <c r="AB224" s="559">
        <v>1226.2798996183005</v>
      </c>
      <c r="AC224" s="559">
        <v>364.1491591111112</v>
      </c>
      <c r="AD224" s="42">
        <v>454.22520837647045</v>
      </c>
      <c r="AE224" s="640">
        <v>1</v>
      </c>
      <c r="AF224" s="641" t="str">
        <f>IF(AE224=0,"",VLOOKUP(AE224,[4]tab_tipo_expansao!$A$2:$B$4,2,0))</f>
        <v>opcional</v>
      </c>
      <c r="AG224" s="125">
        <v>2028</v>
      </c>
      <c r="AH224" s="125">
        <v>2100</v>
      </c>
      <c r="AI224" s="125">
        <v>30</v>
      </c>
      <c r="AJ224" s="106">
        <v>6895</v>
      </c>
      <c r="AK224" s="24">
        <f>AL224/[4]constantes!$B$4</f>
        <v>1282.051282051282</v>
      </c>
      <c r="AL224">
        <f t="shared" si="64"/>
        <v>5000</v>
      </c>
      <c r="AM224" s="87">
        <v>3</v>
      </c>
      <c r="AN224" s="531">
        <v>0</v>
      </c>
      <c r="AO224" s="23"/>
      <c r="AP224" s="532">
        <f t="shared" si="65"/>
        <v>6895</v>
      </c>
      <c r="AR224" s="35">
        <f t="shared" si="66"/>
        <v>5000</v>
      </c>
      <c r="AS224" s="36">
        <f ca="1">OFFSET(cod_desembolso!$A$1,AM224,23)</f>
        <v>1.1255071012622904</v>
      </c>
      <c r="AT224" s="37">
        <f ca="1">IF(AP224=0,0,AP224*(OFFSET(cod_desembolso!$A$1,AM224,23)))</f>
        <v>7760.3714632034917</v>
      </c>
      <c r="AU224" s="38">
        <f>(constantes!$B$3*(1+constantes!$B$3)^(AI224))/((1+constantes!$B$3)^(AI224)-1)</f>
        <v>8.8827433387272267E-2</v>
      </c>
      <c r="AV224" s="37">
        <f t="shared" ca="1" si="67"/>
        <v>758.28387920819682</v>
      </c>
      <c r="AW224" s="37">
        <f ca="1">IF(AP224=0,AY224/constantes!$B$3,AV224/constantes!$B$3)</f>
        <v>9478.5484901024593</v>
      </c>
      <c r="AX224" s="39">
        <f ca="1">IF(AP224=0,0,PV(constantes!$B$3,AI224,-AV224)*constantes!$B$3)</f>
        <v>682.92764997697054</v>
      </c>
      <c r="AY224" s="40">
        <f>constantes!$B$10*F224/1000</f>
        <v>68.95</v>
      </c>
      <c r="AZ224" s="533">
        <f>[4]constantes!$B$12</f>
        <v>0</v>
      </c>
      <c r="BA224" s="20">
        <v>318</v>
      </c>
      <c r="BB224" s="43"/>
      <c r="BC224" s="3" t="s">
        <v>2197</v>
      </c>
      <c r="BD224" s="640"/>
      <c r="BE224" s="534">
        <v>1</v>
      </c>
      <c r="BF224" s="535">
        <v>2027</v>
      </c>
      <c r="BG224" s="536">
        <v>1</v>
      </c>
      <c r="BH224" s="537">
        <v>2027</v>
      </c>
    </row>
    <row r="225" spans="1:60" ht="13.15" hidden="1" customHeight="1">
      <c r="A225" s="125">
        <v>1326</v>
      </c>
      <c r="B225" s="125">
        <v>1326</v>
      </c>
      <c r="C225" s="640" t="s">
        <v>2494</v>
      </c>
      <c r="D225" s="640" t="s">
        <v>2494</v>
      </c>
      <c r="F225" s="526">
        <v>620</v>
      </c>
      <c r="G225" s="640" t="s">
        <v>2474</v>
      </c>
      <c r="H225" s="640"/>
      <c r="I225" s="3" t="s">
        <v>2495</v>
      </c>
      <c r="J225" s="3">
        <v>-74.14</v>
      </c>
      <c r="K225" s="549" t="s">
        <v>157</v>
      </c>
      <c r="L225" s="549" t="s">
        <v>157</v>
      </c>
      <c r="M225" s="647">
        <v>6</v>
      </c>
      <c r="N225" s="529"/>
      <c r="O225" s="529">
        <v>1.9820000000000001E-2</v>
      </c>
      <c r="P225" s="529">
        <v>5.3999999999999999E-2</v>
      </c>
      <c r="Q225" s="288">
        <f t="shared" si="58"/>
        <v>0.57817313492063493</v>
      </c>
      <c r="R225" s="30">
        <f t="shared" si="59"/>
        <v>358.46734365079368</v>
      </c>
      <c r="S225" s="30">
        <f t="shared" si="60"/>
        <v>261.53265634920632</v>
      </c>
      <c r="T225" s="107">
        <v>567.31818666666663</v>
      </c>
      <c r="U225" s="107">
        <v>555.5244679365079</v>
      </c>
      <c r="V225" s="107">
        <v>141.81012000000001</v>
      </c>
      <c r="W225" s="107">
        <v>169.21660000000003</v>
      </c>
      <c r="X225" s="288">
        <f t="shared" si="61"/>
        <v>0.60538599738562082</v>
      </c>
      <c r="Y225" s="289">
        <f t="shared" si="62"/>
        <v>375.33931837908494</v>
      </c>
      <c r="Z225" s="289">
        <f t="shared" si="63"/>
        <v>16.871974728291264</v>
      </c>
      <c r="AA225" s="559">
        <v>582.07834269281045</v>
      </c>
      <c r="AB225" s="559">
        <v>551.33686567320262</v>
      </c>
      <c r="AC225" s="559">
        <v>163.72188444444447</v>
      </c>
      <c r="AD225" s="42">
        <v>204.22018070588229</v>
      </c>
      <c r="AE225" s="640">
        <v>1</v>
      </c>
      <c r="AF225" s="641" t="str">
        <f>IF(AE225=0,"",VLOOKUP(AE225,[4]tab_tipo_expansao!$A$2:$B$4,2,0))</f>
        <v>opcional</v>
      </c>
      <c r="AG225" s="125">
        <v>2028</v>
      </c>
      <c r="AH225" s="125">
        <v>2100</v>
      </c>
      <c r="AI225" s="125">
        <v>30</v>
      </c>
      <c r="AJ225" s="106">
        <v>3100</v>
      </c>
      <c r="AK225" s="24">
        <f>AL225/[4]constantes!$B$4</f>
        <v>1282.051282051282</v>
      </c>
      <c r="AL225">
        <f t="shared" si="64"/>
        <v>5000</v>
      </c>
      <c r="AM225" s="87">
        <v>3</v>
      </c>
      <c r="AN225" s="531">
        <v>0</v>
      </c>
      <c r="AO225" s="23"/>
      <c r="AP225" s="532">
        <f t="shared" si="65"/>
        <v>3100</v>
      </c>
      <c r="AR225" s="35">
        <f t="shared" si="66"/>
        <v>5000</v>
      </c>
      <c r="AS225" s="36">
        <f ca="1">OFFSET(cod_desembolso!$A$1,AM225,23)</f>
        <v>1.1255071012622904</v>
      </c>
      <c r="AT225" s="37">
        <f ca="1">IF(AP225=0,0,AP225*(OFFSET(cod_desembolso!$A$1,AM225,23)))</f>
        <v>3489.0720139130999</v>
      </c>
      <c r="AU225" s="38">
        <f>(constantes!$B$3*(1+constantes!$B$3)^(AI225))/((1+constantes!$B$3)^(AI225)-1)</f>
        <v>8.8827433387272267E-2</v>
      </c>
      <c r="AV225" s="37">
        <f t="shared" ca="1" si="67"/>
        <v>340.92531189926177</v>
      </c>
      <c r="AW225" s="37">
        <f ca="1">IF(AP225=0,AY225/constantes!$B$3,AV225/constantes!$B$3)</f>
        <v>4261.5663987407725</v>
      </c>
      <c r="AX225" s="39">
        <f ca="1">IF(AP225=0,0,PV(constantes!$B$3,AI225,-AV225)*constantes!$B$3)</f>
        <v>307.0450638040042</v>
      </c>
      <c r="AY225" s="40">
        <f>constantes!$B$10*F225/1000</f>
        <v>31</v>
      </c>
      <c r="AZ225" s="533">
        <f>[4]constantes!$B$12</f>
        <v>0</v>
      </c>
      <c r="BA225" s="20">
        <v>318</v>
      </c>
      <c r="BB225" s="43"/>
      <c r="BC225" s="3" t="s">
        <v>2197</v>
      </c>
      <c r="BD225" s="640"/>
      <c r="BE225" s="534">
        <v>1</v>
      </c>
      <c r="BF225" s="535">
        <v>2027</v>
      </c>
      <c r="BG225" s="536">
        <v>1</v>
      </c>
      <c r="BH225" s="537">
        <v>2027</v>
      </c>
    </row>
    <row r="226" spans="1:60" ht="13.15" hidden="1" customHeight="1">
      <c r="A226" s="125">
        <v>1327</v>
      </c>
      <c r="B226" s="125">
        <v>1327</v>
      </c>
      <c r="C226" s="640" t="s">
        <v>2496</v>
      </c>
      <c r="D226" s="640" t="s">
        <v>2496</v>
      </c>
      <c r="F226" s="526">
        <v>750</v>
      </c>
      <c r="G226" s="640" t="s">
        <v>2474</v>
      </c>
      <c r="H226" s="640"/>
      <c r="I226" s="3" t="s">
        <v>2497</v>
      </c>
      <c r="J226" s="3">
        <v>-74.17</v>
      </c>
      <c r="K226" s="549" t="s">
        <v>157</v>
      </c>
      <c r="L226" s="549" t="s">
        <v>157</v>
      </c>
      <c r="M226" s="647">
        <v>6</v>
      </c>
      <c r="N226" s="529"/>
      <c r="O226" s="529">
        <v>1.9820000000000001E-2</v>
      </c>
      <c r="P226" s="529">
        <v>5.3999999999999999E-2</v>
      </c>
      <c r="Q226" s="288">
        <f t="shared" si="58"/>
        <v>0.57817313492063493</v>
      </c>
      <c r="R226" s="30">
        <f t="shared" si="59"/>
        <v>433.62985119047619</v>
      </c>
      <c r="S226" s="30">
        <f t="shared" si="60"/>
        <v>316.37014880952381</v>
      </c>
      <c r="T226" s="107">
        <v>686.27200000000005</v>
      </c>
      <c r="U226" s="107">
        <v>672.00540476190474</v>
      </c>
      <c r="V226" s="107">
        <v>171.5445</v>
      </c>
      <c r="W226" s="107">
        <v>204.69750000000005</v>
      </c>
      <c r="X226" s="288">
        <f t="shared" si="61"/>
        <v>0.60538599738562093</v>
      </c>
      <c r="Y226" s="289">
        <f t="shared" si="62"/>
        <v>454.03949803921569</v>
      </c>
      <c r="Z226" s="289">
        <f t="shared" si="63"/>
        <v>20.409646848739499</v>
      </c>
      <c r="AA226" s="559">
        <v>704.12702745098045</v>
      </c>
      <c r="AB226" s="559">
        <v>666.93975686274507</v>
      </c>
      <c r="AC226" s="559">
        <v>198.0506666666667</v>
      </c>
      <c r="AD226" s="42">
        <v>247.0405411764705</v>
      </c>
      <c r="AE226" s="640">
        <v>1</v>
      </c>
      <c r="AF226" s="641" t="str">
        <f>IF(AE226=0,"",VLOOKUP(AE226,[4]tab_tipo_expansao!$A$2:$B$4,2,0))</f>
        <v>opcional</v>
      </c>
      <c r="AG226" s="125">
        <v>2028</v>
      </c>
      <c r="AH226" s="125">
        <v>2100</v>
      </c>
      <c r="AI226" s="125">
        <v>30</v>
      </c>
      <c r="AJ226" s="106">
        <v>3750</v>
      </c>
      <c r="AK226" s="24">
        <f>AL226/[4]constantes!$B$4</f>
        <v>1282.051282051282</v>
      </c>
      <c r="AL226">
        <f t="shared" si="64"/>
        <v>5000</v>
      </c>
      <c r="AM226" s="87">
        <v>3</v>
      </c>
      <c r="AN226" s="531">
        <v>0</v>
      </c>
      <c r="AO226" s="23"/>
      <c r="AP226" s="532">
        <f t="shared" si="65"/>
        <v>3750</v>
      </c>
      <c r="AR226" s="35">
        <f t="shared" si="66"/>
        <v>5000</v>
      </c>
      <c r="AS226" s="36">
        <f ca="1">OFFSET(cod_desembolso!$A$1,AM226,23)</f>
        <v>1.1255071012622904</v>
      </c>
      <c r="AT226" s="37">
        <f ca="1">IF(AP226=0,0,AP226*(OFFSET(cod_desembolso!$A$1,AM226,23)))</f>
        <v>4220.6516297335893</v>
      </c>
      <c r="AU226" s="38">
        <f>(constantes!$B$3*(1+constantes!$B$3)^(AI226))/((1+constantes!$B$3)^(AI226)-1)</f>
        <v>8.8827433387272267E-2</v>
      </c>
      <c r="AV226" s="37">
        <f t="shared" ca="1" si="67"/>
        <v>412.40965149104255</v>
      </c>
      <c r="AW226" s="37">
        <f ca="1">IF(AP226=0,AY226/constantes!$B$3,AV226/constantes!$B$3)</f>
        <v>5155.1206436380317</v>
      </c>
      <c r="AX226" s="39">
        <f ca="1">IF(AP226=0,0,PV(constantes!$B$3,AI226,-AV226)*constantes!$B$3)</f>
        <v>371.42548040806963</v>
      </c>
      <c r="AY226" s="40">
        <f>constantes!$B$10*F226/1000</f>
        <v>37.5</v>
      </c>
      <c r="AZ226" s="533">
        <f>[4]constantes!$B$12</f>
        <v>0</v>
      </c>
      <c r="BA226" s="20">
        <v>318</v>
      </c>
      <c r="BB226" s="43"/>
      <c r="BC226" s="3" t="s">
        <v>2197</v>
      </c>
      <c r="BD226" s="640"/>
      <c r="BE226" s="534">
        <v>1</v>
      </c>
      <c r="BF226" s="535">
        <v>2027</v>
      </c>
      <c r="BG226" s="536">
        <v>1</v>
      </c>
      <c r="BH226" s="537">
        <v>2027</v>
      </c>
    </row>
    <row r="227" spans="1:60" ht="13.15" hidden="1" customHeight="1">
      <c r="A227" s="125">
        <v>1328</v>
      </c>
      <c r="B227" s="125">
        <v>1328</v>
      </c>
      <c r="C227" s="640" t="s">
        <v>2498</v>
      </c>
      <c r="D227" s="640" t="s">
        <v>2498</v>
      </c>
      <c r="F227" s="526">
        <v>800</v>
      </c>
      <c r="G227" s="640" t="s">
        <v>2474</v>
      </c>
      <c r="H227" s="640"/>
      <c r="I227" s="3" t="s">
        <v>2499</v>
      </c>
      <c r="J227" s="3">
        <v>-74.19</v>
      </c>
      <c r="K227" s="549" t="s">
        <v>157</v>
      </c>
      <c r="L227" s="549" t="s">
        <v>157</v>
      </c>
      <c r="M227" s="647">
        <v>6</v>
      </c>
      <c r="N227" s="529"/>
      <c r="O227" s="529">
        <v>1.9820000000000001E-2</v>
      </c>
      <c r="P227" s="529">
        <v>5.3999999999999999E-2</v>
      </c>
      <c r="Q227" s="288">
        <f t="shared" si="58"/>
        <v>0.57817313492063493</v>
      </c>
      <c r="R227" s="30">
        <f t="shared" si="59"/>
        <v>462.53850793650798</v>
      </c>
      <c r="S227" s="30">
        <f t="shared" si="60"/>
        <v>337.46149206349202</v>
      </c>
      <c r="T227" s="107">
        <v>732.02346666666665</v>
      </c>
      <c r="U227" s="107">
        <v>716.80576507936507</v>
      </c>
      <c r="V227" s="107">
        <v>182.98080000000002</v>
      </c>
      <c r="W227" s="107">
        <v>218.34400000000005</v>
      </c>
      <c r="X227" s="288">
        <f t="shared" si="61"/>
        <v>0.60538599738562093</v>
      </c>
      <c r="Y227" s="289">
        <f t="shared" si="62"/>
        <v>484.30879790849673</v>
      </c>
      <c r="Z227" s="289">
        <f t="shared" si="63"/>
        <v>21.770289971988745</v>
      </c>
      <c r="AA227" s="559">
        <v>751.06882928104574</v>
      </c>
      <c r="AB227" s="559">
        <v>711.40240732026143</v>
      </c>
      <c r="AC227" s="559">
        <v>211.2540444444445</v>
      </c>
      <c r="AD227" s="42">
        <v>263.50991058823519</v>
      </c>
      <c r="AE227" s="640">
        <v>1</v>
      </c>
      <c r="AF227" s="641" t="str">
        <f>IF(AE227=0,"",VLOOKUP(AE227,[4]tab_tipo_expansao!$A$2:$B$4,2,0))</f>
        <v>opcional</v>
      </c>
      <c r="AG227" s="125">
        <v>2028</v>
      </c>
      <c r="AH227" s="125">
        <v>2100</v>
      </c>
      <c r="AI227" s="125">
        <v>30</v>
      </c>
      <c r="AJ227" s="106">
        <v>4000</v>
      </c>
      <c r="AK227" s="24">
        <f>AL227/[4]constantes!$B$4</f>
        <v>1282.051282051282</v>
      </c>
      <c r="AL227">
        <f t="shared" si="64"/>
        <v>5000</v>
      </c>
      <c r="AM227" s="87">
        <v>3</v>
      </c>
      <c r="AN227" s="531">
        <v>0</v>
      </c>
      <c r="AO227" s="23"/>
      <c r="AP227" s="532">
        <f t="shared" si="65"/>
        <v>4000</v>
      </c>
      <c r="AR227" s="35">
        <f t="shared" si="66"/>
        <v>5000</v>
      </c>
      <c r="AS227" s="36">
        <f ca="1">OFFSET(cod_desembolso!$A$1,AM227,23)</f>
        <v>1.1255071012622904</v>
      </c>
      <c r="AT227" s="37">
        <f ca="1">IF(AP227=0,0,AP227*(OFFSET(cod_desembolso!$A$1,AM227,23)))</f>
        <v>4502.0284050491618</v>
      </c>
      <c r="AU227" s="38">
        <f>(constantes!$B$3*(1+constantes!$B$3)^(AI227))/((1+constantes!$B$3)^(AI227)-1)</f>
        <v>8.8827433387272267E-2</v>
      </c>
      <c r="AV227" s="37">
        <f t="shared" ca="1" si="67"/>
        <v>439.90362825711202</v>
      </c>
      <c r="AW227" s="37">
        <f ca="1">IF(AP227=0,AY227/constantes!$B$3,AV227/constantes!$B$3)</f>
        <v>5498.7953532138999</v>
      </c>
      <c r="AX227" s="39">
        <f ca="1">IF(AP227=0,0,PV(constantes!$B$3,AI227,-AV227)*constantes!$B$3)</f>
        <v>396.18717910194084</v>
      </c>
      <c r="AY227" s="40">
        <f>constantes!$B$10*F227/1000</f>
        <v>40</v>
      </c>
      <c r="AZ227" s="533">
        <f>[4]constantes!$B$12</f>
        <v>0</v>
      </c>
      <c r="BA227" s="20">
        <v>318</v>
      </c>
      <c r="BB227" s="43"/>
      <c r="BC227" s="3" t="s">
        <v>2197</v>
      </c>
      <c r="BD227" s="640"/>
      <c r="BE227" s="534">
        <v>1</v>
      </c>
      <c r="BF227" s="535">
        <v>2027</v>
      </c>
      <c r="BG227" s="536">
        <v>1</v>
      </c>
      <c r="BH227" s="537">
        <v>2027</v>
      </c>
    </row>
    <row r="228" spans="1:60" ht="13.15" hidden="1" customHeight="1">
      <c r="A228" s="125">
        <v>1329</v>
      </c>
      <c r="B228" s="125">
        <v>1329</v>
      </c>
      <c r="C228" s="640" t="s">
        <v>2500</v>
      </c>
      <c r="D228" s="640" t="s">
        <v>2500</v>
      </c>
      <c r="F228" s="526">
        <v>1355</v>
      </c>
      <c r="G228" s="640" t="s">
        <v>2474</v>
      </c>
      <c r="H228" s="640"/>
      <c r="I228" s="3" t="s">
        <v>2501</v>
      </c>
      <c r="J228" s="3">
        <v>-72.180000000000007</v>
      </c>
      <c r="K228" s="549" t="s">
        <v>157</v>
      </c>
      <c r="L228" s="549" t="s">
        <v>157</v>
      </c>
      <c r="M228" s="647">
        <v>6</v>
      </c>
      <c r="N228" s="529"/>
      <c r="O228" s="529">
        <v>1.9820000000000001E-2</v>
      </c>
      <c r="P228" s="529">
        <v>5.3999999999999999E-2</v>
      </c>
      <c r="Q228" s="288">
        <f t="shared" si="58"/>
        <v>0.57817313492063493</v>
      </c>
      <c r="R228" s="30">
        <f t="shared" si="59"/>
        <v>783.42459781746038</v>
      </c>
      <c r="S228" s="30">
        <f t="shared" si="60"/>
        <v>571.57540218253962</v>
      </c>
      <c r="T228" s="107">
        <v>1239.8647466666666</v>
      </c>
      <c r="U228" s="107">
        <v>1214.0897646031747</v>
      </c>
      <c r="V228" s="107">
        <v>309.92373000000003</v>
      </c>
      <c r="W228" s="107">
        <v>369.82015000000007</v>
      </c>
      <c r="X228" s="288">
        <f t="shared" si="61"/>
        <v>0.60538599738562093</v>
      </c>
      <c r="Y228" s="289">
        <f t="shared" si="62"/>
        <v>820.29802645751636</v>
      </c>
      <c r="Z228" s="289">
        <f t="shared" si="63"/>
        <v>36.873428640055977</v>
      </c>
      <c r="AA228" s="559">
        <v>1272.1228295947712</v>
      </c>
      <c r="AB228" s="559">
        <v>1204.9378273986929</v>
      </c>
      <c r="AC228" s="559">
        <v>357.81153777777786</v>
      </c>
      <c r="AD228" s="42">
        <v>446.31991105882338</v>
      </c>
      <c r="AE228" s="640">
        <v>1</v>
      </c>
      <c r="AF228" s="641" t="str">
        <f>IF(AE228=0,"",VLOOKUP(AE228,[4]tab_tipo_expansao!$A$2:$B$4,2,0))</f>
        <v>opcional</v>
      </c>
      <c r="AG228" s="125">
        <v>2028</v>
      </c>
      <c r="AH228" s="125">
        <v>2100</v>
      </c>
      <c r="AI228" s="125">
        <v>30</v>
      </c>
      <c r="AJ228" s="106">
        <v>6775</v>
      </c>
      <c r="AK228" s="24">
        <f>AL228/[4]constantes!$B$4</f>
        <v>1282.051282051282</v>
      </c>
      <c r="AL228">
        <f t="shared" si="64"/>
        <v>5000</v>
      </c>
      <c r="AM228" s="87">
        <v>3</v>
      </c>
      <c r="AN228" s="531">
        <v>0</v>
      </c>
      <c r="AO228" s="23"/>
      <c r="AP228" s="532">
        <f t="shared" si="65"/>
        <v>6775</v>
      </c>
      <c r="AR228" s="35">
        <f t="shared" si="66"/>
        <v>5000</v>
      </c>
      <c r="AS228" s="36">
        <f ca="1">OFFSET(cod_desembolso!$A$1,AM228,23)</f>
        <v>1.1255071012622904</v>
      </c>
      <c r="AT228" s="37">
        <f ca="1">IF(AP228=0,0,AP228*(OFFSET(cod_desembolso!$A$1,AM228,23)))</f>
        <v>7625.3106110520175</v>
      </c>
      <c r="AU228" s="38">
        <f>(constantes!$B$3*(1+constantes!$B$3)^(AI228))/((1+constantes!$B$3)^(AI228)-1)</f>
        <v>8.8827433387272267E-2</v>
      </c>
      <c r="AV228" s="37">
        <f t="shared" ca="1" si="67"/>
        <v>745.08677036048346</v>
      </c>
      <c r="AW228" s="37">
        <f ca="1">IF(AP228=0,AY228/constantes!$B$3,AV228/constantes!$B$3)</f>
        <v>9313.5846295060437</v>
      </c>
      <c r="AX228" s="39">
        <f ca="1">IF(AP228=0,0,PV(constantes!$B$3,AI228,-AV228)*constantes!$B$3)</f>
        <v>671.04203460391238</v>
      </c>
      <c r="AY228" s="40">
        <f>constantes!$B$10*F228/1000</f>
        <v>67.75</v>
      </c>
      <c r="AZ228" s="533">
        <f>[4]constantes!$B$12</f>
        <v>0</v>
      </c>
      <c r="BA228" s="20">
        <v>318</v>
      </c>
      <c r="BB228" s="43"/>
      <c r="BC228" s="3" t="s">
        <v>2197</v>
      </c>
      <c r="BD228" s="640"/>
      <c r="BE228" s="534">
        <v>1</v>
      </c>
      <c r="BF228" s="535">
        <v>2027</v>
      </c>
      <c r="BG228" s="536">
        <v>1</v>
      </c>
      <c r="BH228" s="537">
        <v>2027</v>
      </c>
    </row>
    <row r="229" spans="1:60" ht="13.15" hidden="1" customHeight="1">
      <c r="A229" s="125">
        <v>1330</v>
      </c>
      <c r="B229" s="125">
        <v>1330</v>
      </c>
      <c r="C229" s="640" t="s">
        <v>2502</v>
      </c>
      <c r="D229" s="640" t="s">
        <v>2502</v>
      </c>
      <c r="F229" s="526">
        <v>942</v>
      </c>
      <c r="G229" s="640" t="s">
        <v>2474</v>
      </c>
      <c r="H229" s="640"/>
      <c r="I229" s="3" t="s">
        <v>2503</v>
      </c>
      <c r="J229" s="3">
        <v>-72.510000000000005</v>
      </c>
      <c r="K229" s="549" t="s">
        <v>157</v>
      </c>
      <c r="L229" s="549" t="s">
        <v>157</v>
      </c>
      <c r="M229" s="647">
        <v>6</v>
      </c>
      <c r="N229" s="529"/>
      <c r="O229" s="529">
        <v>1.9820000000000001E-2</v>
      </c>
      <c r="P229" s="529">
        <v>5.3999999999999999E-2</v>
      </c>
      <c r="Q229" s="288">
        <f t="shared" si="58"/>
        <v>0.57817313492063493</v>
      </c>
      <c r="R229" s="30">
        <f t="shared" si="59"/>
        <v>544.63909309523808</v>
      </c>
      <c r="S229" s="30">
        <f t="shared" si="60"/>
        <v>397.36090690476192</v>
      </c>
      <c r="T229" s="107">
        <v>861.95763199999999</v>
      </c>
      <c r="U229" s="107">
        <v>844.03878838095238</v>
      </c>
      <c r="V229" s="107">
        <v>215.45989200000002</v>
      </c>
      <c r="W229" s="107">
        <v>257.10006000000004</v>
      </c>
      <c r="X229" s="288">
        <f t="shared" si="61"/>
        <v>0.60538599738562082</v>
      </c>
      <c r="Y229" s="289">
        <f t="shared" si="62"/>
        <v>570.27360953725486</v>
      </c>
      <c r="Z229" s="289">
        <f t="shared" si="63"/>
        <v>25.634516442016775</v>
      </c>
      <c r="AA229" s="559">
        <v>884.38354647843141</v>
      </c>
      <c r="AB229" s="559">
        <v>837.67633461960781</v>
      </c>
      <c r="AC229" s="559">
        <v>248.75163733333338</v>
      </c>
      <c r="AD229" s="42">
        <v>310.28291971764696</v>
      </c>
      <c r="AE229" s="640">
        <v>1</v>
      </c>
      <c r="AF229" s="641" t="str">
        <f>IF(AE229=0,"",VLOOKUP(AE229,[4]tab_tipo_expansao!$A$2:$B$4,2,0))</f>
        <v>opcional</v>
      </c>
      <c r="AG229" s="125">
        <v>2028</v>
      </c>
      <c r="AH229" s="125">
        <v>2100</v>
      </c>
      <c r="AI229" s="125">
        <v>30</v>
      </c>
      <c r="AJ229" s="106">
        <v>4710</v>
      </c>
      <c r="AK229" s="24">
        <f>AL229/[4]constantes!$B$4</f>
        <v>1282.051282051282</v>
      </c>
      <c r="AL229">
        <f t="shared" si="64"/>
        <v>5000</v>
      </c>
      <c r="AM229" s="87">
        <v>3</v>
      </c>
      <c r="AN229" s="531">
        <v>0</v>
      </c>
      <c r="AO229" s="23"/>
      <c r="AP229" s="532">
        <f t="shared" si="65"/>
        <v>4710</v>
      </c>
      <c r="AR229" s="35">
        <f t="shared" si="66"/>
        <v>5000</v>
      </c>
      <c r="AS229" s="36">
        <f ca="1">OFFSET(cod_desembolso!$A$1,AM229,23)</f>
        <v>1.1255071012622904</v>
      </c>
      <c r="AT229" s="37">
        <f ca="1">IF(AP229=0,0,AP229*(OFFSET(cod_desembolso!$A$1,AM229,23)))</f>
        <v>5301.1384469453878</v>
      </c>
      <c r="AU229" s="38">
        <f>(constantes!$B$3*(1+constantes!$B$3)^(AI229))/((1+constantes!$B$3)^(AI229)-1)</f>
        <v>8.8827433387272267E-2</v>
      </c>
      <c r="AV229" s="37">
        <f t="shared" ca="1" si="67"/>
        <v>517.98652227274943</v>
      </c>
      <c r="AW229" s="37">
        <f ca="1">IF(AP229=0,AY229/constantes!$B$3,AV229/constantes!$B$3)</f>
        <v>6474.8315284093678</v>
      </c>
      <c r="AX229" s="39">
        <f ca="1">IF(AP229=0,0,PV(constantes!$B$3,AI229,-AV229)*constantes!$B$3)</f>
        <v>466.51040339253541</v>
      </c>
      <c r="AY229" s="40">
        <f>constantes!$B$10*F229/1000</f>
        <v>47.1</v>
      </c>
      <c r="AZ229" s="533">
        <f>[4]constantes!$B$12</f>
        <v>0</v>
      </c>
      <c r="BA229" s="20">
        <v>318</v>
      </c>
      <c r="BB229" s="43"/>
      <c r="BC229" s="3" t="s">
        <v>2197</v>
      </c>
      <c r="BD229" s="640"/>
      <c r="BE229" s="534">
        <v>1</v>
      </c>
      <c r="BF229" s="535">
        <v>2027</v>
      </c>
      <c r="BG229" s="536">
        <v>1</v>
      </c>
      <c r="BH229" s="537">
        <v>2027</v>
      </c>
    </row>
    <row r="230" spans="1:60" ht="13.15" hidden="1" customHeight="1">
      <c r="A230" s="125">
        <v>1331</v>
      </c>
      <c r="B230" s="125">
        <v>1331</v>
      </c>
      <c r="C230" s="640" t="s">
        <v>2504</v>
      </c>
      <c r="D230" s="640" t="s">
        <v>2504</v>
      </c>
      <c r="F230" s="526">
        <v>1680</v>
      </c>
      <c r="G230" s="640" t="s">
        <v>2505</v>
      </c>
      <c r="H230" s="640"/>
      <c r="I230" s="3" t="s">
        <v>2506</v>
      </c>
      <c r="J230" s="3">
        <v>-67.295500000000004</v>
      </c>
      <c r="K230" s="549" t="s">
        <v>2068</v>
      </c>
      <c r="L230" s="549" t="s">
        <v>2068</v>
      </c>
      <c r="M230" s="647">
        <v>6</v>
      </c>
      <c r="N230" s="529"/>
      <c r="O230" s="529">
        <v>1.9820000000000001E-2</v>
      </c>
      <c r="P230" s="529">
        <v>5.3999999999999999E-2</v>
      </c>
      <c r="Q230" s="288">
        <f t="shared" si="58"/>
        <v>0.57817313492063505</v>
      </c>
      <c r="R230" s="30">
        <f t="shared" si="59"/>
        <v>971.33086666666679</v>
      </c>
      <c r="S230" s="30">
        <f t="shared" si="60"/>
        <v>708.66913333333321</v>
      </c>
      <c r="T230" s="107">
        <v>1537.24928</v>
      </c>
      <c r="U230" s="107">
        <v>1505.2921066666668</v>
      </c>
      <c r="V230" s="107">
        <v>384.25968</v>
      </c>
      <c r="W230" s="107">
        <v>458.52240000000012</v>
      </c>
      <c r="X230" s="288">
        <f t="shared" si="61"/>
        <v>0.60538599738562093</v>
      </c>
      <c r="Y230" s="289">
        <f t="shared" si="62"/>
        <v>1017.0484756078431</v>
      </c>
      <c r="Z230" s="289">
        <f t="shared" si="63"/>
        <v>45.717608941176309</v>
      </c>
      <c r="AA230" s="559">
        <v>1577.2445414901961</v>
      </c>
      <c r="AB230" s="559">
        <v>1493.9450553725489</v>
      </c>
      <c r="AC230" s="559">
        <v>443.63349333333343</v>
      </c>
      <c r="AD230" s="42">
        <v>553.3708122352939</v>
      </c>
      <c r="AE230" s="640">
        <v>1</v>
      </c>
      <c r="AF230" s="641" t="str">
        <f>IF(AE230=0,"",VLOOKUP(AE230,[4]tab_tipo_expansao!$A$2:$B$4,2,0))</f>
        <v>opcional</v>
      </c>
      <c r="AG230" s="125">
        <v>2028</v>
      </c>
      <c r="AH230" s="125">
        <v>2100</v>
      </c>
      <c r="AI230" s="125">
        <v>30</v>
      </c>
      <c r="AJ230" s="106">
        <v>8400</v>
      </c>
      <c r="AK230" s="24">
        <f>AL230/[4]constantes!$B$4</f>
        <v>1282.051282051282</v>
      </c>
      <c r="AL230">
        <f t="shared" si="64"/>
        <v>5000</v>
      </c>
      <c r="AM230" s="87">
        <v>3</v>
      </c>
      <c r="AN230" s="531">
        <v>0</v>
      </c>
      <c r="AO230" s="23"/>
      <c r="AP230" s="532">
        <f t="shared" si="65"/>
        <v>8400</v>
      </c>
      <c r="AR230" s="35">
        <f t="shared" si="66"/>
        <v>5000</v>
      </c>
      <c r="AS230" s="36">
        <f ca="1">OFFSET(cod_desembolso!$A$1,AM230,23)</f>
        <v>1.1255071012622904</v>
      </c>
      <c r="AT230" s="37">
        <f ca="1">IF(AP230=0,0,AP230*(OFFSET(cod_desembolso!$A$1,AM230,23)))</f>
        <v>9454.2596506032387</v>
      </c>
      <c r="AU230" s="38">
        <f>(constantes!$B$3*(1+constantes!$B$3)^(AI230))/((1+constantes!$B$3)^(AI230)-1)</f>
        <v>8.8827433387272267E-2</v>
      </c>
      <c r="AV230" s="37">
        <f t="shared" ca="1" si="67"/>
        <v>923.79761933993518</v>
      </c>
      <c r="AW230" s="37">
        <f ca="1">IF(AP230=0,AY230/constantes!$B$3,AV230/constantes!$B$3)</f>
        <v>11547.47024174919</v>
      </c>
      <c r="AX230" s="39">
        <f ca="1">IF(AP230=0,0,PV(constantes!$B$3,AI230,-AV230)*constantes!$B$3)</f>
        <v>831.99307611407573</v>
      </c>
      <c r="AY230" s="40">
        <f>constantes!$B$10*F230/1000</f>
        <v>84</v>
      </c>
      <c r="AZ230" s="533">
        <f>[4]constantes!$B$12</f>
        <v>0</v>
      </c>
      <c r="BA230" s="20">
        <v>318</v>
      </c>
      <c r="BB230" s="43"/>
      <c r="BC230" s="3" t="s">
        <v>2197</v>
      </c>
      <c r="BD230" s="640"/>
      <c r="BE230" s="534">
        <v>1</v>
      </c>
      <c r="BF230" s="535">
        <v>2027</v>
      </c>
      <c r="BG230" s="536">
        <v>1</v>
      </c>
      <c r="BH230" s="537">
        <v>2027</v>
      </c>
    </row>
    <row r="231" spans="1:60" ht="13.15" hidden="1" customHeight="1">
      <c r="A231" s="125">
        <v>1332</v>
      </c>
      <c r="B231" s="125">
        <v>1332</v>
      </c>
      <c r="C231" s="640" t="s">
        <v>2507</v>
      </c>
      <c r="D231" s="640" t="s">
        <v>2507</v>
      </c>
      <c r="F231" s="526">
        <v>990</v>
      </c>
      <c r="G231" s="640" t="s">
        <v>2505</v>
      </c>
      <c r="H231" s="640"/>
      <c r="I231" s="3" t="s">
        <v>2508</v>
      </c>
      <c r="J231" s="3">
        <v>-65.349999999999994</v>
      </c>
      <c r="K231" s="549" t="s">
        <v>2068</v>
      </c>
      <c r="L231" s="549" t="s">
        <v>2068</v>
      </c>
      <c r="M231" s="647">
        <v>6</v>
      </c>
      <c r="N231" s="529"/>
      <c r="O231" s="529">
        <v>1.9820000000000001E-2</v>
      </c>
      <c r="P231" s="529">
        <v>5.3999999999999999E-2</v>
      </c>
      <c r="Q231" s="288">
        <f t="shared" si="58"/>
        <v>0.57817313492063493</v>
      </c>
      <c r="R231" s="30">
        <f t="shared" si="59"/>
        <v>572.39140357142855</v>
      </c>
      <c r="S231" s="30">
        <f t="shared" si="60"/>
        <v>417.60859642857145</v>
      </c>
      <c r="T231" s="107">
        <v>905.87904000000003</v>
      </c>
      <c r="U231" s="107">
        <v>887.04713428571438</v>
      </c>
      <c r="V231" s="107">
        <v>226.43874000000002</v>
      </c>
      <c r="W231" s="107">
        <v>270.20070000000004</v>
      </c>
      <c r="X231" s="288">
        <f t="shared" si="61"/>
        <v>0.60538599738562082</v>
      </c>
      <c r="Y231" s="289">
        <f t="shared" si="62"/>
        <v>599.33213741176462</v>
      </c>
      <c r="Z231" s="289">
        <f t="shared" si="63"/>
        <v>26.940733840336065</v>
      </c>
      <c r="AA231" s="559">
        <v>929.44767623529413</v>
      </c>
      <c r="AB231" s="559">
        <v>880.36047905882356</v>
      </c>
      <c r="AC231" s="559">
        <v>261.42688000000004</v>
      </c>
      <c r="AD231" s="42">
        <v>326.09351435294104</v>
      </c>
      <c r="AE231" s="640">
        <v>1</v>
      </c>
      <c r="AF231" s="641" t="str">
        <f>IF(AE231=0,"",VLOOKUP(AE231,[4]tab_tipo_expansao!$A$2:$B$4,2,0))</f>
        <v>opcional</v>
      </c>
      <c r="AG231" s="125">
        <v>2028</v>
      </c>
      <c r="AH231" s="125">
        <v>2100</v>
      </c>
      <c r="AI231" s="125">
        <v>30</v>
      </c>
      <c r="AJ231" s="106">
        <v>4950</v>
      </c>
      <c r="AK231" s="24">
        <f>AL231/[4]constantes!$B$4</f>
        <v>1282.051282051282</v>
      </c>
      <c r="AL231">
        <f t="shared" si="64"/>
        <v>5000</v>
      </c>
      <c r="AM231" s="87">
        <v>3</v>
      </c>
      <c r="AN231" s="531">
        <v>0</v>
      </c>
      <c r="AO231" s="23"/>
      <c r="AP231" s="532">
        <f t="shared" si="65"/>
        <v>4950</v>
      </c>
      <c r="AR231" s="35">
        <f t="shared" si="66"/>
        <v>5000</v>
      </c>
      <c r="AS231" s="36">
        <f ca="1">OFFSET(cod_desembolso!$A$1,AM231,23)</f>
        <v>1.1255071012622904</v>
      </c>
      <c r="AT231" s="37">
        <f ca="1">IF(AP231=0,0,AP231*(OFFSET(cod_desembolso!$A$1,AM231,23)))</f>
        <v>5571.260151248337</v>
      </c>
      <c r="AU231" s="38">
        <f>(constantes!$B$3*(1+constantes!$B$3)^(AI231))/((1+constantes!$B$3)^(AI231)-1)</f>
        <v>8.8827433387272267E-2</v>
      </c>
      <c r="AV231" s="37">
        <f t="shared" ca="1" si="67"/>
        <v>544.38073996817616</v>
      </c>
      <c r="AW231" s="37">
        <f ca="1">IF(AP231=0,AY231/constantes!$B$3,AV231/constantes!$B$3)</f>
        <v>6804.7592496022016</v>
      </c>
      <c r="AX231" s="39">
        <f ca="1">IF(AP231=0,0,PV(constantes!$B$3,AI231,-AV231)*constantes!$B$3)</f>
        <v>490.2816341386519</v>
      </c>
      <c r="AY231" s="40">
        <f>constantes!$B$10*F231/1000</f>
        <v>49.5</v>
      </c>
      <c r="AZ231" s="533">
        <f>[4]constantes!$B$12</f>
        <v>0</v>
      </c>
      <c r="BA231" s="20">
        <v>318</v>
      </c>
      <c r="BB231" s="43"/>
      <c r="BC231" s="3" t="s">
        <v>2197</v>
      </c>
      <c r="BD231" s="640"/>
      <c r="BE231" s="534">
        <v>1</v>
      </c>
      <c r="BF231" s="535">
        <v>2027</v>
      </c>
      <c r="BG231" s="536">
        <v>1</v>
      </c>
      <c r="BH231" s="537">
        <v>2027</v>
      </c>
    </row>
    <row r="232" spans="1:60" ht="13.15" hidden="1" customHeight="1">
      <c r="A232" s="125">
        <v>1333</v>
      </c>
      <c r="B232" s="125">
        <v>1333</v>
      </c>
      <c r="C232" s="640" t="s">
        <v>2509</v>
      </c>
      <c r="D232" s="640" t="s">
        <v>2509</v>
      </c>
      <c r="F232" s="526">
        <v>2882</v>
      </c>
      <c r="G232" s="640" t="s">
        <v>2505</v>
      </c>
      <c r="H232" s="640"/>
      <c r="I232" s="3" t="s">
        <v>2510</v>
      </c>
      <c r="J232" s="3">
        <v>-63.31</v>
      </c>
      <c r="K232" s="549" t="s">
        <v>2068</v>
      </c>
      <c r="L232" s="549" t="s">
        <v>2068</v>
      </c>
      <c r="M232" s="647">
        <v>6</v>
      </c>
      <c r="N232" s="529"/>
      <c r="O232" s="529">
        <v>1.9820000000000001E-2</v>
      </c>
      <c r="P232" s="529">
        <v>5.3999999999999999E-2</v>
      </c>
      <c r="Q232" s="288">
        <f t="shared" si="58"/>
        <v>0.57817313492063493</v>
      </c>
      <c r="R232" s="30">
        <f t="shared" si="59"/>
        <v>1666.29497484127</v>
      </c>
      <c r="S232" s="30">
        <f t="shared" si="60"/>
        <v>1215.70502515873</v>
      </c>
      <c r="T232" s="107">
        <v>2637.1145386666667</v>
      </c>
      <c r="U232" s="107">
        <v>2582.2927686984126</v>
      </c>
      <c r="V232" s="107">
        <v>659.18833200000006</v>
      </c>
      <c r="W232" s="107">
        <v>786.5842600000002</v>
      </c>
      <c r="X232" s="288">
        <f t="shared" si="61"/>
        <v>0.60538599738562082</v>
      </c>
      <c r="Y232" s="289">
        <f t="shared" si="62"/>
        <v>1744.7224444653593</v>
      </c>
      <c r="Z232" s="289">
        <f t="shared" si="63"/>
        <v>78.427469624089326</v>
      </c>
      <c r="AA232" s="559">
        <v>2705.7254574849676</v>
      </c>
      <c r="AB232" s="559">
        <v>2562.8271723712419</v>
      </c>
      <c r="AC232" s="559">
        <v>761.04269511111124</v>
      </c>
      <c r="AD232" s="42">
        <v>949.29445289411728</v>
      </c>
      <c r="AE232" s="640">
        <v>1</v>
      </c>
      <c r="AF232" s="641" t="str">
        <f>IF(AE232=0,"",VLOOKUP(AE232,[4]tab_tipo_expansao!$A$2:$B$4,2,0))</f>
        <v>opcional</v>
      </c>
      <c r="AG232" s="125">
        <v>2028</v>
      </c>
      <c r="AH232" s="125">
        <v>2100</v>
      </c>
      <c r="AI232" s="125">
        <v>30</v>
      </c>
      <c r="AJ232" s="106">
        <v>14410</v>
      </c>
      <c r="AK232" s="24">
        <f>AL232/[4]constantes!$B$4</f>
        <v>1282.051282051282</v>
      </c>
      <c r="AL232">
        <f t="shared" si="64"/>
        <v>5000</v>
      </c>
      <c r="AM232" s="87">
        <v>3</v>
      </c>
      <c r="AN232" s="531">
        <v>0</v>
      </c>
      <c r="AO232" s="23"/>
      <c r="AP232" s="532">
        <f t="shared" si="65"/>
        <v>14410</v>
      </c>
      <c r="AR232" s="35">
        <f t="shared" si="66"/>
        <v>5000</v>
      </c>
      <c r="AS232" s="36">
        <f ca="1">OFFSET(cod_desembolso!$A$1,AM232,23)</f>
        <v>1.1255071012622904</v>
      </c>
      <c r="AT232" s="37">
        <f ca="1">IF(AP232=0,0,AP232*(OFFSET(cod_desembolso!$A$1,AM232,23)))</f>
        <v>16218.557329189603</v>
      </c>
      <c r="AU232" s="38">
        <f>(constantes!$B$3*(1+constantes!$B$3)^(AI232))/((1+constantes!$B$3)^(AI232)-1)</f>
        <v>8.8827433387272267E-2</v>
      </c>
      <c r="AV232" s="37">
        <f t="shared" ca="1" si="67"/>
        <v>1584.7528207962457</v>
      </c>
      <c r="AW232" s="37">
        <f ca="1">IF(AP232=0,AY232/constantes!$B$3,AV232/constantes!$B$3)</f>
        <v>19809.410259953071</v>
      </c>
      <c r="AX232" s="39">
        <f ca="1">IF(AP232=0,0,PV(constantes!$B$3,AI232,-AV232)*constantes!$B$3)</f>
        <v>1427.2643127147417</v>
      </c>
      <c r="AY232" s="40">
        <f>constantes!$B$10*F232/1000</f>
        <v>144.1</v>
      </c>
      <c r="AZ232" s="533">
        <f>[4]constantes!$B$12</f>
        <v>0</v>
      </c>
      <c r="BA232" s="20">
        <v>318</v>
      </c>
      <c r="BB232" s="43"/>
      <c r="BC232" s="3" t="s">
        <v>2197</v>
      </c>
      <c r="BD232" s="640"/>
      <c r="BE232" s="534">
        <v>1</v>
      </c>
      <c r="BF232" s="535">
        <v>2027</v>
      </c>
      <c r="BG232" s="536">
        <v>1</v>
      </c>
      <c r="BH232" s="537">
        <v>2027</v>
      </c>
    </row>
    <row r="233" spans="1:60" ht="13.15" hidden="1" customHeight="1">
      <c r="A233" s="125">
        <v>1334</v>
      </c>
      <c r="B233" s="125">
        <v>1334</v>
      </c>
      <c r="C233" s="640" t="s">
        <v>2511</v>
      </c>
      <c r="D233" s="640" t="s">
        <v>2511</v>
      </c>
      <c r="F233" s="526">
        <v>3000</v>
      </c>
      <c r="G233" s="640" t="s">
        <v>2505</v>
      </c>
      <c r="H233" s="640"/>
      <c r="I233" s="3" t="s">
        <v>2512</v>
      </c>
      <c r="J233" s="3">
        <v>-65.202200000000005</v>
      </c>
      <c r="K233" s="549" t="s">
        <v>2068</v>
      </c>
      <c r="L233" s="549" t="s">
        <v>2068</v>
      </c>
      <c r="M233" s="647">
        <v>6</v>
      </c>
      <c r="N233" s="529"/>
      <c r="O233" s="529">
        <v>1.9820000000000001E-2</v>
      </c>
      <c r="P233" s="529">
        <v>5.3999999999999999E-2</v>
      </c>
      <c r="Q233" s="288">
        <f t="shared" si="58"/>
        <v>0.57817313492063493</v>
      </c>
      <c r="R233" s="30">
        <f t="shared" si="59"/>
        <v>1734.5194047619048</v>
      </c>
      <c r="S233" s="30">
        <f t="shared" si="60"/>
        <v>1265.4805952380952</v>
      </c>
      <c r="T233" s="107">
        <v>2745.0880000000002</v>
      </c>
      <c r="U233" s="107">
        <v>2688.021619047619</v>
      </c>
      <c r="V233" s="107">
        <v>686.178</v>
      </c>
      <c r="W233" s="107">
        <v>818.79000000000019</v>
      </c>
      <c r="X233" s="288">
        <f t="shared" si="61"/>
        <v>0.60538599738562093</v>
      </c>
      <c r="Y233" s="289">
        <f t="shared" si="62"/>
        <v>1816.1579921568627</v>
      </c>
      <c r="Z233" s="289">
        <f t="shared" si="63"/>
        <v>81.638587394957995</v>
      </c>
      <c r="AA233" s="559">
        <v>2816.5081098039218</v>
      </c>
      <c r="AB233" s="559">
        <v>2667.7590274509803</v>
      </c>
      <c r="AC233" s="559">
        <v>792.2026666666668</v>
      </c>
      <c r="AD233" s="42">
        <v>988.16216470588199</v>
      </c>
      <c r="AE233" s="640">
        <v>1</v>
      </c>
      <c r="AF233" s="641" t="str">
        <f>IF(AE233=0,"",VLOOKUP(AE233,[4]tab_tipo_expansao!$A$2:$B$4,2,0))</f>
        <v>opcional</v>
      </c>
      <c r="AG233" s="125">
        <v>2028</v>
      </c>
      <c r="AH233" s="125">
        <v>2100</v>
      </c>
      <c r="AI233" s="125">
        <v>30</v>
      </c>
      <c r="AJ233" s="106">
        <v>15000</v>
      </c>
      <c r="AK233" s="24">
        <f>AL233/[4]constantes!$B$4</f>
        <v>1282.051282051282</v>
      </c>
      <c r="AL233">
        <f t="shared" si="64"/>
        <v>5000</v>
      </c>
      <c r="AM233" s="87">
        <v>3</v>
      </c>
      <c r="AN233" s="531">
        <v>0</v>
      </c>
      <c r="AO233" s="23"/>
      <c r="AP233" s="532">
        <f t="shared" si="65"/>
        <v>15000</v>
      </c>
      <c r="AR233" s="35">
        <f t="shared" si="66"/>
        <v>5000</v>
      </c>
      <c r="AS233" s="36">
        <f ca="1">OFFSET(cod_desembolso!$A$1,AM233,23)</f>
        <v>1.1255071012622904</v>
      </c>
      <c r="AT233" s="37">
        <f ca="1">IF(AP233=0,0,AP233*(OFFSET(cod_desembolso!$A$1,AM233,23)))</f>
        <v>16882.606518934357</v>
      </c>
      <c r="AU233" s="38">
        <f>(constantes!$B$3*(1+constantes!$B$3)^(AI233))/((1+constantes!$B$3)^(AI233)-1)</f>
        <v>8.8827433387272267E-2</v>
      </c>
      <c r="AV233" s="37">
        <f t="shared" ca="1" si="67"/>
        <v>1649.6386059641702</v>
      </c>
      <c r="AW233" s="37">
        <f ca="1">IF(AP233=0,AY233/constantes!$B$3,AV233/constantes!$B$3)</f>
        <v>20620.482574552127</v>
      </c>
      <c r="AX233" s="39">
        <f ca="1">IF(AP233=0,0,PV(constantes!$B$3,AI233,-AV233)*constantes!$B$3)</f>
        <v>1485.7019216322785</v>
      </c>
      <c r="AY233" s="40">
        <f>constantes!$B$10*F233/1000</f>
        <v>150</v>
      </c>
      <c r="AZ233" s="533">
        <f>[4]constantes!$B$12</f>
        <v>0</v>
      </c>
      <c r="BA233" s="20">
        <v>318</v>
      </c>
      <c r="BB233" s="43"/>
      <c r="BC233" s="3" t="s">
        <v>2197</v>
      </c>
      <c r="BD233" s="640"/>
      <c r="BE233" s="534">
        <v>1</v>
      </c>
      <c r="BF233" s="535">
        <v>2027</v>
      </c>
      <c r="BG233" s="536">
        <v>1</v>
      </c>
      <c r="BH233" s="537">
        <v>2027</v>
      </c>
    </row>
    <row r="234" spans="1:60" ht="14.45" hidden="1" customHeight="1">
      <c r="A234" s="125">
        <v>1335</v>
      </c>
      <c r="B234" s="125">
        <v>1335</v>
      </c>
      <c r="C234" s="643" t="s">
        <v>2513</v>
      </c>
      <c r="D234" s="643" t="s">
        <v>2513</v>
      </c>
      <c r="F234" s="526">
        <v>270</v>
      </c>
      <c r="G234" s="640" t="s">
        <v>2514</v>
      </c>
      <c r="H234" s="640" t="s">
        <v>2196</v>
      </c>
      <c r="I234" s="3" t="s">
        <v>2515</v>
      </c>
      <c r="J234" s="3">
        <v>-56.440899999999999</v>
      </c>
      <c r="K234" s="549" t="s">
        <v>2068</v>
      </c>
      <c r="L234" s="539" t="s">
        <v>2068</v>
      </c>
      <c r="M234" s="647">
        <v>6</v>
      </c>
      <c r="N234" s="529"/>
      <c r="O234" s="529">
        <v>1.9820000000000001E-2</v>
      </c>
      <c r="P234" s="529">
        <v>5.3999999999999999E-2</v>
      </c>
      <c r="Q234" s="288">
        <f t="shared" si="58"/>
        <v>0.57817313492063493</v>
      </c>
      <c r="R234" s="30">
        <f t="shared" si="59"/>
        <v>156.10674642857143</v>
      </c>
      <c r="S234" s="30">
        <f t="shared" si="60"/>
        <v>113.89325357142857</v>
      </c>
      <c r="T234" s="107">
        <v>247.05792</v>
      </c>
      <c r="U234" s="107">
        <v>241.92194571428573</v>
      </c>
      <c r="V234" s="107">
        <v>61.756020000000007</v>
      </c>
      <c r="W234" s="107">
        <v>73.69110000000002</v>
      </c>
      <c r="X234" s="288">
        <f t="shared" si="61"/>
        <v>0.60538599738562093</v>
      </c>
      <c r="Y234" s="289">
        <f t="shared" si="62"/>
        <v>163.45421929411765</v>
      </c>
      <c r="Z234" s="289">
        <f t="shared" si="63"/>
        <v>7.3474728655462229</v>
      </c>
      <c r="AA234" s="559">
        <v>253.48572988235296</v>
      </c>
      <c r="AB234" s="559">
        <v>240.09831247058824</v>
      </c>
      <c r="AC234" s="559">
        <v>71.298240000000021</v>
      </c>
      <c r="AD234" s="42">
        <v>88.93459482352938</v>
      </c>
      <c r="AE234" s="640">
        <v>1</v>
      </c>
      <c r="AF234" s="641" t="str">
        <f>IF(AE234=0,"",VLOOKUP(AE234,[4]tab_tipo_expansao!$A$2:$B$4,2,0))</f>
        <v>opcional</v>
      </c>
      <c r="AG234" s="125">
        <v>2028</v>
      </c>
      <c r="AH234" s="125">
        <v>2100</v>
      </c>
      <c r="AI234" s="125">
        <v>30</v>
      </c>
      <c r="AJ234" s="106">
        <v>1350</v>
      </c>
      <c r="AK234" s="24">
        <f>AL234/[4]constantes!$B$4</f>
        <v>1282.051282051282</v>
      </c>
      <c r="AL234">
        <f t="shared" si="64"/>
        <v>5000</v>
      </c>
      <c r="AM234" s="87">
        <v>3</v>
      </c>
      <c r="AN234" s="531">
        <v>0</v>
      </c>
      <c r="AO234" s="23"/>
      <c r="AP234" s="532">
        <f t="shared" si="65"/>
        <v>1350</v>
      </c>
      <c r="AR234" s="35">
        <f t="shared" si="66"/>
        <v>5000</v>
      </c>
      <c r="AS234" s="36">
        <f ca="1">OFFSET(cod_desembolso!$A$1,AM234,23)</f>
        <v>1.1255071012622904</v>
      </c>
      <c r="AT234" s="37">
        <f ca="1">IF(AP234=0,0,AP234*(OFFSET(cod_desembolso!$A$1,AM234,23)))</f>
        <v>1519.434586704092</v>
      </c>
      <c r="AU234" s="38">
        <f>(constantes!$B$3*(1+constantes!$B$3)^(AI234))/((1+constantes!$B$3)^(AI234)-1)</f>
        <v>8.8827433387272267E-2</v>
      </c>
      <c r="AV234" s="37">
        <f t="shared" ca="1" si="67"/>
        <v>148.46747453677531</v>
      </c>
      <c r="AW234" s="37">
        <f ca="1">IF(AP234=0,AY234/constantes!$B$3,AV234/constantes!$B$3)</f>
        <v>1855.8434317096915</v>
      </c>
      <c r="AX234" s="39">
        <f ca="1">IF(AP234=0,0,PV(constantes!$B$3,AI234,-AV234)*constantes!$B$3)</f>
        <v>133.71317294690505</v>
      </c>
      <c r="AY234" s="40">
        <f>constantes!$B$10*F234/1000</f>
        <v>13.5</v>
      </c>
      <c r="AZ234" s="533">
        <f>[4]constantes!$B$12</f>
        <v>0</v>
      </c>
      <c r="BA234" s="20">
        <v>318</v>
      </c>
      <c r="BB234" s="43"/>
      <c r="BC234" s="3" t="s">
        <v>2197</v>
      </c>
      <c r="BD234" s="640"/>
      <c r="BE234" s="534">
        <v>1</v>
      </c>
      <c r="BF234" s="535">
        <v>2027</v>
      </c>
      <c r="BG234" s="536">
        <v>1</v>
      </c>
      <c r="BH234" s="537">
        <v>2027</v>
      </c>
    </row>
    <row r="235" spans="1:60" ht="14.45" hidden="1" customHeight="1">
      <c r="A235" s="125">
        <v>1336</v>
      </c>
      <c r="B235" s="125">
        <v>1336</v>
      </c>
      <c r="C235" s="643" t="s">
        <v>2516</v>
      </c>
      <c r="D235" s="643" t="s">
        <v>2516</v>
      </c>
      <c r="F235" s="526">
        <v>465</v>
      </c>
      <c r="G235" s="640" t="s">
        <v>2514</v>
      </c>
      <c r="H235" s="640" t="s">
        <v>2196</v>
      </c>
      <c r="I235" s="3" t="s">
        <v>2515</v>
      </c>
      <c r="J235" s="3">
        <v>-56.44</v>
      </c>
      <c r="K235" s="549" t="s">
        <v>2068</v>
      </c>
      <c r="L235" s="539" t="s">
        <v>2068</v>
      </c>
      <c r="M235" s="647">
        <v>6</v>
      </c>
      <c r="N235" s="529"/>
      <c r="O235" s="529">
        <v>1.9820000000000001E-2</v>
      </c>
      <c r="P235" s="529">
        <v>5.3999999999999999E-2</v>
      </c>
      <c r="Q235" s="288">
        <f t="shared" si="58"/>
        <v>0.57817313492063493</v>
      </c>
      <c r="R235" s="30">
        <f t="shared" si="59"/>
        <v>268.85050773809525</v>
      </c>
      <c r="S235" s="30">
        <f t="shared" si="60"/>
        <v>196.14949226190475</v>
      </c>
      <c r="T235" s="107">
        <v>425.48864000000003</v>
      </c>
      <c r="U235" s="107">
        <v>416.64335095238096</v>
      </c>
      <c r="V235" s="107">
        <v>106.35759</v>
      </c>
      <c r="W235" s="107">
        <v>126.91245000000004</v>
      </c>
      <c r="X235" s="288">
        <f t="shared" si="61"/>
        <v>0.60538599738562082</v>
      </c>
      <c r="Y235" s="289">
        <f t="shared" si="62"/>
        <v>281.50448878431371</v>
      </c>
      <c r="Z235" s="289">
        <f t="shared" si="63"/>
        <v>12.653981046218462</v>
      </c>
      <c r="AA235" s="559">
        <v>436.55875701960787</v>
      </c>
      <c r="AB235" s="559">
        <v>413.50264925490194</v>
      </c>
      <c r="AC235" s="559">
        <v>122.79141333333335</v>
      </c>
      <c r="AD235" s="42">
        <v>153.16513552941171</v>
      </c>
      <c r="AE235" s="640">
        <v>1</v>
      </c>
      <c r="AF235" s="641" t="str">
        <f>IF(AE235=0,"",VLOOKUP(AE235,[4]tab_tipo_expansao!$A$2:$B$4,2,0))</f>
        <v>opcional</v>
      </c>
      <c r="AG235" s="125">
        <v>2028</v>
      </c>
      <c r="AH235" s="125">
        <v>2100</v>
      </c>
      <c r="AI235" s="125">
        <v>30</v>
      </c>
      <c r="AJ235" s="106">
        <v>2325</v>
      </c>
      <c r="AK235" s="24">
        <f>AL235/[4]constantes!$B$4</f>
        <v>1282.051282051282</v>
      </c>
      <c r="AL235">
        <f t="shared" si="64"/>
        <v>5000</v>
      </c>
      <c r="AM235" s="87">
        <v>3</v>
      </c>
      <c r="AN235" s="531">
        <v>0</v>
      </c>
      <c r="AO235" s="23"/>
      <c r="AP235" s="532">
        <f t="shared" si="65"/>
        <v>2325</v>
      </c>
      <c r="AR235" s="35">
        <f t="shared" si="66"/>
        <v>5000</v>
      </c>
      <c r="AS235" s="36">
        <f ca="1">OFFSET(cod_desembolso!$A$1,AM235,23)</f>
        <v>1.1255071012622904</v>
      </c>
      <c r="AT235" s="37">
        <f ca="1">IF(AP235=0,0,AP235*(OFFSET(cod_desembolso!$A$1,AM235,23)))</f>
        <v>2616.8040104348252</v>
      </c>
      <c r="AU235" s="38">
        <f>(constantes!$B$3*(1+constantes!$B$3)^(AI235))/((1+constantes!$B$3)^(AI235)-1)</f>
        <v>8.8827433387272267E-2</v>
      </c>
      <c r="AV235" s="37">
        <f t="shared" ca="1" si="67"/>
        <v>255.69398392444634</v>
      </c>
      <c r="AW235" s="37">
        <f ca="1">IF(AP235=0,AY235/constantes!$B$3,AV235/constantes!$B$3)</f>
        <v>3196.1747990555791</v>
      </c>
      <c r="AX235" s="39">
        <f ca="1">IF(AP235=0,0,PV(constantes!$B$3,AI235,-AV235)*constantes!$B$3)</f>
        <v>230.28379785300308</v>
      </c>
      <c r="AY235" s="40">
        <f>constantes!$B$10*F235/1000</f>
        <v>23.25</v>
      </c>
      <c r="AZ235" s="533">
        <f>[4]constantes!$B$12</f>
        <v>0</v>
      </c>
      <c r="BA235" s="20">
        <v>318</v>
      </c>
      <c r="BB235" s="43"/>
      <c r="BC235" s="3" t="s">
        <v>2197</v>
      </c>
      <c r="BD235" s="640"/>
      <c r="BE235" s="534">
        <v>1</v>
      </c>
      <c r="BF235" s="535">
        <v>2027</v>
      </c>
      <c r="BG235" s="536">
        <v>1</v>
      </c>
      <c r="BH235" s="537">
        <v>2027</v>
      </c>
    </row>
    <row r="236" spans="1:60" ht="14.45" hidden="1" customHeight="1">
      <c r="A236" s="125">
        <v>1337</v>
      </c>
      <c r="B236" s="125">
        <v>1337</v>
      </c>
      <c r="C236" s="643" t="s">
        <v>2517</v>
      </c>
      <c r="D236" s="643" t="s">
        <v>2517</v>
      </c>
      <c r="F236" s="526">
        <v>2880</v>
      </c>
      <c r="G236" s="640" t="s">
        <v>2514</v>
      </c>
      <c r="H236" s="640" t="s">
        <v>2196</v>
      </c>
      <c r="I236" s="3" t="s">
        <v>2518</v>
      </c>
      <c r="J236" s="3">
        <v>-55.31</v>
      </c>
      <c r="K236" s="549" t="s">
        <v>2068</v>
      </c>
      <c r="L236" s="539" t="s">
        <v>2068</v>
      </c>
      <c r="M236" s="647">
        <v>6</v>
      </c>
      <c r="N236" s="529"/>
      <c r="O236" s="529">
        <v>1.9820000000000001E-2</v>
      </c>
      <c r="P236" s="529">
        <v>5.3999999999999999E-2</v>
      </c>
      <c r="Q236" s="288">
        <f t="shared" si="58"/>
        <v>0.57817313492063505</v>
      </c>
      <c r="R236" s="30">
        <f t="shared" si="59"/>
        <v>1665.1386285714289</v>
      </c>
      <c r="S236" s="30">
        <f t="shared" si="60"/>
        <v>1214.8613714285711</v>
      </c>
      <c r="T236" s="107">
        <v>2635.2844800000003</v>
      </c>
      <c r="U236" s="107">
        <v>2580.5007542857143</v>
      </c>
      <c r="V236" s="107">
        <v>658.73088000000007</v>
      </c>
      <c r="W236" s="107">
        <v>786.03840000000014</v>
      </c>
      <c r="X236" s="288">
        <f t="shared" si="61"/>
        <v>0.60538599738562082</v>
      </c>
      <c r="Y236" s="289">
        <f t="shared" si="62"/>
        <v>1743.5116724705881</v>
      </c>
      <c r="Z236" s="289">
        <f t="shared" si="63"/>
        <v>78.373043899159256</v>
      </c>
      <c r="AA236" s="559">
        <v>2703.8477854117646</v>
      </c>
      <c r="AB236" s="559">
        <v>2561.0486663529409</v>
      </c>
      <c r="AC236" s="559">
        <v>760.51456000000019</v>
      </c>
      <c r="AD236" s="42">
        <v>948.63567811764676</v>
      </c>
      <c r="AE236" s="640">
        <v>1</v>
      </c>
      <c r="AF236" s="641" t="str">
        <f>IF(AE236=0,"",VLOOKUP(AE236,[4]tab_tipo_expansao!$A$2:$B$4,2,0))</f>
        <v>opcional</v>
      </c>
      <c r="AG236" s="125">
        <v>2028</v>
      </c>
      <c r="AH236" s="125">
        <v>2100</v>
      </c>
      <c r="AI236" s="125">
        <v>30</v>
      </c>
      <c r="AJ236" s="106">
        <v>14400</v>
      </c>
      <c r="AK236" s="24">
        <f>AL236/[4]constantes!$B$4</f>
        <v>1282.051282051282</v>
      </c>
      <c r="AL236">
        <f t="shared" si="64"/>
        <v>5000</v>
      </c>
      <c r="AM236" s="87">
        <v>3</v>
      </c>
      <c r="AN236" s="531">
        <v>0</v>
      </c>
      <c r="AO236" s="23"/>
      <c r="AP236" s="532">
        <f t="shared" si="65"/>
        <v>14400</v>
      </c>
      <c r="AR236" s="35">
        <f t="shared" si="66"/>
        <v>5000</v>
      </c>
      <c r="AS236" s="36">
        <f ca="1">OFFSET(cod_desembolso!$A$1,AM236,23)</f>
        <v>1.1255071012622904</v>
      </c>
      <c r="AT236" s="37">
        <f ca="1">IF(AP236=0,0,AP236*(OFFSET(cod_desembolso!$A$1,AM236,23)))</f>
        <v>16207.302258176982</v>
      </c>
      <c r="AU236" s="38">
        <f>(constantes!$B$3*(1+constantes!$B$3)^(AI236))/((1+constantes!$B$3)^(AI236)-1)</f>
        <v>8.8827433387272267E-2</v>
      </c>
      <c r="AV236" s="37">
        <f t="shared" ca="1" si="67"/>
        <v>1583.6530617256033</v>
      </c>
      <c r="AW236" s="37">
        <f ca="1">IF(AP236=0,AY236/constantes!$B$3,AV236/constantes!$B$3)</f>
        <v>19795.66327157004</v>
      </c>
      <c r="AX236" s="39">
        <f ca="1">IF(AP236=0,0,PV(constantes!$B$3,AI236,-AV236)*constantes!$B$3)</f>
        <v>1426.2738447669874</v>
      </c>
      <c r="AY236" s="40">
        <f>constantes!$B$10*F236/1000</f>
        <v>144</v>
      </c>
      <c r="AZ236" s="533">
        <f>[4]constantes!$B$12</f>
        <v>0</v>
      </c>
      <c r="BA236" s="20">
        <v>318</v>
      </c>
      <c r="BB236" s="43"/>
      <c r="BC236" s="3" t="s">
        <v>2197</v>
      </c>
      <c r="BD236" s="640"/>
      <c r="BE236" s="534">
        <v>1</v>
      </c>
      <c r="BF236" s="535">
        <v>2027</v>
      </c>
      <c r="BG236" s="536">
        <v>1</v>
      </c>
      <c r="BH236" s="537">
        <v>2027</v>
      </c>
    </row>
    <row r="237" spans="1:60" ht="15" hidden="1" customHeight="1">
      <c r="A237" s="125">
        <v>1338</v>
      </c>
      <c r="B237" s="125">
        <v>1338</v>
      </c>
      <c r="C237" s="640" t="s">
        <v>2519</v>
      </c>
      <c r="D237" s="640" t="s">
        <v>2519</v>
      </c>
      <c r="F237" s="526">
        <v>1600</v>
      </c>
      <c r="G237" s="640" t="s">
        <v>2514</v>
      </c>
      <c r="H237" s="640" t="s">
        <v>2196</v>
      </c>
      <c r="I237" s="3">
        <v>-27.27</v>
      </c>
      <c r="J237" s="3">
        <v>-58.24</v>
      </c>
      <c r="K237" s="549" t="s">
        <v>2068</v>
      </c>
      <c r="L237" s="549" t="s">
        <v>2068</v>
      </c>
      <c r="M237" s="647">
        <v>6</v>
      </c>
      <c r="N237" s="529"/>
      <c r="O237" s="529">
        <v>1.9820000000000001E-2</v>
      </c>
      <c r="P237" s="529">
        <v>5.3999999999999999E-2</v>
      </c>
      <c r="Q237" s="288">
        <f t="shared" si="58"/>
        <v>0.57817313492063493</v>
      </c>
      <c r="R237" s="30">
        <f t="shared" si="59"/>
        <v>925.07701587301597</v>
      </c>
      <c r="S237" s="30">
        <f t="shared" si="60"/>
        <v>674.92298412698403</v>
      </c>
      <c r="T237" s="107">
        <v>1464.0469333333333</v>
      </c>
      <c r="U237" s="107">
        <v>1433.6115301587301</v>
      </c>
      <c r="V237" s="107">
        <v>365.96160000000003</v>
      </c>
      <c r="W237" s="107">
        <v>436.6880000000001</v>
      </c>
      <c r="X237" s="288">
        <f t="shared" si="61"/>
        <v>0.60538599738562093</v>
      </c>
      <c r="Y237" s="289">
        <f t="shared" si="62"/>
        <v>968.61759581699346</v>
      </c>
      <c r="Z237" s="289">
        <f t="shared" si="63"/>
        <v>43.540579943977491</v>
      </c>
      <c r="AA237" s="559">
        <v>1502.1376585620915</v>
      </c>
      <c r="AB237" s="559">
        <v>1422.8048146405229</v>
      </c>
      <c r="AC237" s="559">
        <v>422.50808888888901</v>
      </c>
      <c r="AD237" s="42">
        <v>527.01982117647037</v>
      </c>
      <c r="AE237" s="640">
        <v>1</v>
      </c>
      <c r="AF237" s="641" t="str">
        <f>IF(AE237=0,"",VLOOKUP(AE237,[4]tab_tipo_expansao!$A$2:$B$4,2,0))</f>
        <v>opcional</v>
      </c>
      <c r="AG237" s="125">
        <v>2028</v>
      </c>
      <c r="AH237" s="125">
        <v>2100</v>
      </c>
      <c r="AI237" s="125">
        <v>30</v>
      </c>
      <c r="AJ237" s="106">
        <v>8000</v>
      </c>
      <c r="AK237" s="24">
        <f>AL237/[4]constantes!$B$4</f>
        <v>1282.051282051282</v>
      </c>
      <c r="AL237">
        <f t="shared" si="64"/>
        <v>5000</v>
      </c>
      <c r="AM237" s="87">
        <v>3</v>
      </c>
      <c r="AN237" s="531">
        <v>0</v>
      </c>
      <c r="AO237" s="23"/>
      <c r="AP237" s="532">
        <f t="shared" si="65"/>
        <v>8000</v>
      </c>
      <c r="AR237" s="35">
        <f t="shared" si="66"/>
        <v>5000</v>
      </c>
      <c r="AS237" s="36">
        <f ca="1">OFFSET(cod_desembolso!$A$1,AM237,23)</f>
        <v>1.1255071012622904</v>
      </c>
      <c r="AT237" s="37">
        <f ca="1">IF(AP237=0,0,AP237*(OFFSET(cod_desembolso!$A$1,AM237,23)))</f>
        <v>9004.0568100983237</v>
      </c>
      <c r="AU237" s="38">
        <f>(constantes!$B$3*(1+constantes!$B$3)^(AI237))/((1+constantes!$B$3)^(AI237)-1)</f>
        <v>8.8827433387272267E-2</v>
      </c>
      <c r="AV237" s="37">
        <f t="shared" ca="1" si="67"/>
        <v>879.80725651422404</v>
      </c>
      <c r="AW237" s="37">
        <f ca="1">IF(AP237=0,AY237/constantes!$B$3,AV237/constantes!$B$3)</f>
        <v>10997.5907064278</v>
      </c>
      <c r="AX237" s="39">
        <f ca="1">IF(AP237=0,0,PV(constantes!$B$3,AI237,-AV237)*constantes!$B$3)</f>
        <v>792.37435820388168</v>
      </c>
      <c r="AY237" s="40">
        <f>constantes!$B$10*F237/1000</f>
        <v>80</v>
      </c>
      <c r="AZ237" s="533">
        <f>[4]constantes!$B$12</f>
        <v>0</v>
      </c>
      <c r="BA237" s="20">
        <v>318</v>
      </c>
      <c r="BB237" s="43"/>
      <c r="BC237" s="3" t="s">
        <v>2197</v>
      </c>
      <c r="BD237" s="642"/>
      <c r="BE237" s="534">
        <v>1</v>
      </c>
      <c r="BF237" s="535">
        <v>2027</v>
      </c>
      <c r="BG237" s="536">
        <v>1</v>
      </c>
      <c r="BH237" s="537">
        <v>2027</v>
      </c>
    </row>
    <row r="238" spans="1:60">
      <c r="A238" s="3"/>
      <c r="B238" s="3"/>
      <c r="F238" s="3"/>
      <c r="K238" s="3"/>
      <c r="L238" s="3"/>
      <c r="M238" s="3"/>
      <c r="AG238" s="3"/>
      <c r="AH238" s="3"/>
      <c r="AI238" s="3"/>
      <c r="AM238" s="3"/>
      <c r="AQ238" s="3"/>
    </row>
    <row r="239" spans="1:60">
      <c r="A239" s="3"/>
      <c r="B239" s="3"/>
      <c r="F239" s="3"/>
      <c r="K239" s="3"/>
      <c r="L239" s="3"/>
      <c r="M239" s="3"/>
      <c r="AG239" s="3"/>
      <c r="AH239" s="3"/>
      <c r="AI239" s="3"/>
      <c r="AM239" s="3"/>
      <c r="AQ239" s="3"/>
    </row>
    <row r="240" spans="1:60">
      <c r="A240" s="3"/>
      <c r="B240" s="3"/>
      <c r="F240" s="3"/>
      <c r="K240" s="3"/>
      <c r="L240" s="3"/>
      <c r="M240" s="3"/>
      <c r="AG240" s="3"/>
      <c r="AH240" s="3"/>
      <c r="AI240" s="3"/>
      <c r="AM240" s="3"/>
      <c r="AQ240" s="3"/>
    </row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</sheetData>
  <autoFilter ref="F1:BH237" xr:uid="{00000000-0009-0000-0000-000009000000}">
    <filterColumn colId="49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H237">
    <sortCondition ref="A2"/>
  </sortState>
  <conditionalFormatting sqref="AQ218:AR233 AQ217 AR146:AR192 AS3:AS192 AP3:AP193 AQ234 AR193:AS194 AS195 AP196 AQ236 AR196:AS196 AO197:AO216 AP237 AQ197:AR216 AR237 AS217:AT237">
    <cfRule type="cellIs" dxfId="25" priority="69" stopIfTrue="1" operator="equal">
      <formula>0</formula>
    </cfRule>
  </conditionalFormatting>
  <conditionalFormatting sqref="AP2:AS2 AR3:AR145">
    <cfRule type="cellIs" dxfId="24" priority="67" stopIfTrue="1" operator="equal">
      <formula>0</formula>
    </cfRule>
  </conditionalFormatting>
  <conditionalFormatting sqref="AF2:AF193 AG217:AG234 AF196 AG236 AE197:AE216 AF237">
    <cfRule type="cellIs" dxfId="23" priority="65" operator="equal">
      <formula>"não_considerar"</formula>
    </cfRule>
    <cfRule type="cellIs" dxfId="22" priority="66" operator="equal">
      <formula>"opcional"</formula>
    </cfRule>
  </conditionalFormatting>
  <conditionalFormatting sqref="Q2:Q128 X2:X128 Q146:Q193 R217:R234 X146:X193 Y217:Y234 Q196 R236 X196 Y236 P197:P216 Q237 W197:W216 X237">
    <cfRule type="containsErrors" dxfId="21" priority="63" stopIfTrue="1">
      <formula>ISERROR(P2)</formula>
    </cfRule>
  </conditionalFormatting>
  <conditionalFormatting sqref="Z2:Z128 Z146:Z193 AA217:AA234 Z196 AA236 X197:Y216 Y237:Z237">
    <cfRule type="cellIs" dxfId="20" priority="62" operator="lessThan">
      <formula>0</formula>
    </cfRule>
  </conditionalFormatting>
  <conditionalFormatting sqref="Q129:Q145 X129:X145">
    <cfRule type="containsErrors" dxfId="19" priority="61" stopIfTrue="1">
      <formula>ISERROR(Q129)</formula>
    </cfRule>
  </conditionalFormatting>
  <conditionalFormatting sqref="Z129:Z145">
    <cfRule type="cellIs" dxfId="18" priority="60" operator="lessThan">
      <formula>0</formula>
    </cfRule>
  </conditionalFormatting>
  <conditionalFormatting sqref="AP194">
    <cfRule type="cellIs" dxfId="17" priority="27" stopIfTrue="1" operator="equal">
      <formula>0</formula>
    </cfRule>
  </conditionalFormatting>
  <conditionalFormatting sqref="AF194">
    <cfRule type="cellIs" dxfId="16" priority="25" operator="equal">
      <formula>"não_considerar"</formula>
    </cfRule>
    <cfRule type="cellIs" dxfId="15" priority="26" operator="equal">
      <formula>"opcional"</formula>
    </cfRule>
  </conditionalFormatting>
  <conditionalFormatting sqref="Q194 X194">
    <cfRule type="containsErrors" dxfId="14" priority="24" stopIfTrue="1">
      <formula>ISERROR(Q194)</formula>
    </cfRule>
  </conditionalFormatting>
  <conditionalFormatting sqref="Z194">
    <cfRule type="cellIs" dxfId="13" priority="23" operator="lessThan">
      <formula>0</formula>
    </cfRule>
  </conditionalFormatting>
  <conditionalFormatting sqref="AQ235">
    <cfRule type="cellIs" dxfId="12" priority="22" stopIfTrue="1" operator="equal">
      <formula>0</formula>
    </cfRule>
  </conditionalFormatting>
  <conditionalFormatting sqref="AG235">
    <cfRule type="cellIs" dxfId="11" priority="20" operator="equal">
      <formula>"não_considerar"</formula>
    </cfRule>
    <cfRule type="cellIs" dxfId="10" priority="21" operator="equal">
      <formula>"opcional"</formula>
    </cfRule>
  </conditionalFormatting>
  <conditionalFormatting sqref="R235 Y235">
    <cfRule type="containsErrors" dxfId="9" priority="19" stopIfTrue="1">
      <formula>ISERROR(R235)</formula>
    </cfRule>
  </conditionalFormatting>
  <conditionalFormatting sqref="AA235">
    <cfRule type="cellIs" dxfId="8" priority="18" operator="lessThan">
      <formula>0</formula>
    </cfRule>
  </conditionalFormatting>
  <conditionalFormatting sqref="AP195 AR195">
    <cfRule type="cellIs" dxfId="7" priority="17" stopIfTrue="1" operator="equal">
      <formula>0</formula>
    </cfRule>
  </conditionalFormatting>
  <conditionalFormatting sqref="AF195">
    <cfRule type="cellIs" dxfId="6" priority="15" operator="equal">
      <formula>"não_considerar"</formula>
    </cfRule>
    <cfRule type="cellIs" dxfId="5" priority="16" operator="equal">
      <formula>"opcional"</formula>
    </cfRule>
  </conditionalFormatting>
  <conditionalFormatting sqref="Q195 X195">
    <cfRule type="containsErrors" dxfId="4" priority="14" stopIfTrue="1">
      <formula>ISERROR(Q195)</formula>
    </cfRule>
  </conditionalFormatting>
  <conditionalFormatting sqref="Z195">
    <cfRule type="cellIs" dxfId="3" priority="1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2520</v>
      </c>
      <c r="B3" t="s">
        <v>2521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2522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2523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2524</v>
      </c>
      <c r="M1" s="99" t="s">
        <v>2525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5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2526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5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2527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5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2528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5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5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5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2529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5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2530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5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2531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5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2532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5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2533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5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2534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5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2535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5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5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5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5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5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5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5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5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5"/>
    </row>
    <row r="23" spans="1:25">
      <c r="A23" s="101"/>
      <c r="Y23" s="555"/>
    </row>
    <row r="24" spans="1:25">
      <c r="A24" s="101"/>
      <c r="Y24" s="555"/>
    </row>
    <row r="25" spans="1:25">
      <c r="A25" s="101"/>
      <c r="Y25" s="555"/>
    </row>
    <row r="26" spans="1:25">
      <c r="A26" s="101"/>
      <c r="Y26" s="555"/>
    </row>
    <row r="27" spans="1:25">
      <c r="A27" s="101"/>
      <c r="Y27" s="555"/>
    </row>
    <row r="28" spans="1:25">
      <c r="A28" s="101"/>
      <c r="Y28" s="555"/>
    </row>
    <row r="29" spans="1:25">
      <c r="A29" s="101"/>
      <c r="Y29" s="555"/>
    </row>
    <row r="30" spans="1:25">
      <c r="A30" s="101"/>
      <c r="Y30" s="555"/>
    </row>
    <row r="31" spans="1:25">
      <c r="A31" s="101"/>
      <c r="Y31" s="555"/>
    </row>
    <row r="32" spans="1:25">
      <c r="A32" s="101"/>
      <c r="Y32" s="555"/>
    </row>
    <row r="33" spans="1:25">
      <c r="A33" s="101"/>
      <c r="Y33" s="555"/>
    </row>
    <row r="34" spans="1:25">
      <c r="A34" s="101"/>
      <c r="Y34" s="555"/>
    </row>
    <row r="35" spans="1:25">
      <c r="Y35" s="555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2162</v>
      </c>
      <c r="B1" s="2" t="s">
        <v>2536</v>
      </c>
      <c r="C1" s="2" t="s">
        <v>2537</v>
      </c>
      <c r="D1" s="2" t="s">
        <v>2538</v>
      </c>
      <c r="E1" s="2" t="s">
        <v>2539</v>
      </c>
      <c r="G1" s="44" t="s">
        <v>2540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2541</v>
      </c>
      <c r="C2">
        <v>2016</v>
      </c>
      <c r="D2">
        <v>11233</v>
      </c>
      <c r="E2">
        <v>4</v>
      </c>
      <c r="G2" s="50" t="s">
        <v>2542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2542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2543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2543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2544</v>
      </c>
      <c r="C4">
        <v>2028</v>
      </c>
      <c r="D4">
        <v>6133</v>
      </c>
      <c r="E4">
        <v>4</v>
      </c>
      <c r="G4" t="s">
        <v>2545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2545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2540</v>
      </c>
      <c r="C5">
        <v>2025</v>
      </c>
      <c r="D5" s="22">
        <v>3509</v>
      </c>
      <c r="E5">
        <v>4</v>
      </c>
      <c r="F5">
        <v>3509</v>
      </c>
      <c r="G5" t="s">
        <v>2546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2546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2547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2547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2548</v>
      </c>
      <c r="C7">
        <v>2013</v>
      </c>
      <c r="D7" s="22">
        <v>3300</v>
      </c>
      <c r="E7">
        <v>5</v>
      </c>
      <c r="G7" t="s">
        <v>2549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2549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2550</v>
      </c>
      <c r="C8">
        <v>2012</v>
      </c>
      <c r="D8" s="22">
        <v>3150.401123046875</v>
      </c>
      <c r="E8">
        <v>4</v>
      </c>
      <c r="G8" t="s">
        <v>2551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2551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2552</v>
      </c>
      <c r="C9">
        <v>2019</v>
      </c>
      <c r="D9" s="22">
        <v>2338</v>
      </c>
      <c r="E9">
        <v>10</v>
      </c>
      <c r="F9">
        <v>2338</v>
      </c>
      <c r="G9" t="s">
        <v>2553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2553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2554</v>
      </c>
      <c r="C10">
        <v>2018</v>
      </c>
      <c r="D10" s="22">
        <v>2160</v>
      </c>
      <c r="E10">
        <v>5</v>
      </c>
      <c r="F10">
        <v>2160</v>
      </c>
      <c r="G10" s="54" t="s">
        <v>2555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2555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2556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2557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2413</v>
      </c>
      <c r="C13">
        <v>2018</v>
      </c>
      <c r="D13" s="22">
        <v>1328</v>
      </c>
      <c r="E13">
        <v>3</v>
      </c>
      <c r="F13">
        <v>1328</v>
      </c>
      <c r="G13" s="44" t="s">
        <v>2548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2558</v>
      </c>
      <c r="C14">
        <v>2022</v>
      </c>
      <c r="D14" s="22">
        <v>1248</v>
      </c>
      <c r="E14">
        <v>2</v>
      </c>
      <c r="F14">
        <v>1248</v>
      </c>
      <c r="G14" s="50" t="s">
        <v>2542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2559</v>
      </c>
      <c r="C15">
        <v>2021</v>
      </c>
      <c r="D15">
        <v>1187</v>
      </c>
      <c r="E15">
        <v>3</v>
      </c>
      <c r="F15">
        <v>1187</v>
      </c>
      <c r="G15" t="s">
        <v>2543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2545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2546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2547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2549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2551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2553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2555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2550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2542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2543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2545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2546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2547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2549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2551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2553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2555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2542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2543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2545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2546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2547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2549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2551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2553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2555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2542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2543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2545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2546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2547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2549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2551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2553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2555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2542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2543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2545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2546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2547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2549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2551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2553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2555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2557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2542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2543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2545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2546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2547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2549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2551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2553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2555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2413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2542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2543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2545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2546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2547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2549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2551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2553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2555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2558</v>
      </c>
      <c r="H90" s="45"/>
      <c r="I90" s="46">
        <v>2022</v>
      </c>
      <c r="J90" s="46">
        <v>2023</v>
      </c>
    </row>
    <row r="91" spans="7:11">
      <c r="G91" s="50" t="s">
        <v>2542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2543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2545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2546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2547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2549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2551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2553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2555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2559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2542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2543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2545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2546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2547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2549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2551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2553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2555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180</v>
      </c>
      <c r="B1" s="2" t="s">
        <v>2560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2561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2562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182</v>
      </c>
      <c r="B1" s="109" t="s">
        <v>2563</v>
      </c>
      <c r="C1" s="109" t="s">
        <v>2564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2565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2565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2566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2565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2567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2565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2565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2565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2565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2565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2565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2565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2565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2566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2566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2565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2565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2565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2565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2565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2566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2565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2565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2566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2566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2566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2566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2566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2565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2565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2565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2565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2565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2565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2565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2565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2565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2568</v>
      </c>
      <c r="C109" s="156" t="s">
        <v>2569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2570</v>
      </c>
      <c r="C110" s="156" t="s">
        <v>2569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2569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2569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2569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2569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2569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2569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2569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2569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2569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2569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2571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2572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2573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2569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2574</v>
      </c>
      <c r="C125" s="279" t="s">
        <v>2569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2575</v>
      </c>
      <c r="C126" s="279" t="s">
        <v>2569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2569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2576</v>
      </c>
      <c r="C128" s="279" t="s">
        <v>2577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2578</v>
      </c>
      <c r="C129" s="279" t="s">
        <v>2579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2577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2569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2580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2581</v>
      </c>
      <c r="C133" s="279" t="s">
        <v>2582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4" t="s">
        <v>254</v>
      </c>
      <c r="C134" s="279" t="s">
        <v>2569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2583</v>
      </c>
      <c r="C135" s="279" t="s">
        <v>2569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2584</v>
      </c>
      <c r="C136" s="279" t="s">
        <v>2569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2585</v>
      </c>
      <c r="B1" s="61" t="s">
        <v>182</v>
      </c>
      <c r="C1" s="61" t="s">
        <v>2586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2569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2573</v>
      </c>
      <c r="B3" t="s">
        <v>2587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2577</v>
      </c>
      <c r="B4" t="s">
        <v>2588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2579</v>
      </c>
      <c r="B5" t="s">
        <v>2588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2589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2582</v>
      </c>
      <c r="B7" t="s">
        <v>2589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2590</v>
      </c>
      <c r="B8" t="s">
        <v>2589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2569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2573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2577</v>
      </c>
      <c r="B15" t="s">
        <v>2591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2579</v>
      </c>
      <c r="B16" t="s">
        <v>2591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2592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2582</v>
      </c>
      <c r="B18" t="s">
        <v>2592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2590</v>
      </c>
      <c r="B19" t="s">
        <v>2592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54">
        <v>36632.607682862734</v>
      </c>
      <c r="C2" s="654">
        <v>37285.875877570135</v>
      </c>
      <c r="D2" s="653">
        <v>36217.813905744384</v>
      </c>
      <c r="E2" s="653">
        <v>37570.329722758615</v>
      </c>
      <c r="F2" s="653">
        <v>37257.89272578065</v>
      </c>
      <c r="G2" s="653">
        <v>37693.741716178396</v>
      </c>
      <c r="H2" s="653">
        <v>38368.085867323694</v>
      </c>
      <c r="I2" s="654">
        <v>41505.238760912776</v>
      </c>
      <c r="J2" s="653">
        <v>43491.022178047802</v>
      </c>
      <c r="K2" s="653">
        <v>45414.357045603974</v>
      </c>
      <c r="L2" s="653">
        <v>47223.242404641249</v>
      </c>
      <c r="M2" s="653">
        <v>49198.795180520014</v>
      </c>
      <c r="N2" s="653">
        <v>51136.530335030642</v>
      </c>
      <c r="O2" s="653">
        <v>53181.444195292373</v>
      </c>
      <c r="P2" s="653">
        <v>54820.009763885493</v>
      </c>
      <c r="Q2" s="653">
        <v>56506.148247180761</v>
      </c>
      <c r="R2" s="653">
        <v>58196.527079791442</v>
      </c>
      <c r="S2" s="653">
        <v>59936.293883143502</v>
      </c>
      <c r="T2" s="653">
        <v>61758.26651402736</v>
      </c>
      <c r="U2" s="653">
        <v>63702.589885373833</v>
      </c>
      <c r="V2" s="653">
        <v>65604.808656298497</v>
      </c>
      <c r="W2" s="653">
        <v>67441.235586179158</v>
      </c>
      <c r="X2" s="653">
        <v>69341.440837321948</v>
      </c>
      <c r="Y2" s="653">
        <v>71349.387358385953</v>
      </c>
      <c r="Z2" s="653">
        <v>73388.900367434893</v>
      </c>
      <c r="AA2" s="653">
        <v>75448.03360076352</v>
      </c>
      <c r="AB2" s="653">
        <v>77725.900300875437</v>
      </c>
      <c r="AC2" s="653">
        <v>79927.074241578477</v>
      </c>
      <c r="AD2" s="653">
        <v>82078.708841922373</v>
      </c>
      <c r="AE2" s="653">
        <v>83941.980687250136</v>
      </c>
      <c r="AF2" s="653">
        <v>85808.279096704806</v>
      </c>
      <c r="AG2" s="653">
        <v>87687.56123382457</v>
      </c>
      <c r="AH2" s="653">
        <v>89648.096584988074</v>
      </c>
      <c r="AI2" s="653">
        <v>91633.158385165545</v>
      </c>
      <c r="AJ2" s="653">
        <v>93629.861691804108</v>
      </c>
      <c r="AK2" s="653">
        <v>95629.981954285802</v>
      </c>
      <c r="AL2" s="653">
        <v>97856.458006043089</v>
      </c>
      <c r="AM2" s="653">
        <v>100041.29466092351</v>
      </c>
      <c r="AN2" s="653">
        <v>102168.62909803692</v>
      </c>
      <c r="AO2" s="335">
        <v>0.5471918381554427</v>
      </c>
    </row>
    <row r="3" spans="1:41">
      <c r="A3" s="17">
        <v>2</v>
      </c>
      <c r="B3" s="654">
        <v>10256.068306010928</v>
      </c>
      <c r="C3" s="654">
        <v>10719.242790329081</v>
      </c>
      <c r="D3" s="653">
        <v>10601.72726</v>
      </c>
      <c r="E3" s="653">
        <v>10937.29674</v>
      </c>
      <c r="F3" s="653">
        <v>10980.90603</v>
      </c>
      <c r="G3" s="653">
        <v>11281.72912</v>
      </c>
      <c r="H3" s="653">
        <v>11485.670169999999</v>
      </c>
      <c r="I3" s="654">
        <v>12096.368654684919</v>
      </c>
      <c r="J3" s="653">
        <v>12626.317359427154</v>
      </c>
      <c r="K3" s="653">
        <v>13192.039395337921</v>
      </c>
      <c r="L3" s="653">
        <v>13797.865811148409</v>
      </c>
      <c r="M3" s="653">
        <v>14416.273482162562</v>
      </c>
      <c r="N3" s="653">
        <v>15069.915879977259</v>
      </c>
      <c r="O3" s="653">
        <v>15748.6690236797</v>
      </c>
      <c r="P3" s="653">
        <v>16297.836632358432</v>
      </c>
      <c r="Q3" s="653">
        <v>16860.161400565823</v>
      </c>
      <c r="R3" s="653">
        <v>17489.391426263905</v>
      </c>
      <c r="S3" s="653">
        <v>18121.745771083723</v>
      </c>
      <c r="T3" s="653">
        <v>18718.889079853063</v>
      </c>
      <c r="U3" s="653">
        <v>19354.693093210321</v>
      </c>
      <c r="V3" s="653">
        <v>20010.716410390938</v>
      </c>
      <c r="W3" s="653">
        <v>20669.196666587686</v>
      </c>
      <c r="X3" s="653">
        <v>21425.223088526967</v>
      </c>
      <c r="Y3" s="653">
        <v>22128.538065666089</v>
      </c>
      <c r="Z3" s="653">
        <v>22890.62118350216</v>
      </c>
      <c r="AA3" s="653">
        <v>23666.943875667766</v>
      </c>
      <c r="AB3" s="653">
        <v>24449.940902077557</v>
      </c>
      <c r="AC3" s="653">
        <v>25214.347948564591</v>
      </c>
      <c r="AD3" s="653">
        <v>25978.044064409289</v>
      </c>
      <c r="AE3" s="653">
        <v>26695.131895319115</v>
      </c>
      <c r="AF3" s="653">
        <v>27428.38748112426</v>
      </c>
      <c r="AG3" s="653">
        <v>28173.39093147454</v>
      </c>
      <c r="AH3" s="653">
        <v>28929.112316731436</v>
      </c>
      <c r="AI3" s="653">
        <v>29705.65695938349</v>
      </c>
      <c r="AJ3" s="653">
        <v>30492.117362116616</v>
      </c>
      <c r="AK3" s="653">
        <v>31293.455243722874</v>
      </c>
      <c r="AL3" s="653">
        <v>32246.459845272253</v>
      </c>
      <c r="AM3" s="653">
        <v>33132.349539314986</v>
      </c>
      <c r="AN3" s="653">
        <v>34008.124717700433</v>
      </c>
      <c r="AO3" s="335">
        <v>0.16484353077059868</v>
      </c>
    </row>
    <row r="4" spans="1:41">
      <c r="A4" s="17">
        <v>3</v>
      </c>
      <c r="B4" s="654">
        <v>9067.636612021859</v>
      </c>
      <c r="C4" s="654">
        <v>9676.7722901656653</v>
      </c>
      <c r="D4" s="653">
        <v>9583.0543539999999</v>
      </c>
      <c r="E4" s="653">
        <v>10261.03637</v>
      </c>
      <c r="F4" s="653">
        <v>10420.44838</v>
      </c>
      <c r="G4" s="653">
        <v>10602.301160000001</v>
      </c>
      <c r="H4" s="653">
        <v>10803.4548</v>
      </c>
      <c r="I4" s="654">
        <v>11470.204606008609</v>
      </c>
      <c r="J4" s="653">
        <v>12054.133279161812</v>
      </c>
      <c r="K4" s="653">
        <v>12607.534799314715</v>
      </c>
      <c r="L4" s="653">
        <v>13195.353226360772</v>
      </c>
      <c r="M4" s="653">
        <v>13813.342926862912</v>
      </c>
      <c r="N4" s="653">
        <v>14454.516807188518</v>
      </c>
      <c r="O4" s="653">
        <v>15155.509906758005</v>
      </c>
      <c r="P4" s="653">
        <v>15868.562496292911</v>
      </c>
      <c r="Q4" s="653">
        <v>16420.351031338694</v>
      </c>
      <c r="R4" s="653">
        <v>16989.893615740111</v>
      </c>
      <c r="S4" s="653">
        <v>17550.46609733683</v>
      </c>
      <c r="T4" s="653">
        <v>18106.504694346579</v>
      </c>
      <c r="U4" s="653">
        <v>18715.900086075322</v>
      </c>
      <c r="V4" s="653">
        <v>19334.076389837504</v>
      </c>
      <c r="W4" s="653">
        <v>19956.090882794175</v>
      </c>
      <c r="X4" s="653">
        <v>20568.547366299932</v>
      </c>
      <c r="Y4" s="653">
        <v>21210.635236064227</v>
      </c>
      <c r="Z4" s="653">
        <v>21870.929598046299</v>
      </c>
      <c r="AA4" s="653">
        <v>22585.705649336338</v>
      </c>
      <c r="AB4" s="653">
        <v>23333.374890746931</v>
      </c>
      <c r="AC4" s="653">
        <v>24069.005314966002</v>
      </c>
      <c r="AD4" s="653">
        <v>24804.101839266008</v>
      </c>
      <c r="AE4" s="653">
        <v>25470.867137493406</v>
      </c>
      <c r="AF4" s="653">
        <v>26151.519470108087</v>
      </c>
      <c r="AG4" s="653">
        <v>26840.737157970929</v>
      </c>
      <c r="AH4" s="653">
        <v>27552.969854740371</v>
      </c>
      <c r="AI4" s="653">
        <v>28300.105766795368</v>
      </c>
      <c r="AJ4" s="653">
        <v>29076.597735254491</v>
      </c>
      <c r="AK4" s="653">
        <v>29837.820487232166</v>
      </c>
      <c r="AL4" s="653">
        <v>30627.850412087326</v>
      </c>
      <c r="AM4" s="653">
        <v>31422.378262736376</v>
      </c>
      <c r="AN4" s="653">
        <v>32235.252968644054</v>
      </c>
      <c r="AO4" s="335">
        <v>0.15872793711361019</v>
      </c>
    </row>
    <row r="5" spans="1:41">
      <c r="A5" s="17">
        <v>4</v>
      </c>
      <c r="B5" s="654">
        <v>4117.7322404371598</v>
      </c>
      <c r="C5" s="654">
        <v>4654.0969167976</v>
      </c>
      <c r="D5" s="653">
        <v>4091.2993824882797</v>
      </c>
      <c r="E5" s="653">
        <v>4385.8445955693096</v>
      </c>
      <c r="F5" s="653">
        <v>4348.4903569271855</v>
      </c>
      <c r="G5" s="653">
        <v>4366.7751684251243</v>
      </c>
      <c r="H5" s="653">
        <v>4150.9205023716113</v>
      </c>
      <c r="I5" s="654">
        <v>4715.1338327100848</v>
      </c>
      <c r="J5" s="653">
        <v>5356.860896961789</v>
      </c>
      <c r="K5" s="653">
        <v>6043.535248254494</v>
      </c>
      <c r="L5" s="653">
        <v>6237.5229814176591</v>
      </c>
      <c r="M5" s="653">
        <v>6413.4863421437203</v>
      </c>
      <c r="N5" s="653">
        <v>6674.347218177887</v>
      </c>
      <c r="O5" s="653">
        <v>6894.9565830470001</v>
      </c>
      <c r="P5" s="653">
        <v>7155.2613027652733</v>
      </c>
      <c r="Q5" s="653">
        <v>7335.189806953983</v>
      </c>
      <c r="R5" s="653">
        <v>7539.2646270793757</v>
      </c>
      <c r="S5" s="653">
        <v>7785.3401923268884</v>
      </c>
      <c r="T5" s="653">
        <v>8096.2191359312365</v>
      </c>
      <c r="U5" s="653">
        <v>8298.0187562730353</v>
      </c>
      <c r="V5" s="653">
        <v>8517.4743637269003</v>
      </c>
      <c r="W5" s="653">
        <v>8777.7444181226256</v>
      </c>
      <c r="X5" s="653">
        <v>8972.1032822316811</v>
      </c>
      <c r="Y5" s="653">
        <v>9194.1833242970824</v>
      </c>
      <c r="Z5" s="653">
        <v>9541.1592129932233</v>
      </c>
      <c r="AA5" s="653">
        <v>9792.9796128575144</v>
      </c>
      <c r="AB5" s="653">
        <v>10070.166674511345</v>
      </c>
      <c r="AC5" s="653">
        <v>10332.784905932011</v>
      </c>
      <c r="AD5" s="653">
        <v>10641.732190033263</v>
      </c>
      <c r="AE5" s="653">
        <v>10911.037010225466</v>
      </c>
      <c r="AF5" s="653">
        <v>11152.567567163725</v>
      </c>
      <c r="AG5" s="653">
        <v>11419.549460895325</v>
      </c>
      <c r="AH5" s="653">
        <v>11667.690365678938</v>
      </c>
      <c r="AI5" s="653">
        <v>11917.321900141191</v>
      </c>
      <c r="AJ5" s="653">
        <v>12165.822518042238</v>
      </c>
      <c r="AK5" s="653">
        <v>12426.991000332891</v>
      </c>
      <c r="AL5" s="653">
        <v>12675.550617625408</v>
      </c>
      <c r="AM5" s="653">
        <v>12928.556385569793</v>
      </c>
      <c r="AN5" s="653">
        <v>13210.140661921552</v>
      </c>
      <c r="AO5" s="335">
        <v>8.2560361357235074E-2</v>
      </c>
    </row>
    <row r="6" spans="1:41">
      <c r="A6" s="113">
        <v>5</v>
      </c>
      <c r="B6" s="653">
        <v>996</v>
      </c>
      <c r="C6" s="653">
        <v>1074</v>
      </c>
      <c r="D6" s="653">
        <v>1215</v>
      </c>
      <c r="E6" s="653">
        <v>1214</v>
      </c>
      <c r="F6" s="653">
        <v>1278</v>
      </c>
      <c r="G6" s="653">
        <v>1536</v>
      </c>
      <c r="H6" s="653">
        <v>1717</v>
      </c>
      <c r="I6" s="653">
        <v>1743</v>
      </c>
      <c r="J6" s="653">
        <v>1784</v>
      </c>
      <c r="K6" s="653">
        <v>1890</v>
      </c>
      <c r="L6" s="653">
        <v>2003</v>
      </c>
      <c r="M6" s="653">
        <v>2125</v>
      </c>
      <c r="N6" s="653">
        <v>2254</v>
      </c>
      <c r="O6" s="653">
        <v>2391</v>
      </c>
      <c r="P6" s="653">
        <v>2537</v>
      </c>
      <c r="Q6" s="653">
        <v>2693</v>
      </c>
      <c r="R6" s="653">
        <v>2859</v>
      </c>
      <c r="S6" s="653">
        <v>3035</v>
      </c>
      <c r="T6" s="653">
        <v>3223</v>
      </c>
      <c r="U6" s="653">
        <v>3423</v>
      </c>
      <c r="V6" s="653">
        <v>3635</v>
      </c>
      <c r="W6" s="653">
        <v>3862</v>
      </c>
      <c r="X6" s="653">
        <v>4104</v>
      </c>
      <c r="Y6" s="653">
        <v>4361</v>
      </c>
      <c r="Z6" s="653">
        <v>4635</v>
      </c>
      <c r="AA6" s="653">
        <v>4871</v>
      </c>
      <c r="AB6" s="653">
        <v>4871</v>
      </c>
      <c r="AC6" s="653">
        <v>4871</v>
      </c>
      <c r="AD6" s="653">
        <v>4871</v>
      </c>
      <c r="AE6" s="653">
        <v>4871</v>
      </c>
      <c r="AF6" s="653">
        <v>4871</v>
      </c>
      <c r="AG6" s="653">
        <v>4871</v>
      </c>
      <c r="AH6" s="653">
        <v>4871</v>
      </c>
      <c r="AI6" s="653">
        <v>4871</v>
      </c>
      <c r="AJ6" s="653">
        <v>4871</v>
      </c>
      <c r="AK6" s="653">
        <v>4871</v>
      </c>
      <c r="AL6" s="653">
        <v>4871</v>
      </c>
      <c r="AM6" s="653">
        <v>4871</v>
      </c>
      <c r="AN6" s="653">
        <v>4871</v>
      </c>
      <c r="AO6" s="335">
        <v>2.0547672752850091E-2</v>
      </c>
    </row>
    <row r="7" spans="1:41">
      <c r="A7" s="17">
        <v>6</v>
      </c>
      <c r="B7" s="654">
        <v>475.1502732240437</v>
      </c>
      <c r="C7" s="654">
        <v>508.74794520547943</v>
      </c>
      <c r="D7" s="654">
        <v>536.07262425561873</v>
      </c>
      <c r="E7" s="654">
        <v>493.55031724138286</v>
      </c>
      <c r="F7" s="654">
        <v>492.91981421934872</v>
      </c>
      <c r="G7" s="654">
        <v>505.68509382159959</v>
      </c>
      <c r="H7" s="654">
        <v>524.86979267630602</v>
      </c>
      <c r="I7" s="654">
        <v>546.46208549314554</v>
      </c>
      <c r="J7" s="653">
        <v>568.07391194113768</v>
      </c>
      <c r="K7" s="653">
        <v>591.20665084889049</v>
      </c>
      <c r="L7" s="653">
        <v>614.80294499081947</v>
      </c>
      <c r="M7" s="653">
        <v>638.41745669282273</v>
      </c>
      <c r="N7" s="653">
        <v>662.4856407299394</v>
      </c>
      <c r="O7" s="653">
        <v>686.88791785438343</v>
      </c>
      <c r="P7" s="653">
        <v>711.36211117429355</v>
      </c>
      <c r="Q7" s="653">
        <v>736.08516248314049</v>
      </c>
      <c r="R7" s="653">
        <v>760.94856293621933</v>
      </c>
      <c r="S7" s="653">
        <v>785.73462021588557</v>
      </c>
      <c r="T7" s="653">
        <v>810.63523453358221</v>
      </c>
      <c r="U7" s="653">
        <v>835.75247727882413</v>
      </c>
      <c r="V7" s="653">
        <v>860.87689319531444</v>
      </c>
      <c r="W7" s="653">
        <v>886.15926967083544</v>
      </c>
      <c r="X7" s="653">
        <v>911.656674564333</v>
      </c>
      <c r="Y7" s="653">
        <v>937.3483234327523</v>
      </c>
      <c r="Z7" s="653">
        <v>962.98664572381892</v>
      </c>
      <c r="AA7" s="653">
        <v>988.52694945299288</v>
      </c>
      <c r="AB7" s="653">
        <v>1013.9235689671686</v>
      </c>
      <c r="AC7" s="653">
        <v>1039.1299981650327</v>
      </c>
      <c r="AD7" s="653">
        <v>1064.0990308512958</v>
      </c>
      <c r="AE7" s="653">
        <v>1088.7829076368707</v>
      </c>
      <c r="AF7" s="653">
        <v>1113.133468741489</v>
      </c>
      <c r="AG7" s="653">
        <v>1137.102312003324</v>
      </c>
      <c r="AH7" s="653">
        <v>1160.6409553524923</v>
      </c>
      <c r="AI7" s="653">
        <v>1183.7010029622677</v>
      </c>
      <c r="AJ7" s="653">
        <v>1206.2343142539685</v>
      </c>
      <c r="AK7" s="653">
        <v>1228.1931748991281</v>
      </c>
      <c r="AL7" s="653">
        <v>1249.530468936133</v>
      </c>
      <c r="AM7" s="653">
        <v>1270.1998510982733</v>
      </c>
      <c r="AN7" s="653">
        <v>1290.1559184363809</v>
      </c>
      <c r="AO7" s="335">
        <v>7.3403028995851841E-3</v>
      </c>
    </row>
    <row r="8" spans="1:41">
      <c r="A8" s="113">
        <v>7</v>
      </c>
      <c r="B8" s="654">
        <v>0</v>
      </c>
      <c r="C8" s="654">
        <v>259.1192517053222</v>
      </c>
      <c r="D8" s="654">
        <v>1045.8892105117202</v>
      </c>
      <c r="E8" s="654">
        <v>977.10792243069079</v>
      </c>
      <c r="F8" s="654">
        <v>1112.006096072814</v>
      </c>
      <c r="G8" s="654">
        <v>1134.9225025748756</v>
      </c>
      <c r="H8" s="654">
        <v>1225.993663628388</v>
      </c>
      <c r="I8" s="654">
        <v>1327.5348207313752</v>
      </c>
      <c r="J8" s="653">
        <v>1375.1157880561218</v>
      </c>
      <c r="K8" s="653">
        <v>1426.8763792966981</v>
      </c>
      <c r="L8" s="653">
        <v>1480.2156203166567</v>
      </c>
      <c r="M8" s="653">
        <v>1535.0262131403188</v>
      </c>
      <c r="N8" s="653">
        <v>1591.7318891835114</v>
      </c>
      <c r="O8" s="653">
        <v>1650.1437807800139</v>
      </c>
      <c r="P8" s="653">
        <v>1710.8561486601725</v>
      </c>
      <c r="Q8" s="653">
        <v>1773.3485471506165</v>
      </c>
      <c r="R8" s="653">
        <v>1837.6477786231956</v>
      </c>
      <c r="S8" s="653">
        <v>1904.3899682025933</v>
      </c>
      <c r="T8" s="653">
        <v>1973.6691583736085</v>
      </c>
      <c r="U8" s="653">
        <v>2049.0362806437097</v>
      </c>
      <c r="V8" s="653">
        <v>2127.2833206782493</v>
      </c>
      <c r="W8" s="653">
        <v>2208.5294364177857</v>
      </c>
      <c r="X8" s="653">
        <v>2292.5350202695108</v>
      </c>
      <c r="Y8" s="653">
        <v>2379.3896489460044</v>
      </c>
      <c r="Z8" s="653">
        <v>2467.2076573479062</v>
      </c>
      <c r="AA8" s="653">
        <v>2555.812204245161</v>
      </c>
      <c r="AB8" s="653">
        <v>2645.0161690746286</v>
      </c>
      <c r="AC8" s="653">
        <v>2734.6228687791158</v>
      </c>
      <c r="AD8" s="653">
        <v>2824.4268938944338</v>
      </c>
      <c r="AE8" s="653">
        <v>2914.2150619414583</v>
      </c>
      <c r="AF8" s="653">
        <v>3003.767484650617</v>
      </c>
      <c r="AG8" s="653">
        <v>3092.8587439853709</v>
      </c>
      <c r="AH8" s="653">
        <v>3181.2591703635376</v>
      </c>
      <c r="AI8" s="653">
        <v>3268.7362149270011</v>
      </c>
      <c r="AJ8" s="653">
        <v>3355.0559062085135</v>
      </c>
      <c r="AK8" s="653">
        <v>3439.9843801166812</v>
      </c>
      <c r="AL8" s="653">
        <v>3523.2894708344334</v>
      </c>
      <c r="AM8" s="653">
        <v>3604.7423490292731</v>
      </c>
      <c r="AN8" s="653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2593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2594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2595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2596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2597</v>
      </c>
      <c r="B19" s="112">
        <v>9272.0776078431372</v>
      </c>
      <c r="C19" t="s">
        <v>2598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2599</v>
      </c>
      <c r="B20" s="112">
        <f>B19/2</f>
        <v>4636.0388039215686</v>
      </c>
      <c r="C20" t="s">
        <v>2598</v>
      </c>
    </row>
    <row r="22" spans="1:41" ht="14.45">
      <c r="A22" t="s">
        <v>2598</v>
      </c>
      <c r="B22" s="598">
        <v>2013</v>
      </c>
      <c r="C22" s="598">
        <v>2013</v>
      </c>
      <c r="D22" s="598">
        <v>2014</v>
      </c>
      <c r="E22" s="598">
        <v>2015</v>
      </c>
      <c r="F22" s="598">
        <v>2016</v>
      </c>
      <c r="G22" s="598">
        <v>2017</v>
      </c>
      <c r="H22" s="598">
        <v>2018</v>
      </c>
      <c r="I22" s="598">
        <v>2019</v>
      </c>
      <c r="J22" s="598">
        <v>2020</v>
      </c>
      <c r="K22" s="598">
        <v>2021</v>
      </c>
      <c r="L22" s="598">
        <v>2022</v>
      </c>
      <c r="M22" s="598">
        <v>2023</v>
      </c>
      <c r="N22" s="598">
        <v>2024</v>
      </c>
      <c r="O22" s="598">
        <v>2025</v>
      </c>
      <c r="P22" s="598">
        <v>2026</v>
      </c>
      <c r="Q22" s="598">
        <v>2027</v>
      </c>
      <c r="R22" s="598">
        <v>2028</v>
      </c>
      <c r="S22" s="598">
        <v>2029</v>
      </c>
      <c r="T22" s="598">
        <v>2030</v>
      </c>
      <c r="U22" s="598">
        <v>2031</v>
      </c>
      <c r="V22" s="598">
        <v>2032</v>
      </c>
      <c r="W22" s="598">
        <v>2033</v>
      </c>
      <c r="X22" s="598">
        <v>2034</v>
      </c>
      <c r="Y22" s="598">
        <v>2035</v>
      </c>
      <c r="Z22" s="598">
        <v>2036</v>
      </c>
      <c r="AA22" s="598">
        <v>2037</v>
      </c>
      <c r="AB22" s="598">
        <v>2038</v>
      </c>
      <c r="AC22" s="598">
        <v>2039</v>
      </c>
      <c r="AD22" s="598">
        <v>2040</v>
      </c>
      <c r="AE22" s="598">
        <v>2041</v>
      </c>
      <c r="AF22" s="598">
        <v>2042</v>
      </c>
      <c r="AG22" s="598">
        <v>2043</v>
      </c>
      <c r="AH22" s="598">
        <v>2044</v>
      </c>
      <c r="AI22" s="598">
        <v>2045</v>
      </c>
      <c r="AJ22" s="598">
        <v>2046</v>
      </c>
      <c r="AK22" s="598">
        <v>2047</v>
      </c>
      <c r="AL22" s="598">
        <v>2048</v>
      </c>
      <c r="AM22" s="598">
        <v>2049</v>
      </c>
      <c r="AN22" s="598">
        <v>2050</v>
      </c>
    </row>
    <row r="23" spans="1:41" ht="14.45">
      <c r="A23" t="s">
        <v>2600</v>
      </c>
      <c r="B23" s="599"/>
      <c r="C23" s="599"/>
      <c r="D23" s="599"/>
      <c r="E23" s="599"/>
      <c r="F23" s="599"/>
      <c r="G23" s="599"/>
      <c r="H23" s="599">
        <v>1627.9431818845601</v>
      </c>
      <c r="I23" s="599">
        <v>1723.4320350914891</v>
      </c>
      <c r="J23" s="599">
        <v>1824.1934150081681</v>
      </c>
      <c r="K23" s="599">
        <v>1930.6380305894315</v>
      </c>
      <c r="L23" s="599">
        <v>2043.5128066776474</v>
      </c>
      <c r="M23" s="599">
        <v>2164.8237881359514</v>
      </c>
      <c r="N23" s="599">
        <v>2293.9291709106601</v>
      </c>
      <c r="O23" s="599">
        <v>2431.3203134226719</v>
      </c>
      <c r="P23" s="599">
        <v>2577.5273729495962</v>
      </c>
      <c r="Q23" s="599">
        <v>2733.1281394115063</v>
      </c>
      <c r="R23" s="599">
        <v>2898.7486371514137</v>
      </c>
      <c r="S23" s="599">
        <v>3075.0667922675066</v>
      </c>
      <c r="T23" s="599">
        <v>3262.8011720442282</v>
      </c>
      <c r="U23" s="599">
        <v>3462.7200113842136</v>
      </c>
      <c r="V23" s="599">
        <v>3675.6309033768625</v>
      </c>
      <c r="W23" s="599">
        <v>3902.3911367459145</v>
      </c>
      <c r="X23" s="599">
        <v>4143.922945573855</v>
      </c>
      <c r="Y23" s="599">
        <v>4401.2081830038924</v>
      </c>
      <c r="Z23" s="599">
        <v>4675.3115487584355</v>
      </c>
      <c r="AA23" s="599">
        <v>4967.3748696252633</v>
      </c>
      <c r="AB23" s="599">
        <v>5278.6481451650516</v>
      </c>
      <c r="AC23" s="599">
        <v>5610.4647393744053</v>
      </c>
      <c r="AD23" s="599">
        <v>5964.2576310453496</v>
      </c>
      <c r="AE23" s="599">
        <v>6341.5477982288039</v>
      </c>
      <c r="AF23" s="599">
        <v>6743.9626331293803</v>
      </c>
      <c r="AG23" s="599">
        <v>7173.2475597855473</v>
      </c>
      <c r="AH23" s="599">
        <v>7631.2996639228895</v>
      </c>
      <c r="AI23" s="599">
        <v>8120.1384199371842</v>
      </c>
      <c r="AJ23" s="599">
        <v>8641.912402651109</v>
      </c>
      <c r="AK23" s="599">
        <v>9198.9412942227136</v>
      </c>
      <c r="AL23" s="599">
        <v>9793.7236485818448</v>
      </c>
      <c r="AM23" s="599">
        <v>10428.936331115983</v>
      </c>
      <c r="AN23" s="599">
        <v>11107.459298166557</v>
      </c>
    </row>
    <row r="24" spans="1:41">
      <c r="A24" t="s">
        <v>2601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topLeftCell="A4" zoomScale="80" zoomScaleNormal="80" workbookViewId="0">
      <selection activeCell="B21" sqref="B21:AN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3"/>
      <c r="AP8" s="563"/>
      <c r="AQ8" s="563"/>
      <c r="AR8" s="563"/>
      <c r="AS8" s="563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2593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2594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2595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2602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2603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2604</v>
      </c>
    </row>
    <row r="20" spans="1:42" ht="13.9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53">
        <v>48238.909479892376</v>
      </c>
      <c r="C21" s="653">
        <v>48558.122887775178</v>
      </c>
      <c r="D21" s="653">
        <v>51086.193587443093</v>
      </c>
      <c r="E21" s="653">
        <v>51367.947051404903</v>
      </c>
      <c r="F21" s="653">
        <v>49973.836065573771</v>
      </c>
      <c r="G21" s="653">
        <v>52224.749467458852</v>
      </c>
      <c r="H21" s="653">
        <v>53762.580066356393</v>
      </c>
      <c r="I21" s="653">
        <v>55963.857894872541</v>
      </c>
      <c r="J21" s="653">
        <v>58632.780462764036</v>
      </c>
      <c r="K21" s="653">
        <v>61218.459615741987</v>
      </c>
      <c r="L21" s="653">
        <v>63656.806960000962</v>
      </c>
      <c r="M21" s="653">
        <v>66321.001400546724</v>
      </c>
      <c r="N21" s="653">
        <v>68933.699033018042</v>
      </c>
      <c r="O21" s="653">
        <v>71691.455232017572</v>
      </c>
      <c r="P21" s="653">
        <v>73898.514627993427</v>
      </c>
      <c r="Q21" s="653">
        <v>76169.905351289621</v>
      </c>
      <c r="R21" s="653">
        <v>78446.965365607466</v>
      </c>
      <c r="S21" s="653">
        <v>80790.995228883854</v>
      </c>
      <c r="T21" s="653">
        <v>83246.362385061177</v>
      </c>
      <c r="U21" s="653">
        <v>85867.412696505708</v>
      </c>
      <c r="V21" s="653">
        <v>88431.401597213262</v>
      </c>
      <c r="W21" s="653">
        <v>90906.14696023651</v>
      </c>
      <c r="X21" s="653">
        <v>93467.202737663101</v>
      </c>
      <c r="Y21" s="653">
        <v>96174.156119369873</v>
      </c>
      <c r="Z21" s="653">
        <v>98923.915640212974</v>
      </c>
      <c r="AA21" s="653">
        <v>101700.31699015504</v>
      </c>
      <c r="AB21" s="653">
        <v>104773.21081588123</v>
      </c>
      <c r="AC21" s="653">
        <v>107742.27978175314</v>
      </c>
      <c r="AD21" s="653">
        <v>110644.34636036203</v>
      </c>
      <c r="AE21" s="653">
        <v>113155.79843447248</v>
      </c>
      <c r="AF21" s="653">
        <v>115671.53469021052</v>
      </c>
      <c r="AG21" s="653">
        <v>118205.0749839154</v>
      </c>
      <c r="AH21" s="653">
        <v>120848.96036792771</v>
      </c>
      <c r="AI21" s="653">
        <v>123526.34487514764</v>
      </c>
      <c r="AJ21" s="653">
        <v>126219.79404869249</v>
      </c>
      <c r="AK21" s="653">
        <v>128918.18866476817</v>
      </c>
      <c r="AL21" s="653">
        <v>131923.66709124032</v>
      </c>
      <c r="AM21" s="653">
        <v>134873.08470556332</v>
      </c>
      <c r="AN21" s="653">
        <v>137744.97011829232</v>
      </c>
    </row>
    <row r="22" spans="1:42">
      <c r="A22" s="17">
        <v>2</v>
      </c>
      <c r="B22" s="653">
        <v>15486.640441939053</v>
      </c>
      <c r="C22" s="653">
        <v>15879.632519420109</v>
      </c>
      <c r="D22" s="653">
        <v>17971.47</v>
      </c>
      <c r="E22" s="653">
        <v>17020.835999999999</v>
      </c>
      <c r="F22" s="653">
        <v>16424.877</v>
      </c>
      <c r="G22" s="653">
        <v>17623.094000000001</v>
      </c>
      <c r="H22" s="653">
        <v>17346.021000000001</v>
      </c>
      <c r="I22" s="653">
        <v>18327.831294977143</v>
      </c>
      <c r="J22" s="653">
        <v>19130.783877919926</v>
      </c>
      <c r="K22" s="653">
        <v>19987.938477784723</v>
      </c>
      <c r="L22" s="653">
        <v>20905.857289618798</v>
      </c>
      <c r="M22" s="653">
        <v>21842.83860933721</v>
      </c>
      <c r="N22" s="653">
        <v>22833.205878753419</v>
      </c>
      <c r="O22" s="653">
        <v>23861.619732848027</v>
      </c>
      <c r="P22" s="653">
        <v>24693.691867209742</v>
      </c>
      <c r="Q22" s="653">
        <v>25545.699091766393</v>
      </c>
      <c r="R22" s="653">
        <v>26499.077918581668</v>
      </c>
      <c r="S22" s="653">
        <v>27457.190562248059</v>
      </c>
      <c r="T22" s="653">
        <v>28361.953151292513</v>
      </c>
      <c r="U22" s="653">
        <v>29325.292565470176</v>
      </c>
      <c r="V22" s="653">
        <v>30319.26728847111</v>
      </c>
      <c r="W22" s="653">
        <v>31316.964646344972</v>
      </c>
      <c r="X22" s="653">
        <v>32462.459225040853</v>
      </c>
      <c r="Y22" s="653">
        <v>33528.087978281947</v>
      </c>
      <c r="Z22" s="653">
        <v>34682.759368942658</v>
      </c>
      <c r="AA22" s="653">
        <v>35859.005872223883</v>
      </c>
      <c r="AB22" s="653">
        <v>37045.365003147803</v>
      </c>
      <c r="AC22" s="653">
        <v>38203.557497825132</v>
      </c>
      <c r="AD22" s="653">
        <v>39360.672824862551</v>
      </c>
      <c r="AE22" s="653">
        <v>40447.169538362286</v>
      </c>
      <c r="AF22" s="653">
        <v>41558.162850188266</v>
      </c>
      <c r="AG22" s="653">
        <v>42686.955956779595</v>
      </c>
      <c r="AH22" s="653">
        <v>43831.988358683986</v>
      </c>
      <c r="AI22" s="653">
        <v>45008.57115058104</v>
      </c>
      <c r="AJ22" s="653">
        <v>46200.177821388803</v>
      </c>
      <c r="AK22" s="653">
        <v>47414.326126852829</v>
      </c>
      <c r="AL22" s="653">
        <v>48858.272492836739</v>
      </c>
      <c r="AM22" s="653">
        <v>50200.529605022697</v>
      </c>
      <c r="AN22" s="653">
        <v>51527.461693485493</v>
      </c>
    </row>
    <row r="23" spans="1:42">
      <c r="A23" s="17">
        <v>3</v>
      </c>
      <c r="B23" s="653">
        <v>11583.07</v>
      </c>
      <c r="C23" s="653">
        <v>11941.392097126802</v>
      </c>
      <c r="D23" s="653">
        <v>11837.717000000001</v>
      </c>
      <c r="E23" s="653">
        <v>12473.308000000001</v>
      </c>
      <c r="F23" s="653">
        <v>12503.808999999999</v>
      </c>
      <c r="G23" s="653">
        <v>12904.838</v>
      </c>
      <c r="H23" s="653">
        <v>12941.254000000001</v>
      </c>
      <c r="I23" s="653">
        <v>14519.24633671976</v>
      </c>
      <c r="J23" s="653">
        <v>15258.396555901021</v>
      </c>
      <c r="K23" s="653">
        <v>15958.904809259144</v>
      </c>
      <c r="L23" s="653">
        <v>16702.978767545294</v>
      </c>
      <c r="M23" s="653">
        <v>17485.244211218887</v>
      </c>
      <c r="N23" s="653">
        <v>18296.856717960163</v>
      </c>
      <c r="O23" s="653">
        <v>19184.189755389893</v>
      </c>
      <c r="P23" s="653">
        <v>20086.787969991041</v>
      </c>
      <c r="Q23" s="653">
        <v>20785.254470048993</v>
      </c>
      <c r="R23" s="653">
        <v>21506.194450303952</v>
      </c>
      <c r="S23" s="653">
        <v>22215.779870046634</v>
      </c>
      <c r="T23" s="653">
        <v>22919.626195375429</v>
      </c>
      <c r="U23" s="653">
        <v>23691.012767183969</v>
      </c>
      <c r="V23" s="653">
        <v>24473.514417515846</v>
      </c>
      <c r="W23" s="653">
        <v>25260.874535182516</v>
      </c>
      <c r="X23" s="653">
        <v>26036.135906708791</v>
      </c>
      <c r="Y23" s="653">
        <v>26848.905362106634</v>
      </c>
      <c r="Z23" s="653">
        <v>27684.721010185207</v>
      </c>
      <c r="AA23" s="653">
        <v>28589.500821944752</v>
      </c>
      <c r="AB23" s="653">
        <v>29535.917583223982</v>
      </c>
      <c r="AC23" s="653">
        <v>30467.095335400023</v>
      </c>
      <c r="AD23" s="653">
        <v>31397.597264893702</v>
      </c>
      <c r="AE23" s="653">
        <v>32241.60397151066</v>
      </c>
      <c r="AF23" s="653">
        <v>33103.189202668487</v>
      </c>
      <c r="AG23" s="653">
        <v>33975.616655659425</v>
      </c>
      <c r="AH23" s="653">
        <v>34877.177031316947</v>
      </c>
      <c r="AI23" s="653">
        <v>35822.918692146057</v>
      </c>
      <c r="AJ23" s="653">
        <v>36805.819918043686</v>
      </c>
      <c r="AK23" s="653">
        <v>37769.393021812895</v>
      </c>
      <c r="AL23" s="653">
        <v>38769.430901376385</v>
      </c>
      <c r="AM23" s="653">
        <v>39775.162357894173</v>
      </c>
      <c r="AN23" s="653">
        <v>40804.117681827942</v>
      </c>
    </row>
    <row r="24" spans="1:42">
      <c r="A24" s="17">
        <v>4</v>
      </c>
      <c r="B24" s="653">
        <v>4708.8805344847715</v>
      </c>
      <c r="C24" s="653">
        <v>4839.7</v>
      </c>
      <c r="D24" s="653">
        <v>4922.1350694333478</v>
      </c>
      <c r="E24" s="653">
        <v>4623.0210333312516</v>
      </c>
      <c r="F24" s="653">
        <v>5024.333333333333</v>
      </c>
      <c r="G24" s="653">
        <v>4836.6003013476793</v>
      </c>
      <c r="H24" s="653">
        <v>4989.3741497728297</v>
      </c>
      <c r="I24" s="653">
        <v>5114.2601233893874</v>
      </c>
      <c r="J24" s="653">
        <v>5850.1922131970432</v>
      </c>
      <c r="K24" s="653">
        <v>6601.4932065584571</v>
      </c>
      <c r="L24" s="653">
        <v>6811.9035137363771</v>
      </c>
      <c r="M24" s="653">
        <v>7001.4820360037893</v>
      </c>
      <c r="N24" s="653">
        <v>7287.4798523492655</v>
      </c>
      <c r="O24" s="653">
        <v>7527.257599603764</v>
      </c>
      <c r="P24" s="653">
        <v>7811.8464938626439</v>
      </c>
      <c r="Q24" s="653">
        <v>8004.4588496724409</v>
      </c>
      <c r="R24" s="653">
        <v>8224.2512550884785</v>
      </c>
      <c r="S24" s="653">
        <v>8491.4702556315096</v>
      </c>
      <c r="T24" s="653">
        <v>8832.0962272009583</v>
      </c>
      <c r="U24" s="653">
        <v>9047.1005946750465</v>
      </c>
      <c r="V24" s="653">
        <v>9281.6804493703294</v>
      </c>
      <c r="W24" s="653">
        <v>9562.215634219021</v>
      </c>
      <c r="X24" s="653">
        <v>9767.072858105701</v>
      </c>
      <c r="Y24" s="653">
        <v>10002.980684202032</v>
      </c>
      <c r="Z24" s="653">
        <v>10381.079156150783</v>
      </c>
      <c r="AA24" s="653">
        <v>10650.532055061372</v>
      </c>
      <c r="AB24" s="653">
        <v>10948.775856384696</v>
      </c>
      <c r="AC24" s="653">
        <v>11230.319206182307</v>
      </c>
      <c r="AD24" s="653">
        <v>11564.627528541272</v>
      </c>
      <c r="AE24" s="653">
        <v>11853.729379155524</v>
      </c>
      <c r="AF24" s="653">
        <v>12111.196818845239</v>
      </c>
      <c r="AG24" s="653">
        <v>12397.752554892511</v>
      </c>
      <c r="AH24" s="653">
        <v>12662.944938002729</v>
      </c>
      <c r="AI24" s="653">
        <v>12929.997512162046</v>
      </c>
      <c r="AJ24" s="653">
        <v>13195.966494746783</v>
      </c>
      <c r="AK24" s="653">
        <v>13476.628240447344</v>
      </c>
      <c r="AL24" s="653">
        <v>13743.21094004413</v>
      </c>
      <c r="AM24" s="653">
        <v>14015.202642784367</v>
      </c>
      <c r="AN24" s="653">
        <v>14320.159180133749</v>
      </c>
    </row>
    <row r="25" spans="1:42">
      <c r="A25" s="113">
        <v>5</v>
      </c>
      <c r="B25" s="653">
        <v>996</v>
      </c>
      <c r="C25" s="653">
        <v>1074</v>
      </c>
      <c r="D25" s="653">
        <v>1215</v>
      </c>
      <c r="E25" s="653">
        <v>1214</v>
      </c>
      <c r="F25" s="653">
        <v>1278</v>
      </c>
      <c r="G25" s="653">
        <v>1536</v>
      </c>
      <c r="H25" s="653">
        <v>1717</v>
      </c>
      <c r="I25" s="653">
        <v>1743</v>
      </c>
      <c r="J25" s="653">
        <v>1784</v>
      </c>
      <c r="K25" s="653">
        <v>1890</v>
      </c>
      <c r="L25" s="653">
        <v>2003</v>
      </c>
      <c r="M25" s="653">
        <v>2125</v>
      </c>
      <c r="N25" s="653">
        <v>2254</v>
      </c>
      <c r="O25" s="653">
        <v>2391</v>
      </c>
      <c r="P25" s="653">
        <v>2537</v>
      </c>
      <c r="Q25" s="653">
        <v>2693</v>
      </c>
      <c r="R25" s="653">
        <v>2859</v>
      </c>
      <c r="S25" s="653">
        <v>3035</v>
      </c>
      <c r="T25" s="653">
        <v>3223</v>
      </c>
      <c r="U25" s="653">
        <v>3423</v>
      </c>
      <c r="V25" s="653">
        <v>3635</v>
      </c>
      <c r="W25" s="653">
        <v>3862</v>
      </c>
      <c r="X25" s="653">
        <v>4104</v>
      </c>
      <c r="Y25" s="653">
        <v>4361</v>
      </c>
      <c r="Z25" s="653">
        <v>4635</v>
      </c>
      <c r="AA25" s="653">
        <v>4871</v>
      </c>
      <c r="AB25" s="653">
        <v>4871</v>
      </c>
      <c r="AC25" s="653">
        <v>4871</v>
      </c>
      <c r="AD25" s="653">
        <v>4871</v>
      </c>
      <c r="AE25" s="653">
        <v>4871</v>
      </c>
      <c r="AF25" s="653">
        <v>4871</v>
      </c>
      <c r="AG25" s="653">
        <v>4871</v>
      </c>
      <c r="AH25" s="653">
        <v>4871</v>
      </c>
      <c r="AI25" s="653">
        <v>4871</v>
      </c>
      <c r="AJ25" s="653">
        <v>4871</v>
      </c>
      <c r="AK25" s="653">
        <v>4871</v>
      </c>
      <c r="AL25" s="653">
        <v>4871</v>
      </c>
      <c r="AM25" s="653">
        <v>4871</v>
      </c>
      <c r="AN25" s="653">
        <v>4871</v>
      </c>
      <c r="AO25" s="24"/>
    </row>
    <row r="26" spans="1:42">
      <c r="A26" s="17">
        <v>6</v>
      </c>
      <c r="B26" s="653">
        <v>688.62358438267211</v>
      </c>
      <c r="C26" s="653">
        <v>715.18527929416064</v>
      </c>
      <c r="D26" s="653">
        <v>718.77254252373928</v>
      </c>
      <c r="E26" s="653">
        <v>807.39917937395808</v>
      </c>
      <c r="F26" s="653">
        <v>798</v>
      </c>
      <c r="G26" s="653">
        <v>861.87909852043731</v>
      </c>
      <c r="H26" s="653">
        <v>969.22078604005287</v>
      </c>
      <c r="I26" s="653">
        <v>1016.1702431277995</v>
      </c>
      <c r="J26" s="653">
        <v>1067.0194914386193</v>
      </c>
      <c r="K26" s="653">
        <v>1119.0088230114286</v>
      </c>
      <c r="L26" s="653">
        <v>1163.6708059192297</v>
      </c>
      <c r="M26" s="653">
        <v>1208.367270188882</v>
      </c>
      <c r="N26" s="653">
        <v>1254.8267037880471</v>
      </c>
      <c r="O26" s="653">
        <v>1300.1099351560974</v>
      </c>
      <c r="P26" s="653">
        <v>1346.4335653482528</v>
      </c>
      <c r="Q26" s="653">
        <v>1393.2282225237775</v>
      </c>
      <c r="R26" s="653">
        <v>1441.3272051141</v>
      </c>
      <c r="S26" s="653">
        <v>1487.2024381062661</v>
      </c>
      <c r="T26" s="653">
        <v>1534.3331783980041</v>
      </c>
      <c r="U26" s="653">
        <v>1581.8739430380645</v>
      </c>
      <c r="V26" s="653">
        <v>1630.6033638183146</v>
      </c>
      <c r="W26" s="653">
        <v>1677.2816069156195</v>
      </c>
      <c r="X26" s="653">
        <v>1725.5419250273162</v>
      </c>
      <c r="Y26" s="653">
        <v>1774.1698992224524</v>
      </c>
      <c r="Z26" s="653">
        <v>1824.0113961022751</v>
      </c>
      <c r="AA26" s="653">
        <v>1871.0384543782864</v>
      </c>
      <c r="AB26" s="653">
        <v>1919.1080105482333</v>
      </c>
      <c r="AC26" s="653">
        <v>1966.8175832137686</v>
      </c>
      <c r="AD26" s="653">
        <v>2015.5302957449337</v>
      </c>
      <c r="AE26" s="653">
        <v>2060.7983320896396</v>
      </c>
      <c r="AF26" s="653">
        <v>2106.8879568971784</v>
      </c>
      <c r="AG26" s="653">
        <v>2152.2550836858563</v>
      </c>
      <c r="AH26" s="653">
        <v>2198.3921986319351</v>
      </c>
      <c r="AI26" s="653">
        <v>2240.4549478940298</v>
      </c>
      <c r="AJ26" s="653">
        <v>2283.1049656346472</v>
      </c>
      <c r="AK26" s="653">
        <v>2324.6676895484088</v>
      </c>
      <c r="AL26" s="653">
        <v>2366.7595238596709</v>
      </c>
      <c r="AM26" s="653">
        <v>2404.1759989098373</v>
      </c>
      <c r="AN26" s="653">
        <v>2441.9479275440776</v>
      </c>
    </row>
    <row r="27" spans="1:42">
      <c r="A27" s="113">
        <v>7</v>
      </c>
      <c r="B27" s="653">
        <v>0</v>
      </c>
      <c r="C27" s="653">
        <v>1356</v>
      </c>
      <c r="D27" s="653">
        <v>1572.0887103567179</v>
      </c>
      <c r="E27" s="653">
        <v>1587.2587592727532</v>
      </c>
      <c r="F27" s="653">
        <v>1938.0977901271897</v>
      </c>
      <c r="G27" s="653">
        <v>2169</v>
      </c>
      <c r="H27" s="653">
        <v>2246</v>
      </c>
      <c r="I27" s="653">
        <v>2336</v>
      </c>
      <c r="J27" s="653">
        <v>2424.8902575915795</v>
      </c>
      <c r="K27" s="653">
        <v>2514.7726465140222</v>
      </c>
      <c r="L27" s="653">
        <v>2608.5622117421053</v>
      </c>
      <c r="M27" s="653">
        <v>2705.048277699093</v>
      </c>
      <c r="N27" s="653">
        <v>2810.1025308347216</v>
      </c>
      <c r="O27" s="653">
        <v>2907.4623419426762</v>
      </c>
      <c r="P27" s="653">
        <v>3014.1669236496764</v>
      </c>
      <c r="Q27" s="653">
        <v>3124.0394786546767</v>
      </c>
      <c r="R27" s="653">
        <v>3243.1693984775443</v>
      </c>
      <c r="S27" s="653">
        <v>3354.1372927911652</v>
      </c>
      <c r="T27" s="653">
        <v>3476.8535358654644</v>
      </c>
      <c r="U27" s="653">
        <v>3609.3977477783474</v>
      </c>
      <c r="V27" s="653">
        <v>3754.0514496055966</v>
      </c>
      <c r="W27" s="653">
        <v>3889.5689504621369</v>
      </c>
      <c r="X27" s="653">
        <v>4037.1391293989454</v>
      </c>
      <c r="Y27" s="653">
        <v>4189.5661025914487</v>
      </c>
      <c r="Z27" s="653">
        <v>4351.8884550575285</v>
      </c>
      <c r="AA27" s="653">
        <v>4498.8877597399451</v>
      </c>
      <c r="AB27" s="653">
        <v>4655.3139520005125</v>
      </c>
      <c r="AC27" s="653">
        <v>4812.5316716410098</v>
      </c>
      <c r="AD27" s="653">
        <v>4979.5056567056199</v>
      </c>
      <c r="AE27" s="653">
        <v>5127.3236094638887</v>
      </c>
      <c r="AF27" s="653">
        <v>5284.3312657028982</v>
      </c>
      <c r="AG27" s="653">
        <v>5440.6331120809755</v>
      </c>
      <c r="AH27" s="653">
        <v>5606.3342731642479</v>
      </c>
      <c r="AI27" s="653">
        <v>5748.8702216638767</v>
      </c>
      <c r="AJ27" s="653">
        <v>5900.2031895568134</v>
      </c>
      <c r="AK27" s="653">
        <v>6049.2164507697807</v>
      </c>
      <c r="AL27" s="653">
        <v>6207.139076901125</v>
      </c>
      <c r="AM27" s="653">
        <v>6337.9573083786654</v>
      </c>
      <c r="AN27" s="653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2602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2603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19" t="s">
        <v>2605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6" t="s">
        <v>2606</v>
      </c>
    </row>
    <row r="41" spans="1:42" ht="14.45">
      <c r="A41" s="616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6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4.45">
      <c r="A43" s="616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4.45">
      <c r="A44" s="616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4.45">
      <c r="A45" s="616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4.45">
      <c r="A46" s="616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4.45">
      <c r="A47" s="616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4.45">
      <c r="A48" s="616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4.45">
      <c r="A49" s="617" t="s">
        <v>97</v>
      </c>
      <c r="B49" s="618">
        <f>SUM(B42:B48)</f>
        <v>0</v>
      </c>
      <c r="C49" s="618">
        <f t="shared" ref="C49:AN49" si="16">SUM(C42:C48)</f>
        <v>0</v>
      </c>
      <c r="D49" s="618">
        <f t="shared" si="16"/>
        <v>0</v>
      </c>
      <c r="E49" s="618">
        <f t="shared" si="16"/>
        <v>0.41068383249999985</v>
      </c>
      <c r="F49" s="618">
        <f t="shared" si="16"/>
        <v>1.9338574692499999</v>
      </c>
      <c r="G49" s="618">
        <f t="shared" si="16"/>
        <v>12.092284814600003</v>
      </c>
      <c r="H49" s="618">
        <f t="shared" si="16"/>
        <v>35.86507435275</v>
      </c>
      <c r="I49" s="618">
        <f t="shared" si="16"/>
        <v>71.481550355805425</v>
      </c>
      <c r="J49" s="618">
        <f t="shared" si="16"/>
        <v>119.8995683352576</v>
      </c>
      <c r="K49" s="618">
        <f t="shared" si="16"/>
        <v>161.54305351175077</v>
      </c>
      <c r="L49" s="618">
        <f t="shared" si="16"/>
        <v>198.3505755723846</v>
      </c>
      <c r="M49" s="618">
        <f t="shared" si="16"/>
        <v>248.43651514952251</v>
      </c>
      <c r="N49" s="618">
        <f t="shared" si="16"/>
        <v>309.96339086760844</v>
      </c>
      <c r="O49" s="618">
        <f t="shared" si="16"/>
        <v>383.7692818872851</v>
      </c>
      <c r="P49" s="618">
        <f t="shared" si="16"/>
        <v>466.54607155433996</v>
      </c>
      <c r="Q49" s="618">
        <f t="shared" si="16"/>
        <v>560.88637511478271</v>
      </c>
      <c r="R49" s="618">
        <f t="shared" si="16"/>
        <v>665.41420770095192</v>
      </c>
      <c r="S49" s="618">
        <f t="shared" si="16"/>
        <v>778.13650432217128</v>
      </c>
      <c r="T49" s="618">
        <f t="shared" si="16"/>
        <v>903.98230976690127</v>
      </c>
      <c r="U49" s="618">
        <f t="shared" si="16"/>
        <v>1024.6104123551142</v>
      </c>
      <c r="V49" s="618">
        <f t="shared" si="16"/>
        <v>1134.853255526129</v>
      </c>
      <c r="W49" s="618">
        <f t="shared" si="16"/>
        <v>1243.6765567252228</v>
      </c>
      <c r="X49" s="618">
        <f t="shared" si="16"/>
        <v>1349.4875732996759</v>
      </c>
      <c r="Y49" s="618">
        <f t="shared" si="16"/>
        <v>1456.5148887574051</v>
      </c>
      <c r="Z49" s="618">
        <f t="shared" si="16"/>
        <v>1563.2780720657026</v>
      </c>
      <c r="AA49" s="618">
        <f t="shared" si="16"/>
        <v>1668.9504230581931</v>
      </c>
      <c r="AB49" s="618">
        <f t="shared" si="16"/>
        <v>1775.8195306238106</v>
      </c>
      <c r="AC49" s="618">
        <f t="shared" si="16"/>
        <v>1886.7118323500006</v>
      </c>
      <c r="AD49" s="618">
        <f t="shared" si="16"/>
        <v>2004.6234235767972</v>
      </c>
      <c r="AE49" s="618">
        <f t="shared" si="16"/>
        <v>2122.5731053099244</v>
      </c>
      <c r="AF49" s="618">
        <f t="shared" si="16"/>
        <v>2241.9529268274796</v>
      </c>
      <c r="AG49" s="618">
        <f t="shared" si="16"/>
        <v>2382.3807443652427</v>
      </c>
      <c r="AH49" s="618">
        <f t="shared" si="16"/>
        <v>2536.1833021766079</v>
      </c>
      <c r="AI49" s="618">
        <f t="shared" si="16"/>
        <v>2686.7166036609378</v>
      </c>
      <c r="AJ49" s="618">
        <f t="shared" si="16"/>
        <v>2843.41461525874</v>
      </c>
      <c r="AK49" s="618">
        <f t="shared" si="16"/>
        <v>3026.0545721328576</v>
      </c>
      <c r="AL49" s="618">
        <f t="shared" si="16"/>
        <v>3253.6386306328586</v>
      </c>
      <c r="AM49" s="618">
        <f t="shared" si="16"/>
        <v>3499.5777726328588</v>
      </c>
      <c r="AN49" s="618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1" sqref="A2:C51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 t="s">
        <v>34</v>
      </c>
      <c r="B1" s="2" t="s">
        <v>35</v>
      </c>
    </row>
    <row r="2" spans="1:5" ht="13.9" thickTop="1">
      <c r="B2" s="3"/>
      <c r="E2" s="597"/>
    </row>
    <row r="3" spans="1:5">
      <c r="E3" s="597"/>
    </row>
    <row r="4" spans="1:5">
      <c r="B4" s="3"/>
      <c r="E4" s="604"/>
    </row>
    <row r="5" spans="1:5">
      <c r="E5" s="604"/>
    </row>
    <row r="6" spans="1:5">
      <c r="E6" s="604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138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6">
        <f>E19+E31+E43+E55</f>
        <v>0.70983861065819132</v>
      </c>
      <c r="F2" s="636">
        <f t="shared" ref="F2:AN2" si="1">F19+F31+F43+F55</f>
        <v>4.4388450636569177</v>
      </c>
      <c r="G2" s="636">
        <f t="shared" si="1"/>
        <v>24.431809736596122</v>
      </c>
      <c r="H2" s="636">
        <f t="shared" si="1"/>
        <v>70.953679247562974</v>
      </c>
      <c r="I2" s="636">
        <f t="shared" si="1"/>
        <v>138.15150094079453</v>
      </c>
      <c r="J2" s="636">
        <f t="shared" si="1"/>
        <v>225.73867317468006</v>
      </c>
      <c r="K2" s="636">
        <f t="shared" si="1"/>
        <v>296.547914215677</v>
      </c>
      <c r="L2" s="636">
        <f t="shared" si="1"/>
        <v>346.17028585053765</v>
      </c>
      <c r="M2" s="636">
        <f t="shared" si="1"/>
        <v>433.01779386993707</v>
      </c>
      <c r="N2" s="636">
        <f t="shared" si="1"/>
        <v>562.7132136644052</v>
      </c>
      <c r="O2" s="636">
        <f t="shared" si="1"/>
        <v>714.05546329887261</v>
      </c>
      <c r="P2" s="636">
        <f t="shared" si="1"/>
        <v>880.32877823056401</v>
      </c>
      <c r="Q2" s="636">
        <f t="shared" si="1"/>
        <v>1059.2932661405478</v>
      </c>
      <c r="R2" s="636">
        <f t="shared" si="1"/>
        <v>1241.4809004905339</v>
      </c>
      <c r="S2" s="636">
        <f t="shared" si="1"/>
        <v>1425.7169772148327</v>
      </c>
      <c r="T2" s="636">
        <f t="shared" si="1"/>
        <v>1618.4974558003214</v>
      </c>
      <c r="U2" s="636">
        <f t="shared" si="1"/>
        <v>1791.8202489519444</v>
      </c>
      <c r="V2" s="636">
        <f t="shared" si="1"/>
        <v>1943.0730434696768</v>
      </c>
      <c r="W2" s="636">
        <f t="shared" si="1"/>
        <v>2095.139858280002</v>
      </c>
      <c r="X2" s="636">
        <f t="shared" si="1"/>
        <v>2247.9842456453043</v>
      </c>
      <c r="Y2" s="636">
        <f t="shared" si="1"/>
        <v>2406.0781751769409</v>
      </c>
      <c r="Z2" s="636">
        <f t="shared" si="1"/>
        <v>2571.0608041143764</v>
      </c>
      <c r="AA2" s="636">
        <f t="shared" si="1"/>
        <v>2739.2522541082167</v>
      </c>
      <c r="AB2" s="636">
        <f t="shared" si="1"/>
        <v>2914.0386665633555</v>
      </c>
      <c r="AC2" s="636">
        <f t="shared" si="1"/>
        <v>3096.7253063360549</v>
      </c>
      <c r="AD2" s="636">
        <f t="shared" si="1"/>
        <v>3296.4508203223113</v>
      </c>
      <c r="AE2" s="636">
        <f t="shared" si="1"/>
        <v>3493.0358189086223</v>
      </c>
      <c r="AF2" s="636">
        <f t="shared" si="1"/>
        <v>3683.5384841537184</v>
      </c>
      <c r="AG2" s="636">
        <f t="shared" si="1"/>
        <v>3893.1982837823398</v>
      </c>
      <c r="AH2" s="636">
        <f t="shared" si="1"/>
        <v>4115.5397986007865</v>
      </c>
      <c r="AI2" s="636">
        <f t="shared" si="1"/>
        <v>4346.3583728102749</v>
      </c>
      <c r="AJ2" s="636">
        <f t="shared" si="1"/>
        <v>4588.1506508394677</v>
      </c>
      <c r="AK2" s="636">
        <f t="shared" si="1"/>
        <v>4843.8211309287781</v>
      </c>
      <c r="AL2" s="636">
        <f t="shared" si="1"/>
        <v>5114.8087263267207</v>
      </c>
      <c r="AM2" s="636">
        <f t="shared" si="1"/>
        <v>5402.0456529379444</v>
      </c>
      <c r="AN2" s="636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6">
        <f t="shared" si="2"/>
        <v>0.70012744047599773</v>
      </c>
      <c r="F3" s="636">
        <f t="shared" ref="F3:AN7" si="3">F20+F32+F44+F56</f>
        <v>1.780773436612709</v>
      </c>
      <c r="G3" s="636">
        <f t="shared" si="3"/>
        <v>5.5780095062822674</v>
      </c>
      <c r="H3" s="636">
        <f t="shared" si="3"/>
        <v>18.55700339175479</v>
      </c>
      <c r="I3" s="636">
        <f t="shared" si="3"/>
        <v>46.167958278118299</v>
      </c>
      <c r="J3" s="636">
        <f t="shared" si="3"/>
        <v>86.152023624688553</v>
      </c>
      <c r="K3" s="636">
        <f t="shared" si="3"/>
        <v>119.76098430932448</v>
      </c>
      <c r="L3" s="636">
        <f t="shared" si="3"/>
        <v>147.31321053277</v>
      </c>
      <c r="M3" s="636">
        <f t="shared" si="3"/>
        <v>190.29587416015164</v>
      </c>
      <c r="N3" s="636">
        <f t="shared" si="3"/>
        <v>249.04328536407291</v>
      </c>
      <c r="O3" s="636">
        <f t="shared" si="3"/>
        <v>320.0590139243472</v>
      </c>
      <c r="P3" s="636">
        <f t="shared" si="3"/>
        <v>400.20978334682479</v>
      </c>
      <c r="Q3" s="636">
        <f t="shared" si="3"/>
        <v>487.54445087768283</v>
      </c>
      <c r="R3" s="636">
        <f t="shared" si="3"/>
        <v>582.44356110083379</v>
      </c>
      <c r="S3" s="636">
        <f t="shared" si="3"/>
        <v>683.53312262617897</v>
      </c>
      <c r="T3" s="636">
        <f t="shared" si="3"/>
        <v>791.19223822629567</v>
      </c>
      <c r="U3" s="636">
        <f t="shared" si="3"/>
        <v>893.55790609832923</v>
      </c>
      <c r="V3" s="636">
        <f t="shared" si="3"/>
        <v>988.18923328513677</v>
      </c>
      <c r="W3" s="636">
        <f t="shared" si="3"/>
        <v>1079.7482931196714</v>
      </c>
      <c r="X3" s="636">
        <f t="shared" si="3"/>
        <v>1169.2058379870762</v>
      </c>
      <c r="Y3" s="636">
        <f t="shared" si="3"/>
        <v>1259.0200273979513</v>
      </c>
      <c r="Z3" s="636">
        <f t="shared" si="3"/>
        <v>1347.4050969712393</v>
      </c>
      <c r="AA3" s="636">
        <f t="shared" si="3"/>
        <v>1435.9851557557824</v>
      </c>
      <c r="AB3" s="636">
        <f t="shared" si="3"/>
        <v>1526.1286009933576</v>
      </c>
      <c r="AC3" s="636">
        <f t="shared" si="3"/>
        <v>1620.0398691318287</v>
      </c>
      <c r="AD3" s="636">
        <f t="shared" si="3"/>
        <v>1718.5948196926911</v>
      </c>
      <c r="AE3" s="636">
        <f t="shared" si="3"/>
        <v>1814.8700944441837</v>
      </c>
      <c r="AF3" s="636">
        <f t="shared" si="3"/>
        <v>1913.4380856851967</v>
      </c>
      <c r="AG3" s="636">
        <f t="shared" si="3"/>
        <v>2031.1207104656983</v>
      </c>
      <c r="AH3" s="636">
        <f t="shared" si="3"/>
        <v>2160.5105725145672</v>
      </c>
      <c r="AI3" s="636">
        <f t="shared" si="3"/>
        <v>2286.9462862129371</v>
      </c>
      <c r="AJ3" s="636">
        <f t="shared" si="3"/>
        <v>2419.1932621946162</v>
      </c>
      <c r="AK3" s="636">
        <f t="shared" si="3"/>
        <v>2574.2433954709513</v>
      </c>
      <c r="AL3" s="636">
        <f t="shared" si="3"/>
        <v>2768.2955006816592</v>
      </c>
      <c r="AM3" s="636">
        <f t="shared" si="3"/>
        <v>2977.5594244474419</v>
      </c>
      <c r="AN3" s="636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6">
        <f t="shared" si="0"/>
        <v>0.14720892604048189</v>
      </c>
      <c r="F4" s="636">
        <f t="shared" si="3"/>
        <v>1.3339766745905934</v>
      </c>
      <c r="G4" s="636">
        <f t="shared" si="3"/>
        <v>6.8878423362633212</v>
      </c>
      <c r="H4" s="636">
        <f t="shared" si="3"/>
        <v>21.287798314906794</v>
      </c>
      <c r="I4" s="636">
        <f t="shared" si="3"/>
        <v>47.868390859078005</v>
      </c>
      <c r="J4" s="636">
        <f t="shared" si="3"/>
        <v>86.345267983997545</v>
      </c>
      <c r="K4" s="636">
        <f t="shared" si="3"/>
        <v>112.25136441045886</v>
      </c>
      <c r="L4" s="636">
        <f t="shared" si="3"/>
        <v>120.84446603703057</v>
      </c>
      <c r="M4" s="636">
        <f t="shared" si="3"/>
        <v>139.2084149646935</v>
      </c>
      <c r="N4" s="636">
        <f t="shared" si="3"/>
        <v>170.08099709231755</v>
      </c>
      <c r="O4" s="636">
        <f t="shared" si="3"/>
        <v>205.72198965384135</v>
      </c>
      <c r="P4" s="636">
        <f t="shared" si="3"/>
        <v>244.87008537748503</v>
      </c>
      <c r="Q4" s="636">
        <f t="shared" si="3"/>
        <v>286.88312716298356</v>
      </c>
      <c r="R4" s="636">
        <f t="shared" si="3"/>
        <v>330.96018524453621</v>
      </c>
      <c r="S4" s="636">
        <f t="shared" si="3"/>
        <v>377.43279032900108</v>
      </c>
      <c r="T4" s="636">
        <f t="shared" si="3"/>
        <v>428.38557598007475</v>
      </c>
      <c r="U4" s="636">
        <f t="shared" si="3"/>
        <v>474.7061867928374</v>
      </c>
      <c r="V4" s="636">
        <f t="shared" si="3"/>
        <v>514.01452206351814</v>
      </c>
      <c r="W4" s="636">
        <f t="shared" si="3"/>
        <v>555.20186598252326</v>
      </c>
      <c r="X4" s="636">
        <f t="shared" si="3"/>
        <v>598.4571529330741</v>
      </c>
      <c r="Y4" s="636">
        <f t="shared" si="3"/>
        <v>644.67887163056173</v>
      </c>
      <c r="Z4" s="636">
        <f t="shared" si="3"/>
        <v>694.55285081954651</v>
      </c>
      <c r="AA4" s="636">
        <f t="shared" si="3"/>
        <v>748.56200894897017</v>
      </c>
      <c r="AB4" s="636">
        <f t="shared" si="3"/>
        <v>813.495868339759</v>
      </c>
      <c r="AC4" s="636">
        <f t="shared" si="3"/>
        <v>891.95674214081907</v>
      </c>
      <c r="AD4" s="636">
        <f t="shared" si="3"/>
        <v>973.31917506002753</v>
      </c>
      <c r="AE4" s="636">
        <f t="shared" si="3"/>
        <v>1049.3678836320357</v>
      </c>
      <c r="AF4" s="636">
        <f t="shared" si="3"/>
        <v>1125.1658918012999</v>
      </c>
      <c r="AG4" s="636">
        <f t="shared" si="3"/>
        <v>1206.7732923632366</v>
      </c>
      <c r="AH4" s="636">
        <f t="shared" si="3"/>
        <v>1295.3674936672116</v>
      </c>
      <c r="AI4" s="636">
        <f t="shared" si="3"/>
        <v>1391.5260191021098</v>
      </c>
      <c r="AJ4" s="636">
        <f t="shared" si="3"/>
        <v>1495.6913351540577</v>
      </c>
      <c r="AK4" s="636">
        <f t="shared" si="3"/>
        <v>1607.5447909854745</v>
      </c>
      <c r="AL4" s="636">
        <f t="shared" si="3"/>
        <v>1727.7520641726899</v>
      </c>
      <c r="AM4" s="636">
        <f t="shared" si="3"/>
        <v>1857.7546760854573</v>
      </c>
      <c r="AN4" s="636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6">
        <f t="shared" si="0"/>
        <v>5.39056002371366E-2</v>
      </c>
      <c r="F5" s="636">
        <f t="shared" si="3"/>
        <v>0.95431470540109065</v>
      </c>
      <c r="G5" s="636">
        <f t="shared" si="3"/>
        <v>3.4785753815268867</v>
      </c>
      <c r="H5" s="636">
        <f t="shared" si="3"/>
        <v>7.5994956607932309</v>
      </c>
      <c r="I5" s="636">
        <f t="shared" si="3"/>
        <v>13.98044788414993</v>
      </c>
      <c r="J5" s="636">
        <f t="shared" si="3"/>
        <v>22.510358338060136</v>
      </c>
      <c r="K5" s="636">
        <f t="shared" si="3"/>
        <v>28.975285930671564</v>
      </c>
      <c r="L5" s="636">
        <f t="shared" si="3"/>
        <v>31.77476521808504</v>
      </c>
      <c r="M5" s="636">
        <f t="shared" si="3"/>
        <v>37.02239458958995</v>
      </c>
      <c r="N5" s="636">
        <f t="shared" si="3"/>
        <v>47.96308453461355</v>
      </c>
      <c r="O5" s="636">
        <f t="shared" si="3"/>
        <v>62.079964671563218</v>
      </c>
      <c r="P5" s="636">
        <f t="shared" si="3"/>
        <v>76.302587072470374</v>
      </c>
      <c r="Q5" s="636">
        <f t="shared" si="3"/>
        <v>90.848606053779505</v>
      </c>
      <c r="R5" s="636">
        <f t="shared" si="3"/>
        <v>107.37700982712364</v>
      </c>
      <c r="S5" s="636">
        <f t="shared" si="3"/>
        <v>124.09775654819579</v>
      </c>
      <c r="T5" s="636">
        <f t="shared" si="3"/>
        <v>141.81162746510577</v>
      </c>
      <c r="U5" s="636">
        <f t="shared" si="3"/>
        <v>157.98364005509984</v>
      </c>
      <c r="V5" s="636">
        <f t="shared" si="3"/>
        <v>171.86889509358144</v>
      </c>
      <c r="W5" s="636">
        <f t="shared" si="3"/>
        <v>185.99345796864162</v>
      </c>
      <c r="X5" s="636">
        <f t="shared" si="3"/>
        <v>198.75796403406673</v>
      </c>
      <c r="Y5" s="636">
        <f t="shared" si="3"/>
        <v>211.98486795230471</v>
      </c>
      <c r="Z5" s="636">
        <f t="shared" si="3"/>
        <v>225.85316318105384</v>
      </c>
      <c r="AA5" s="636">
        <f t="shared" si="3"/>
        <v>239.74792106947331</v>
      </c>
      <c r="AB5" s="636">
        <f t="shared" si="3"/>
        <v>253.83129104664516</v>
      </c>
      <c r="AC5" s="636">
        <f t="shared" si="3"/>
        <v>269.10433715221558</v>
      </c>
      <c r="AD5" s="636">
        <f t="shared" si="3"/>
        <v>285.44926964476178</v>
      </c>
      <c r="AE5" s="636">
        <f t="shared" si="3"/>
        <v>300.1294487042785</v>
      </c>
      <c r="AF5" s="636">
        <f t="shared" si="3"/>
        <v>314.61116859734045</v>
      </c>
      <c r="AG5" s="636">
        <f t="shared" si="3"/>
        <v>330.59888722371937</v>
      </c>
      <c r="AH5" s="636">
        <f t="shared" si="3"/>
        <v>347.62449235640406</v>
      </c>
      <c r="AI5" s="636">
        <f t="shared" si="3"/>
        <v>365.73853594515816</v>
      </c>
      <c r="AJ5" s="636">
        <f t="shared" si="3"/>
        <v>384.88494611654346</v>
      </c>
      <c r="AK5" s="636">
        <f t="shared" si="3"/>
        <v>405.19569226442655</v>
      </c>
      <c r="AL5" s="636">
        <f t="shared" si="3"/>
        <v>426.70326625268211</v>
      </c>
      <c r="AM5" s="636">
        <f t="shared" si="3"/>
        <v>449.53080624422529</v>
      </c>
      <c r="AN5" s="636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6">
        <f t="shared" si="0"/>
        <v>0</v>
      </c>
      <c r="F6" s="636">
        <f t="shared" si="3"/>
        <v>0</v>
      </c>
      <c r="G6" s="636">
        <f t="shared" si="3"/>
        <v>0</v>
      </c>
      <c r="H6" s="636">
        <f t="shared" si="3"/>
        <v>0</v>
      </c>
      <c r="I6" s="636">
        <f t="shared" si="3"/>
        <v>0</v>
      </c>
      <c r="J6" s="636">
        <f t="shared" si="3"/>
        <v>0</v>
      </c>
      <c r="K6" s="636">
        <f t="shared" si="3"/>
        <v>0</v>
      </c>
      <c r="L6" s="636">
        <f t="shared" si="3"/>
        <v>0</v>
      </c>
      <c r="M6" s="636">
        <f t="shared" si="3"/>
        <v>0</v>
      </c>
      <c r="N6" s="636">
        <f t="shared" si="3"/>
        <v>0</v>
      </c>
      <c r="O6" s="636">
        <f t="shared" si="3"/>
        <v>0</v>
      </c>
      <c r="P6" s="636">
        <f t="shared" si="3"/>
        <v>0</v>
      </c>
      <c r="Q6" s="636">
        <f t="shared" si="3"/>
        <v>0</v>
      </c>
      <c r="R6" s="636">
        <f t="shared" si="3"/>
        <v>0</v>
      </c>
      <c r="S6" s="636">
        <f t="shared" si="3"/>
        <v>0</v>
      </c>
      <c r="T6" s="636">
        <f t="shared" si="3"/>
        <v>0</v>
      </c>
      <c r="U6" s="636">
        <f t="shared" si="3"/>
        <v>0</v>
      </c>
      <c r="V6" s="636">
        <f t="shared" si="3"/>
        <v>0</v>
      </c>
      <c r="W6" s="636">
        <f t="shared" si="3"/>
        <v>0</v>
      </c>
      <c r="X6" s="636">
        <f t="shared" si="3"/>
        <v>0</v>
      </c>
      <c r="Y6" s="636">
        <f t="shared" si="3"/>
        <v>0</v>
      </c>
      <c r="Z6" s="636">
        <f t="shared" si="3"/>
        <v>0</v>
      </c>
      <c r="AA6" s="636">
        <f t="shared" si="3"/>
        <v>0</v>
      </c>
      <c r="AB6" s="636">
        <f t="shared" si="3"/>
        <v>0</v>
      </c>
      <c r="AC6" s="636">
        <f t="shared" si="3"/>
        <v>0</v>
      </c>
      <c r="AD6" s="636">
        <f t="shared" si="3"/>
        <v>0</v>
      </c>
      <c r="AE6" s="636">
        <f t="shared" si="3"/>
        <v>0</v>
      </c>
      <c r="AF6" s="636">
        <f t="shared" si="3"/>
        <v>0</v>
      </c>
      <c r="AG6" s="636">
        <f t="shared" si="3"/>
        <v>0</v>
      </c>
      <c r="AH6" s="636">
        <f t="shared" si="3"/>
        <v>0</v>
      </c>
      <c r="AI6" s="636">
        <f t="shared" si="3"/>
        <v>0</v>
      </c>
      <c r="AJ6" s="636">
        <f t="shared" si="3"/>
        <v>0</v>
      </c>
      <c r="AK6" s="636">
        <f t="shared" si="3"/>
        <v>0</v>
      </c>
      <c r="AL6" s="636">
        <f t="shared" si="3"/>
        <v>0</v>
      </c>
      <c r="AM6" s="636">
        <f t="shared" si="3"/>
        <v>0</v>
      </c>
      <c r="AN6" s="636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6">
        <f t="shared" si="0"/>
        <v>1.3776506037335768E-3</v>
      </c>
      <c r="F7" s="636">
        <f t="shared" si="3"/>
        <v>9.9992056056778383E-3</v>
      </c>
      <c r="G7" s="636">
        <f t="shared" si="3"/>
        <v>5.6286076865589438E-2</v>
      </c>
      <c r="H7" s="636">
        <f t="shared" si="3"/>
        <v>0.1977263213615468</v>
      </c>
      <c r="I7" s="636">
        <f t="shared" si="3"/>
        <v>0.45925472030867881</v>
      </c>
      <c r="J7" s="636">
        <f t="shared" si="3"/>
        <v>0.81230447635381775</v>
      </c>
      <c r="K7" s="636">
        <f t="shared" si="3"/>
        <v>1.0062649511729489</v>
      </c>
      <c r="L7" s="636">
        <f t="shared" si="3"/>
        <v>1.025834776680784</v>
      </c>
      <c r="M7" s="636">
        <f t="shared" si="3"/>
        <v>1.1649199226207259</v>
      </c>
      <c r="N7" s="636">
        <f t="shared" si="3"/>
        <v>1.4379936917872875</v>
      </c>
      <c r="O7" s="636">
        <f t="shared" si="3"/>
        <v>1.7674499696886508</v>
      </c>
      <c r="P7" s="636">
        <f t="shared" si="3"/>
        <v>2.1751016202766933</v>
      </c>
      <c r="Q7" s="636">
        <f t="shared" si="3"/>
        <v>2.6240320042287477</v>
      </c>
      <c r="R7" s="636">
        <f t="shared" si="3"/>
        <v>3.0792042875872516</v>
      </c>
      <c r="S7" s="636">
        <f t="shared" si="3"/>
        <v>3.5878098154797735</v>
      </c>
      <c r="T7" s="636">
        <f t="shared" si="3"/>
        <v>4.1113785407247452</v>
      </c>
      <c r="U7" s="636">
        <f t="shared" si="3"/>
        <v>4.5391194141010027</v>
      </c>
      <c r="V7" s="636">
        <f t="shared" si="3"/>
        <v>4.8918928789005234</v>
      </c>
      <c r="W7" s="636">
        <f t="shared" si="3"/>
        <v>5.259833734884932</v>
      </c>
      <c r="X7" s="636">
        <f t="shared" si="3"/>
        <v>5.6412433710056975</v>
      </c>
      <c r="Y7" s="636">
        <f t="shared" si="3"/>
        <v>6.0420919202680166</v>
      </c>
      <c r="Z7" s="636">
        <f t="shared" si="3"/>
        <v>6.4826880263971356</v>
      </c>
      <c r="AA7" s="636">
        <f t="shared" si="3"/>
        <v>6.9600854268150467</v>
      </c>
      <c r="AB7" s="636">
        <f t="shared" si="3"/>
        <v>7.4732266552174353</v>
      </c>
      <c r="AC7" s="636">
        <f t="shared" si="3"/>
        <v>8.0406479596200793</v>
      </c>
      <c r="AD7" s="636">
        <f t="shared" si="3"/>
        <v>8.6562493427711296</v>
      </c>
      <c r="AE7" s="636">
        <f t="shared" si="3"/>
        <v>9.2203244867271952</v>
      </c>
      <c r="AF7" s="636">
        <f t="shared" si="3"/>
        <v>9.7933282878563173</v>
      </c>
      <c r="AG7" s="636">
        <f t="shared" si="3"/>
        <v>10.423957506474501</v>
      </c>
      <c r="AH7" s="636">
        <f t="shared" si="3"/>
        <v>11.092403932313335</v>
      </c>
      <c r="AI7" s="636">
        <f t="shared" si="3"/>
        <v>11.813341355274522</v>
      </c>
      <c r="AJ7" s="636">
        <f t="shared" si="3"/>
        <v>12.591561499004454</v>
      </c>
      <c r="AK7" s="636">
        <f t="shared" si="3"/>
        <v>13.415223584350542</v>
      </c>
      <c r="AL7" s="636">
        <f t="shared" si="3"/>
        <v>14.295032248880089</v>
      </c>
      <c r="AM7" s="636">
        <f t="shared" si="3"/>
        <v>15.229685249299569</v>
      </c>
      <c r="AN7" s="636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6">
        <f t="shared" ref="E8:AN8" si="4">E25+E37+E49+E61</f>
        <v>3.795360056026582E-3</v>
      </c>
      <c r="F8" s="636">
        <f t="shared" si="4"/>
        <v>2.5517683740473789E-2</v>
      </c>
      <c r="G8" s="636">
        <f t="shared" si="4"/>
        <v>0.24437820994921824</v>
      </c>
      <c r="H8" s="636">
        <f t="shared" si="4"/>
        <v>0.86271473820866007</v>
      </c>
      <c r="I8" s="636">
        <f t="shared" si="4"/>
        <v>1.9054418236967514</v>
      </c>
      <c r="J8" s="636">
        <f t="shared" si="4"/>
        <v>3.3202737699309051</v>
      </c>
      <c r="K8" s="636">
        <f t="shared" si="4"/>
        <v>4.7455971769748322</v>
      </c>
      <c r="L8" s="636">
        <f t="shared" si="4"/>
        <v>6.1657333352898211</v>
      </c>
      <c r="M8" s="636">
        <f t="shared" si="4"/>
        <v>8.2358436676344251</v>
      </c>
      <c r="N8" s="636">
        <f t="shared" si="4"/>
        <v>11.055946335319359</v>
      </c>
      <c r="O8" s="636">
        <f t="shared" si="4"/>
        <v>14.262793619045977</v>
      </c>
      <c r="P8" s="636">
        <f t="shared" si="4"/>
        <v>17.668954333580736</v>
      </c>
      <c r="Q8" s="636">
        <f t="shared" si="4"/>
        <v>21.086507016656139</v>
      </c>
      <c r="R8" s="636">
        <f t="shared" si="4"/>
        <v>24.408850761458716</v>
      </c>
      <c r="S8" s="636">
        <f t="shared" si="4"/>
        <v>27.625766938499691</v>
      </c>
      <c r="T8" s="636">
        <f t="shared" si="4"/>
        <v>30.757065665882585</v>
      </c>
      <c r="U8" s="636">
        <f t="shared" si="4"/>
        <v>33.463056703893756</v>
      </c>
      <c r="V8" s="636">
        <f t="shared" si="4"/>
        <v>35.746103838670209</v>
      </c>
      <c r="W8" s="636">
        <f t="shared" si="4"/>
        <v>37.998893650107831</v>
      </c>
      <c r="X8" s="636">
        <f t="shared" si="4"/>
        <v>40.276908755837432</v>
      </c>
      <c r="Y8" s="636">
        <f t="shared" si="4"/>
        <v>42.624544375933532</v>
      </c>
      <c r="Z8" s="636">
        <f t="shared" si="4"/>
        <v>45.047814767829969</v>
      </c>
      <c r="AA8" s="636">
        <f t="shared" si="4"/>
        <v>47.614540579222265</v>
      </c>
      <c r="AB8" s="636">
        <f t="shared" si="4"/>
        <v>50.364112564262129</v>
      </c>
      <c r="AC8" s="636">
        <f t="shared" si="4"/>
        <v>53.279436307790313</v>
      </c>
      <c r="AD8" s="636">
        <f t="shared" si="4"/>
        <v>56.374603422769646</v>
      </c>
      <c r="AE8" s="636">
        <f t="shared" si="4"/>
        <v>59.405368073790001</v>
      </c>
      <c r="AF8" s="636">
        <f t="shared" si="4"/>
        <v>62.399016864469523</v>
      </c>
      <c r="AG8" s="636">
        <f t="shared" si="4"/>
        <v>65.617757853418965</v>
      </c>
      <c r="AH8" s="636">
        <f t="shared" si="4"/>
        <v>69.033838976741109</v>
      </c>
      <c r="AI8" s="636">
        <f t="shared" si="4"/>
        <v>72.629102628705624</v>
      </c>
      <c r="AJ8" s="636">
        <f t="shared" si="4"/>
        <v>76.457563330336711</v>
      </c>
      <c r="AK8" s="636">
        <f t="shared" si="4"/>
        <v>80.567021450979141</v>
      </c>
      <c r="AL8" s="636">
        <f t="shared" si="4"/>
        <v>84.822218406604378</v>
      </c>
      <c r="AM8" s="636">
        <f t="shared" si="4"/>
        <v>89.171322186333029</v>
      </c>
      <c r="AN8" s="636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5" t="s">
        <v>2607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6" t="s">
        <v>2608</v>
      </c>
    </row>
    <row r="18" spans="1:40" ht="14.45">
      <c r="A18" s="616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6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6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6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6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6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6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6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17" t="s">
        <v>97</v>
      </c>
      <c r="B26" s="618">
        <f>SUM(B19:B25)</f>
        <v>0</v>
      </c>
      <c r="C26" s="618">
        <f t="shared" ref="C26:AN26" si="6">SUM(C19:C25)</f>
        <v>0</v>
      </c>
      <c r="D26" s="618">
        <f t="shared" si="6"/>
        <v>0</v>
      </c>
      <c r="E26" s="618">
        <f t="shared" si="6"/>
        <v>1.0626036625715676</v>
      </c>
      <c r="F26" s="618">
        <f t="shared" si="6"/>
        <v>5.8890949508574622</v>
      </c>
      <c r="G26" s="618">
        <f t="shared" si="6"/>
        <v>21.916188818483402</v>
      </c>
      <c r="H26" s="618">
        <f t="shared" si="6"/>
        <v>68.520341675777985</v>
      </c>
      <c r="I26" s="618">
        <f t="shared" si="6"/>
        <v>155.90718103790368</v>
      </c>
      <c r="J26" s="618">
        <f t="shared" si="6"/>
        <v>272.91818430932301</v>
      </c>
      <c r="K26" s="618">
        <f t="shared" si="6"/>
        <v>359.29122428075897</v>
      </c>
      <c r="L26" s="618">
        <f t="shared" si="6"/>
        <v>406.59338215025616</v>
      </c>
      <c r="M26" s="618">
        <f t="shared" si="6"/>
        <v>505.898706383172</v>
      </c>
      <c r="N26" s="618">
        <f t="shared" si="6"/>
        <v>668.6987447997758</v>
      </c>
      <c r="O26" s="618">
        <f t="shared" si="6"/>
        <v>856.67150866791462</v>
      </c>
      <c r="P26" s="618">
        <f t="shared" si="6"/>
        <v>1060.2708559957061</v>
      </c>
      <c r="Q26" s="618">
        <f t="shared" si="6"/>
        <v>1271.494711180731</v>
      </c>
      <c r="R26" s="618">
        <f t="shared" si="6"/>
        <v>1484.0005399480742</v>
      </c>
      <c r="S26" s="618">
        <f t="shared" si="6"/>
        <v>1695.7767934861565</v>
      </c>
      <c r="T26" s="618">
        <f t="shared" si="6"/>
        <v>1910.0636621010062</v>
      </c>
      <c r="U26" s="618">
        <f t="shared" si="6"/>
        <v>2098.2858969640861</v>
      </c>
      <c r="V26" s="618">
        <f t="shared" si="6"/>
        <v>2259.2058317598662</v>
      </c>
      <c r="W26" s="618">
        <f t="shared" si="6"/>
        <v>2423.0479402076749</v>
      </c>
      <c r="X26" s="618">
        <f t="shared" si="6"/>
        <v>2592.5952981213145</v>
      </c>
      <c r="Y26" s="618">
        <f t="shared" si="6"/>
        <v>2772.4043835644675</v>
      </c>
      <c r="Z26" s="618">
        <f t="shared" si="6"/>
        <v>2965.7399755441188</v>
      </c>
      <c r="AA26" s="618">
        <f t="shared" si="6"/>
        <v>3170.1614641001943</v>
      </c>
      <c r="AB26" s="618">
        <f t="shared" si="6"/>
        <v>3390.1178229304301</v>
      </c>
      <c r="AC26" s="618">
        <f t="shared" si="6"/>
        <v>3629.2108143266996</v>
      </c>
      <c r="AD26" s="618">
        <f t="shared" si="6"/>
        <v>3890.4698507098456</v>
      </c>
      <c r="AE26" s="618">
        <f t="shared" si="6"/>
        <v>4143.3615496130042</v>
      </c>
      <c r="AF26" s="618">
        <f t="shared" si="6"/>
        <v>4392.2235594493359</v>
      </c>
      <c r="AG26" s="618">
        <f t="shared" si="6"/>
        <v>4668.1069660971307</v>
      </c>
      <c r="AH26" s="618">
        <f t="shared" si="6"/>
        <v>4962.7418818355081</v>
      </c>
      <c r="AI26" s="618">
        <f t="shared" si="6"/>
        <v>5271.7680183010189</v>
      </c>
      <c r="AJ26" s="618">
        <f t="shared" si="6"/>
        <v>5597.8875217668965</v>
      </c>
      <c r="AK26" s="618">
        <f t="shared" si="6"/>
        <v>5944.1141607725622</v>
      </c>
      <c r="AL26" s="618">
        <f t="shared" si="6"/>
        <v>6312.1856219268393</v>
      </c>
      <c r="AM26" s="618">
        <f t="shared" si="6"/>
        <v>6702.1963882383043</v>
      </c>
      <c r="AN26" s="618">
        <f t="shared" si="6"/>
        <v>7114.7497407713263</v>
      </c>
    </row>
    <row r="27" spans="1:40" ht="14.45">
      <c r="A27" s="616"/>
    </row>
    <row r="28" spans="1:40" ht="14.45">
      <c r="A28" s="615" t="s">
        <v>2609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6" t="s">
        <v>2608</v>
      </c>
    </row>
    <row r="30" spans="1:40" ht="14.45">
      <c r="A30" s="616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6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6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6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6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6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6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6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17" t="s">
        <v>97</v>
      </c>
      <c r="B38" s="618">
        <f>SUM(B31:B37)</f>
        <v>0</v>
      </c>
      <c r="C38" s="618">
        <f t="shared" ref="C38:AN38" si="7">SUM(C31:C37)</f>
        <v>0</v>
      </c>
      <c r="D38" s="618">
        <f t="shared" si="7"/>
        <v>0</v>
      </c>
      <c r="E38" s="618">
        <f t="shared" si="7"/>
        <v>2.4500000000000001E-2</v>
      </c>
      <c r="F38" s="618">
        <f t="shared" si="7"/>
        <v>0.52429999999999999</v>
      </c>
      <c r="G38" s="618">
        <f t="shared" si="7"/>
        <v>3.0870000000000002</v>
      </c>
      <c r="H38" s="618">
        <f t="shared" si="7"/>
        <v>15.265599999999999</v>
      </c>
      <c r="I38" s="618">
        <f t="shared" si="7"/>
        <v>40.267500000000005</v>
      </c>
      <c r="J38" s="618">
        <f t="shared" si="7"/>
        <v>73.191999999999993</v>
      </c>
      <c r="K38" s="618">
        <f t="shared" si="7"/>
        <v>97.638800000000003</v>
      </c>
      <c r="L38" s="618">
        <f t="shared" si="7"/>
        <v>115.9571</v>
      </c>
      <c r="M38" s="618">
        <f t="shared" si="7"/>
        <v>143.03449999999998</v>
      </c>
      <c r="N38" s="618">
        <f t="shared" si="7"/>
        <v>175.10990000000001</v>
      </c>
      <c r="O38" s="618">
        <f t="shared" si="7"/>
        <v>209.90479999999997</v>
      </c>
      <c r="P38" s="618">
        <f t="shared" si="7"/>
        <v>247.18959999999996</v>
      </c>
      <c r="Q38" s="618">
        <f t="shared" si="7"/>
        <v>288.82909999999998</v>
      </c>
      <c r="R38" s="618">
        <f t="shared" si="7"/>
        <v>334.40609999999992</v>
      </c>
      <c r="S38" s="618">
        <f t="shared" si="7"/>
        <v>383.3039</v>
      </c>
      <c r="T38" s="618">
        <f t="shared" si="7"/>
        <v>437.85559999999998</v>
      </c>
      <c r="U38" s="618">
        <f t="shared" si="7"/>
        <v>488.69099999999992</v>
      </c>
      <c r="V38" s="618">
        <f t="shared" si="7"/>
        <v>533.76330000000007</v>
      </c>
      <c r="W38" s="618">
        <f t="shared" si="7"/>
        <v>581.58379999999988</v>
      </c>
      <c r="X38" s="618">
        <f t="shared" si="7"/>
        <v>632.90430000000003</v>
      </c>
      <c r="Y38" s="618">
        <f t="shared" si="7"/>
        <v>689.32569999999987</v>
      </c>
      <c r="Z38" s="618">
        <f t="shared" si="7"/>
        <v>751.65930000000003</v>
      </c>
      <c r="AA38" s="618">
        <f t="shared" si="7"/>
        <v>818.44770000000005</v>
      </c>
      <c r="AB38" s="618">
        <f t="shared" si="7"/>
        <v>890.45319999999992</v>
      </c>
      <c r="AC38" s="618">
        <f t="shared" si="7"/>
        <v>969.51469999999983</v>
      </c>
      <c r="AD38" s="618">
        <f t="shared" si="7"/>
        <v>1057.6782999999998</v>
      </c>
      <c r="AE38" s="618">
        <f t="shared" si="7"/>
        <v>1148.9128000000001</v>
      </c>
      <c r="AF38" s="618">
        <f t="shared" si="7"/>
        <v>1243.6746000000001</v>
      </c>
      <c r="AG38" s="618">
        <f t="shared" si="7"/>
        <v>1358.3591000000001</v>
      </c>
      <c r="AH38" s="618">
        <f t="shared" si="7"/>
        <v>1485.3034</v>
      </c>
      <c r="AI38" s="618">
        <f t="shared" si="7"/>
        <v>1610.0237999999995</v>
      </c>
      <c r="AJ38" s="618">
        <f t="shared" si="7"/>
        <v>1739.4810999999997</v>
      </c>
      <c r="AK38" s="618">
        <f t="shared" si="7"/>
        <v>1891.5533</v>
      </c>
      <c r="AL38" s="618">
        <f t="shared" si="7"/>
        <v>2084.0301999999997</v>
      </c>
      <c r="AM38" s="618">
        <f t="shared" si="7"/>
        <v>2291.8630000000003</v>
      </c>
      <c r="AN38" s="618">
        <f t="shared" si="7"/>
        <v>2487.9574999999995</v>
      </c>
    </row>
    <row r="39" spans="1:40" ht="14.45">
      <c r="A39" s="616"/>
    </row>
    <row r="40" spans="1:40" ht="14.45">
      <c r="A40" s="615" t="s">
        <v>2610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6" t="s">
        <v>2608</v>
      </c>
    </row>
    <row r="42" spans="1:40" ht="14.45">
      <c r="A42" s="616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6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6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6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6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6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6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6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17" t="s">
        <v>97</v>
      </c>
      <c r="B50" s="618">
        <f>SUM(B43:B49)</f>
        <v>0</v>
      </c>
      <c r="C50" s="618">
        <f t="shared" ref="C50:AN50" si="8">SUM(C43:C49)</f>
        <v>0</v>
      </c>
      <c r="D50" s="618">
        <f t="shared" si="8"/>
        <v>0</v>
      </c>
      <c r="E50" s="618">
        <f t="shared" si="8"/>
        <v>9.0944999999999991E-4</v>
      </c>
      <c r="F50" s="618">
        <f t="shared" si="8"/>
        <v>0.14005529999999999</v>
      </c>
      <c r="G50" s="618">
        <f t="shared" si="8"/>
        <v>1.4995996999999999</v>
      </c>
      <c r="H50" s="618">
        <f t="shared" si="8"/>
        <v>5.3756754500000001</v>
      </c>
      <c r="I50" s="618">
        <f t="shared" si="8"/>
        <v>12.592882549999999</v>
      </c>
      <c r="J50" s="618">
        <f t="shared" si="8"/>
        <v>25.323412649999991</v>
      </c>
      <c r="K50" s="618">
        <f t="shared" si="8"/>
        <v>33.53697919999999</v>
      </c>
      <c r="L50" s="618">
        <f t="shared" si="8"/>
        <v>33.706103049999996</v>
      </c>
      <c r="M50" s="618">
        <f t="shared" si="8"/>
        <v>34.017640499999999</v>
      </c>
      <c r="N50" s="618">
        <f t="shared" si="8"/>
        <v>34.558450849999993</v>
      </c>
      <c r="O50" s="618">
        <f t="shared" si="8"/>
        <v>35.474925449999994</v>
      </c>
      <c r="P50" s="618">
        <f t="shared" si="8"/>
        <v>37.074901099999991</v>
      </c>
      <c r="Q50" s="618">
        <f t="shared" si="8"/>
        <v>39.753871649999986</v>
      </c>
      <c r="R50" s="618">
        <f t="shared" si="8"/>
        <v>43.908888199999993</v>
      </c>
      <c r="S50" s="618">
        <f t="shared" si="8"/>
        <v>49.930639849999991</v>
      </c>
      <c r="T50" s="618">
        <f t="shared" si="8"/>
        <v>58.286590299999993</v>
      </c>
      <c r="U50" s="618">
        <f t="shared" si="8"/>
        <v>66.737281249999995</v>
      </c>
      <c r="V50" s="618">
        <f t="shared" si="8"/>
        <v>74.481018949999992</v>
      </c>
      <c r="W50" s="618">
        <f t="shared" si="8"/>
        <v>83.288792400000006</v>
      </c>
      <c r="X50" s="618">
        <f t="shared" si="8"/>
        <v>93.309467099999992</v>
      </c>
      <c r="Y50" s="618">
        <f t="shared" si="8"/>
        <v>104.61265479999999</v>
      </c>
      <c r="Z50" s="618">
        <f t="shared" si="8"/>
        <v>117.5263638</v>
      </c>
      <c r="AA50" s="618">
        <f t="shared" si="8"/>
        <v>132.46659804999996</v>
      </c>
      <c r="AB50" s="618">
        <f t="shared" si="8"/>
        <v>154.82418129999999</v>
      </c>
      <c r="AC50" s="618">
        <f t="shared" si="8"/>
        <v>186.20328909999998</v>
      </c>
      <c r="AD50" s="618">
        <f t="shared" si="8"/>
        <v>217.47212224999998</v>
      </c>
      <c r="AE50" s="618">
        <f t="shared" si="8"/>
        <v>246.13215285000001</v>
      </c>
      <c r="AF50" s="618">
        <f t="shared" si="8"/>
        <v>275.25851184999999</v>
      </c>
      <c r="AG50" s="618">
        <f t="shared" si="8"/>
        <v>306.27504119999998</v>
      </c>
      <c r="AH50" s="618">
        <f t="shared" si="8"/>
        <v>340.71099809999993</v>
      </c>
      <c r="AI50" s="618">
        <f t="shared" si="8"/>
        <v>379.23079345000002</v>
      </c>
      <c r="AJ50" s="618">
        <f t="shared" si="8"/>
        <v>422.10923834999994</v>
      </c>
      <c r="AK50" s="618">
        <f t="shared" si="8"/>
        <v>469.02221339999994</v>
      </c>
      <c r="AL50" s="618">
        <f t="shared" si="8"/>
        <v>520.36340565</v>
      </c>
      <c r="AM50" s="618">
        <f t="shared" si="8"/>
        <v>577.13459839999985</v>
      </c>
      <c r="AN50" s="618">
        <f t="shared" si="8"/>
        <v>640.73665195000001</v>
      </c>
    </row>
    <row r="51" spans="1:40" ht="14.45">
      <c r="A51" s="616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5" t="s">
        <v>2611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6" t="s">
        <v>2608</v>
      </c>
    </row>
    <row r="54" spans="1:40" ht="14.45">
      <c r="A54" s="616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6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6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6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6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6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6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6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17" t="s">
        <v>97</v>
      </c>
      <c r="B62" s="618">
        <f>SUM(B55:B61)</f>
        <v>0</v>
      </c>
      <c r="C62" s="618">
        <f t="shared" ref="C62:AN62" si="9">SUM(C55:C61)</f>
        <v>0</v>
      </c>
      <c r="D62" s="618">
        <f t="shared" si="9"/>
        <v>0</v>
      </c>
      <c r="E62" s="618">
        <f t="shared" si="9"/>
        <v>0.52824047549999997</v>
      </c>
      <c r="F62" s="618">
        <f t="shared" si="9"/>
        <v>1.9899765187500003</v>
      </c>
      <c r="G62" s="618">
        <f t="shared" si="9"/>
        <v>14.174112729000004</v>
      </c>
      <c r="H62" s="618">
        <f t="shared" si="9"/>
        <v>30.296800548810005</v>
      </c>
      <c r="I62" s="618">
        <f t="shared" si="9"/>
        <v>39.765430918242522</v>
      </c>
      <c r="J62" s="618">
        <f t="shared" si="9"/>
        <v>53.445304408388012</v>
      </c>
      <c r="K62" s="618">
        <f t="shared" si="9"/>
        <v>72.82040751352072</v>
      </c>
      <c r="L62" s="618">
        <f t="shared" si="9"/>
        <v>97.037710550137675</v>
      </c>
      <c r="M62" s="618">
        <f t="shared" si="9"/>
        <v>125.99439429145532</v>
      </c>
      <c r="N62" s="618">
        <f t="shared" si="9"/>
        <v>163.92742503274008</v>
      </c>
      <c r="O62" s="618">
        <f t="shared" si="9"/>
        <v>215.89544101944446</v>
      </c>
      <c r="P62" s="618">
        <f t="shared" si="9"/>
        <v>277.01993288549562</v>
      </c>
      <c r="Q62" s="618">
        <f t="shared" si="9"/>
        <v>348.20230642514747</v>
      </c>
      <c r="R62" s="618">
        <f t="shared" si="9"/>
        <v>427.43418356399968</v>
      </c>
      <c r="S62" s="618">
        <f t="shared" si="9"/>
        <v>512.98289013603176</v>
      </c>
      <c r="T62" s="618">
        <f t="shared" si="9"/>
        <v>608.54948927739849</v>
      </c>
      <c r="U62" s="618">
        <f t="shared" si="9"/>
        <v>702.35597980212015</v>
      </c>
      <c r="V62" s="618">
        <f t="shared" si="9"/>
        <v>790.33353991961701</v>
      </c>
      <c r="W62" s="618">
        <f t="shared" si="9"/>
        <v>871.42167012815617</v>
      </c>
      <c r="X62" s="618">
        <f t="shared" si="9"/>
        <v>941.51428750504965</v>
      </c>
      <c r="Y62" s="618">
        <f t="shared" si="9"/>
        <v>1004.0858400894931</v>
      </c>
      <c r="Z62" s="618">
        <f t="shared" si="9"/>
        <v>1055.4767785363242</v>
      </c>
      <c r="AA62" s="618">
        <f t="shared" si="9"/>
        <v>1097.0462037382856</v>
      </c>
      <c r="AB62" s="618">
        <f t="shared" si="9"/>
        <v>1129.9365619321668</v>
      </c>
      <c r="AC62" s="618">
        <f t="shared" si="9"/>
        <v>1154.2175356016287</v>
      </c>
      <c r="AD62" s="618">
        <f t="shared" si="9"/>
        <v>1173.2246645254863</v>
      </c>
      <c r="AE62" s="618">
        <f t="shared" si="9"/>
        <v>1187.6224357866333</v>
      </c>
      <c r="AF62" s="618">
        <f t="shared" si="9"/>
        <v>1197.7893040905458</v>
      </c>
      <c r="AG62" s="618">
        <f t="shared" si="9"/>
        <v>1204.9917818977569</v>
      </c>
      <c r="AH62" s="618">
        <f t="shared" si="9"/>
        <v>1210.4123201125158</v>
      </c>
      <c r="AI62" s="618">
        <f t="shared" si="9"/>
        <v>1213.9890463034401</v>
      </c>
      <c r="AJ62" s="618">
        <f t="shared" si="9"/>
        <v>1217.4914590171297</v>
      </c>
      <c r="AK62" s="618">
        <f t="shared" si="9"/>
        <v>1220.0975805123981</v>
      </c>
      <c r="AL62" s="618">
        <f t="shared" si="9"/>
        <v>1220.0975805123981</v>
      </c>
      <c r="AM62" s="618">
        <f t="shared" si="9"/>
        <v>1220.0975805123981</v>
      </c>
      <c r="AN62" s="618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19" t="s">
        <v>2607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6" t="s">
        <v>2606</v>
      </c>
    </row>
    <row r="68" spans="1:40" ht="14.45">
      <c r="A68" s="616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6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6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6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6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6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6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6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17" t="s">
        <v>97</v>
      </c>
      <c r="B76" s="618">
        <f>SUM(B69:B75)</f>
        <v>0</v>
      </c>
      <c r="C76" s="618">
        <f t="shared" ref="C76:AN76" si="10">SUM(C69:C75)</f>
        <v>0</v>
      </c>
      <c r="D76" s="618">
        <f t="shared" si="10"/>
        <v>0</v>
      </c>
      <c r="E76" s="618">
        <f t="shared" si="10"/>
        <v>0</v>
      </c>
      <c r="F76" s="618">
        <f t="shared" si="10"/>
        <v>0</v>
      </c>
      <c r="G76" s="618">
        <f t="shared" si="10"/>
        <v>0</v>
      </c>
      <c r="H76" s="618">
        <f t="shared" si="10"/>
        <v>0</v>
      </c>
      <c r="I76" s="618">
        <f t="shared" si="10"/>
        <v>0</v>
      </c>
      <c r="J76" s="618">
        <f t="shared" si="10"/>
        <v>0</v>
      </c>
      <c r="K76" s="618">
        <f t="shared" si="10"/>
        <v>0</v>
      </c>
      <c r="L76" s="618">
        <f t="shared" si="10"/>
        <v>0</v>
      </c>
      <c r="M76" s="618">
        <f t="shared" si="10"/>
        <v>0</v>
      </c>
      <c r="N76" s="618">
        <f t="shared" si="10"/>
        <v>0</v>
      </c>
      <c r="O76" s="618">
        <f t="shared" si="10"/>
        <v>0</v>
      </c>
      <c r="P76" s="618">
        <f t="shared" si="10"/>
        <v>0</v>
      </c>
      <c r="Q76" s="618">
        <f t="shared" si="10"/>
        <v>0</v>
      </c>
      <c r="R76" s="618">
        <f t="shared" si="10"/>
        <v>0</v>
      </c>
      <c r="S76" s="618">
        <f t="shared" si="10"/>
        <v>0</v>
      </c>
      <c r="T76" s="618">
        <f t="shared" si="10"/>
        <v>0</v>
      </c>
      <c r="U76" s="618">
        <f t="shared" si="10"/>
        <v>0</v>
      </c>
      <c r="V76" s="618">
        <f t="shared" si="10"/>
        <v>0</v>
      </c>
      <c r="W76" s="618">
        <f t="shared" si="10"/>
        <v>0</v>
      </c>
      <c r="X76" s="618">
        <f t="shared" si="10"/>
        <v>0</v>
      </c>
      <c r="Y76" s="618">
        <f t="shared" si="10"/>
        <v>0</v>
      </c>
      <c r="Z76" s="618">
        <f t="shared" si="10"/>
        <v>0</v>
      </c>
      <c r="AA76" s="618">
        <f t="shared" si="10"/>
        <v>0</v>
      </c>
      <c r="AB76" s="618">
        <f t="shared" si="10"/>
        <v>0</v>
      </c>
      <c r="AC76" s="618">
        <f t="shared" si="10"/>
        <v>0</v>
      </c>
      <c r="AD76" s="618">
        <f t="shared" si="10"/>
        <v>0</v>
      </c>
      <c r="AE76" s="618">
        <f t="shared" si="10"/>
        <v>0</v>
      </c>
      <c r="AF76" s="618">
        <f t="shared" si="10"/>
        <v>0</v>
      </c>
      <c r="AG76" s="618">
        <f t="shared" si="10"/>
        <v>0</v>
      </c>
      <c r="AH76" s="618">
        <f t="shared" si="10"/>
        <v>0</v>
      </c>
      <c r="AI76" s="618">
        <f t="shared" si="10"/>
        <v>0</v>
      </c>
      <c r="AJ76" s="618">
        <f t="shared" si="10"/>
        <v>0</v>
      </c>
      <c r="AK76" s="618">
        <f t="shared" si="10"/>
        <v>0</v>
      </c>
      <c r="AL76" s="618">
        <f t="shared" si="10"/>
        <v>0</v>
      </c>
      <c r="AM76" s="618">
        <f t="shared" si="10"/>
        <v>0</v>
      </c>
      <c r="AN76" s="618">
        <f t="shared" si="10"/>
        <v>0</v>
      </c>
    </row>
    <row r="77" spans="1:40" ht="14.45">
      <c r="A77" s="616"/>
    </row>
    <row r="78" spans="1:40" ht="14.45">
      <c r="A78" s="619" t="s">
        <v>2609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6" t="s">
        <v>2606</v>
      </c>
    </row>
    <row r="80" spans="1:40" ht="14.45">
      <c r="A80" s="616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6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6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6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6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6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6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6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17" t="s">
        <v>97</v>
      </c>
      <c r="B88" s="618">
        <f>SUM(B81:B87)</f>
        <v>0</v>
      </c>
      <c r="C88" s="618">
        <f t="shared" ref="C88:AN88" si="11">SUM(C81:C87)</f>
        <v>0</v>
      </c>
      <c r="D88" s="618">
        <f t="shared" si="11"/>
        <v>0</v>
      </c>
      <c r="E88" s="618">
        <f t="shared" si="11"/>
        <v>2.7999999999999997E-2</v>
      </c>
      <c r="F88" s="618">
        <f t="shared" si="11"/>
        <v>0.59919999999999995</v>
      </c>
      <c r="G88" s="618">
        <f t="shared" si="11"/>
        <v>3.5280000000000014</v>
      </c>
      <c r="H88" s="618">
        <f t="shared" si="11"/>
        <v>17.446400000000001</v>
      </c>
      <c r="I88" s="618">
        <f t="shared" si="11"/>
        <v>46.020000000000017</v>
      </c>
      <c r="J88" s="618">
        <f t="shared" si="11"/>
        <v>83.64800000000001</v>
      </c>
      <c r="K88" s="618">
        <f t="shared" si="11"/>
        <v>111.58720000000001</v>
      </c>
      <c r="L88" s="618">
        <f t="shared" si="11"/>
        <v>132.5224</v>
      </c>
      <c r="M88" s="618">
        <f t="shared" si="11"/>
        <v>163.46799999999999</v>
      </c>
      <c r="N88" s="618">
        <f t="shared" si="11"/>
        <v>200.12559999999996</v>
      </c>
      <c r="O88" s="618">
        <f t="shared" si="11"/>
        <v>239.89119999999997</v>
      </c>
      <c r="P88" s="618">
        <f t="shared" si="11"/>
        <v>282.50239999999997</v>
      </c>
      <c r="Q88" s="618">
        <f t="shared" si="11"/>
        <v>330.09039999999999</v>
      </c>
      <c r="R88" s="618">
        <f t="shared" si="11"/>
        <v>382.17840000000001</v>
      </c>
      <c r="S88" s="618">
        <f t="shared" si="11"/>
        <v>438.0616</v>
      </c>
      <c r="T88" s="618">
        <f t="shared" si="11"/>
        <v>500.40640000000002</v>
      </c>
      <c r="U88" s="618">
        <f t="shared" si="11"/>
        <v>558.50399999999991</v>
      </c>
      <c r="V88" s="618">
        <f t="shared" si="11"/>
        <v>610.01520000000028</v>
      </c>
      <c r="W88" s="618">
        <f t="shared" si="11"/>
        <v>664.66720000000021</v>
      </c>
      <c r="X88" s="618">
        <f t="shared" si="11"/>
        <v>723.31920000000002</v>
      </c>
      <c r="Y88" s="618">
        <f t="shared" si="11"/>
        <v>787.80079999999998</v>
      </c>
      <c r="Z88" s="618">
        <f t="shared" si="11"/>
        <v>859.03920000000016</v>
      </c>
      <c r="AA88" s="618">
        <f t="shared" si="11"/>
        <v>935.36879999999996</v>
      </c>
      <c r="AB88" s="618">
        <f t="shared" si="11"/>
        <v>1017.6608000000001</v>
      </c>
      <c r="AC88" s="618">
        <f t="shared" si="11"/>
        <v>1108.0167999999999</v>
      </c>
      <c r="AD88" s="618">
        <f t="shared" si="11"/>
        <v>1208.7751999999998</v>
      </c>
      <c r="AE88" s="618">
        <f t="shared" si="11"/>
        <v>1313.0432000000003</v>
      </c>
      <c r="AF88" s="618">
        <f t="shared" si="11"/>
        <v>1421.3424</v>
      </c>
      <c r="AG88" s="618">
        <f t="shared" si="11"/>
        <v>1552.4103999999998</v>
      </c>
      <c r="AH88" s="618">
        <f t="shared" si="11"/>
        <v>1697.4895999999999</v>
      </c>
      <c r="AI88" s="618">
        <f t="shared" si="11"/>
        <v>1840.0272000000002</v>
      </c>
      <c r="AJ88" s="618">
        <f t="shared" si="11"/>
        <v>1987.9784</v>
      </c>
      <c r="AK88" s="618">
        <f t="shared" si="11"/>
        <v>2161.7752</v>
      </c>
      <c r="AL88" s="618">
        <f t="shared" si="11"/>
        <v>2381.7488000000003</v>
      </c>
      <c r="AM88" s="618">
        <f t="shared" si="11"/>
        <v>2619.2720000000008</v>
      </c>
      <c r="AN88" s="618">
        <f t="shared" si="11"/>
        <v>2843.38</v>
      </c>
    </row>
    <row r="89" spans="1:40" ht="14.45">
      <c r="A89" s="616"/>
    </row>
    <row r="90" spans="1:40" ht="14.45">
      <c r="A90" s="619" t="s">
        <v>2610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6" t="s">
        <v>2606</v>
      </c>
    </row>
    <row r="92" spans="1:40" ht="14.45">
      <c r="A92" s="616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6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6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6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6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6">
        <v>5</v>
      </c>
      <c r="B97" s="58">
        <v>0</v>
      </c>
      <c r="C97" s="58">
        <v>0</v>
      </c>
      <c r="D97" s="58">
        <v>0</v>
      </c>
      <c r="E97" s="637">
        <f t="shared" ref="E97:AN97" si="12">MIN(E85:E96)</f>
        <v>0</v>
      </c>
      <c r="F97" s="637">
        <f t="shared" si="12"/>
        <v>0</v>
      </c>
      <c r="G97" s="637">
        <f t="shared" si="12"/>
        <v>0</v>
      </c>
      <c r="H97" s="637">
        <f t="shared" si="12"/>
        <v>0</v>
      </c>
      <c r="I97" s="637">
        <f t="shared" si="12"/>
        <v>0</v>
      </c>
      <c r="J97" s="637">
        <f t="shared" si="12"/>
        <v>0</v>
      </c>
      <c r="K97" s="637">
        <f t="shared" si="12"/>
        <v>0</v>
      </c>
      <c r="L97" s="637">
        <f t="shared" si="12"/>
        <v>0</v>
      </c>
      <c r="M97" s="637">
        <f t="shared" si="12"/>
        <v>0</v>
      </c>
      <c r="N97" s="637">
        <f t="shared" si="12"/>
        <v>0</v>
      </c>
      <c r="O97" s="637">
        <f t="shared" si="12"/>
        <v>0</v>
      </c>
      <c r="P97" s="637">
        <f t="shared" si="12"/>
        <v>0</v>
      </c>
      <c r="Q97" s="637">
        <f t="shared" si="12"/>
        <v>0</v>
      </c>
      <c r="R97" s="637">
        <f t="shared" si="12"/>
        <v>0</v>
      </c>
      <c r="S97" s="637">
        <f t="shared" si="12"/>
        <v>0</v>
      </c>
      <c r="T97" s="637">
        <f t="shared" si="12"/>
        <v>0</v>
      </c>
      <c r="U97" s="637">
        <f t="shared" si="12"/>
        <v>0</v>
      </c>
      <c r="V97" s="637">
        <f t="shared" si="12"/>
        <v>0</v>
      </c>
      <c r="W97" s="637">
        <f t="shared" si="12"/>
        <v>0</v>
      </c>
      <c r="X97" s="637">
        <f t="shared" si="12"/>
        <v>0</v>
      </c>
      <c r="Y97" s="637">
        <f t="shared" si="12"/>
        <v>0</v>
      </c>
      <c r="Z97" s="637">
        <f t="shared" si="12"/>
        <v>0</v>
      </c>
      <c r="AA97" s="637">
        <f t="shared" si="12"/>
        <v>0</v>
      </c>
      <c r="AB97" s="637">
        <f t="shared" si="12"/>
        <v>0</v>
      </c>
      <c r="AC97" s="637">
        <f t="shared" si="12"/>
        <v>0</v>
      </c>
      <c r="AD97" s="637">
        <f t="shared" si="12"/>
        <v>0</v>
      </c>
      <c r="AE97" s="637">
        <f t="shared" si="12"/>
        <v>0</v>
      </c>
      <c r="AF97" s="637">
        <f t="shared" si="12"/>
        <v>0</v>
      </c>
      <c r="AG97" s="637">
        <f t="shared" si="12"/>
        <v>0</v>
      </c>
      <c r="AH97" s="637">
        <f t="shared" si="12"/>
        <v>0</v>
      </c>
      <c r="AI97" s="637">
        <f t="shared" si="12"/>
        <v>0</v>
      </c>
      <c r="AJ97" s="637">
        <f t="shared" si="12"/>
        <v>0</v>
      </c>
      <c r="AK97" s="637">
        <f t="shared" si="12"/>
        <v>0</v>
      </c>
      <c r="AL97" s="637">
        <f t="shared" si="12"/>
        <v>0</v>
      </c>
      <c r="AM97" s="637">
        <f t="shared" si="12"/>
        <v>0</v>
      </c>
      <c r="AN97" s="637">
        <f t="shared" si="12"/>
        <v>0</v>
      </c>
    </row>
    <row r="98" spans="1:40" ht="14.45">
      <c r="A98" s="616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6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17" t="s">
        <v>97</v>
      </c>
      <c r="B100" s="618">
        <f>SUM(B93:B99)</f>
        <v>0</v>
      </c>
      <c r="C100" s="618">
        <f t="shared" ref="C100:AN100" si="13">SUM(C93:C99)</f>
        <v>0</v>
      </c>
      <c r="D100" s="618">
        <f t="shared" si="13"/>
        <v>0</v>
      </c>
      <c r="E100" s="618">
        <f t="shared" si="13"/>
        <v>1.3500000000000003E-4</v>
      </c>
      <c r="F100" s="618">
        <f t="shared" si="13"/>
        <v>2.0789999999999999E-2</v>
      </c>
      <c r="G100" s="618">
        <f t="shared" si="13"/>
        <v>0.22238250000000004</v>
      </c>
      <c r="H100" s="618">
        <f t="shared" si="13"/>
        <v>0.79621350000000024</v>
      </c>
      <c r="I100" s="618">
        <f t="shared" si="13"/>
        <v>1.8641805000000002</v>
      </c>
      <c r="J100" s="618">
        <f t="shared" si="13"/>
        <v>3.7498769999999992</v>
      </c>
      <c r="K100" s="618">
        <f t="shared" si="13"/>
        <v>4.9661565000000012</v>
      </c>
      <c r="L100" s="618">
        <f t="shared" si="13"/>
        <v>4.9882620000000006</v>
      </c>
      <c r="M100" s="618">
        <f t="shared" si="13"/>
        <v>5.0298480000000021</v>
      </c>
      <c r="N100" s="618">
        <f t="shared" si="13"/>
        <v>5.1041985000000007</v>
      </c>
      <c r="O100" s="618">
        <f t="shared" si="13"/>
        <v>5.2337025000000006</v>
      </c>
      <c r="P100" s="618">
        <f t="shared" si="13"/>
        <v>5.464472999999999</v>
      </c>
      <c r="Q100" s="618">
        <f t="shared" si="13"/>
        <v>5.8550759999999995</v>
      </c>
      <c r="R100" s="618">
        <f t="shared" si="13"/>
        <v>6.4645575000000015</v>
      </c>
      <c r="S100" s="618">
        <f t="shared" si="13"/>
        <v>7.351043999999999</v>
      </c>
      <c r="T100" s="618">
        <f t="shared" si="13"/>
        <v>8.5838250000000009</v>
      </c>
      <c r="U100" s="618">
        <f t="shared" si="13"/>
        <v>9.8316150000000011</v>
      </c>
      <c r="V100" s="618">
        <f t="shared" si="13"/>
        <v>10.975398</v>
      </c>
      <c r="W100" s="618">
        <f t="shared" si="13"/>
        <v>12.277003500000006</v>
      </c>
      <c r="X100" s="618">
        <f t="shared" si="13"/>
        <v>13.758502500000001</v>
      </c>
      <c r="Y100" s="618">
        <f t="shared" si="13"/>
        <v>15.430111500000002</v>
      </c>
      <c r="Z100" s="618">
        <f t="shared" si="13"/>
        <v>17.3405205</v>
      </c>
      <c r="AA100" s="618">
        <f t="shared" si="13"/>
        <v>19.550995500000003</v>
      </c>
      <c r="AB100" s="618">
        <f t="shared" si="13"/>
        <v>22.862320500000003</v>
      </c>
      <c r="AC100" s="618">
        <f t="shared" si="13"/>
        <v>27.512755500000004</v>
      </c>
      <c r="AD100" s="618">
        <f t="shared" si="13"/>
        <v>32.146133999999996</v>
      </c>
      <c r="AE100" s="618">
        <f t="shared" si="13"/>
        <v>36.392476500000008</v>
      </c>
      <c r="AF100" s="618">
        <f t="shared" si="13"/>
        <v>40.707984000000003</v>
      </c>
      <c r="AG100" s="618">
        <f t="shared" si="13"/>
        <v>45.303412500000007</v>
      </c>
      <c r="AH100" s="618">
        <f t="shared" si="13"/>
        <v>50.406358499999996</v>
      </c>
      <c r="AI100" s="618">
        <f t="shared" si="13"/>
        <v>56.115304500000015</v>
      </c>
      <c r="AJ100" s="618">
        <f t="shared" si="13"/>
        <v>62.470728000000008</v>
      </c>
      <c r="AK100" s="618">
        <f t="shared" si="13"/>
        <v>69.424344000000005</v>
      </c>
      <c r="AL100" s="618">
        <f t="shared" si="13"/>
        <v>77.034802500000026</v>
      </c>
      <c r="AM100" s="618">
        <f t="shared" si="13"/>
        <v>85.450744500000013</v>
      </c>
      <c r="AN100" s="618">
        <f t="shared" si="13"/>
        <v>94.880140500000024</v>
      </c>
    </row>
    <row r="101" spans="1:40" ht="14.45">
      <c r="A101" s="616"/>
    </row>
    <row r="102" spans="1:40" ht="14.45">
      <c r="A102" s="619" t="s">
        <v>2611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6" t="s">
        <v>2606</v>
      </c>
    </row>
    <row r="104" spans="1:40" ht="14.45">
      <c r="A104" s="616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6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6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6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6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6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6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6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17" t="s">
        <v>97</v>
      </c>
      <c r="B112" s="618">
        <f>SUM(B105:B111)</f>
        <v>0</v>
      </c>
      <c r="C112" s="618">
        <f t="shared" ref="C112:AN112" si="14">SUM(C105:C111)</f>
        <v>0</v>
      </c>
      <c r="D112" s="618">
        <f t="shared" si="14"/>
        <v>0</v>
      </c>
      <c r="E112" s="618">
        <f t="shared" si="14"/>
        <v>0.38254883249999988</v>
      </c>
      <c r="F112" s="618">
        <f t="shared" si="14"/>
        <v>1.3138674692499999</v>
      </c>
      <c r="G112" s="618">
        <f t="shared" si="14"/>
        <v>8.3419023146000004</v>
      </c>
      <c r="H112" s="618">
        <f t="shared" si="14"/>
        <v>17.622460852749999</v>
      </c>
      <c r="I112" s="618">
        <f t="shared" si="14"/>
        <v>23.597369855805418</v>
      </c>
      <c r="J112" s="618">
        <f t="shared" si="14"/>
        <v>32.501691335257611</v>
      </c>
      <c r="K112" s="618">
        <f t="shared" si="14"/>
        <v>44.989697011750771</v>
      </c>
      <c r="L112" s="618">
        <f t="shared" si="14"/>
        <v>60.839913572384582</v>
      </c>
      <c r="M112" s="618">
        <f t="shared" si="14"/>
        <v>79.938667149522502</v>
      </c>
      <c r="N112" s="618">
        <f t="shared" si="14"/>
        <v>104.73359236760847</v>
      </c>
      <c r="O112" s="618">
        <f t="shared" si="14"/>
        <v>138.64437938728514</v>
      </c>
      <c r="P112" s="618">
        <f t="shared" si="14"/>
        <v>178.57919855433997</v>
      </c>
      <c r="Q112" s="618">
        <f t="shared" si="14"/>
        <v>224.94089911478261</v>
      </c>
      <c r="R112" s="618">
        <f t="shared" si="14"/>
        <v>276.77125020095207</v>
      </c>
      <c r="S112" s="618">
        <f t="shared" si="14"/>
        <v>332.72386032217128</v>
      </c>
      <c r="T112" s="618">
        <f t="shared" si="14"/>
        <v>394.99208476690143</v>
      </c>
      <c r="U112" s="618">
        <f t="shared" si="14"/>
        <v>456.27479735511452</v>
      </c>
      <c r="V112" s="618">
        <f t="shared" si="14"/>
        <v>513.8626575261286</v>
      </c>
      <c r="W112" s="618">
        <f t="shared" si="14"/>
        <v>566.73235322522282</v>
      </c>
      <c r="X112" s="618">
        <f t="shared" si="14"/>
        <v>612.40987079967613</v>
      </c>
      <c r="Y112" s="618">
        <f t="shared" si="14"/>
        <v>653.2839772574049</v>
      </c>
      <c r="Z112" s="618">
        <f t="shared" si="14"/>
        <v>686.89835156570268</v>
      </c>
      <c r="AA112" s="618">
        <f t="shared" si="14"/>
        <v>714.03062755819303</v>
      </c>
      <c r="AB112" s="618">
        <f t="shared" si="14"/>
        <v>735.29641012381035</v>
      </c>
      <c r="AC112" s="618">
        <f t="shared" si="14"/>
        <v>751.18227685000068</v>
      </c>
      <c r="AD112" s="618">
        <f t="shared" si="14"/>
        <v>763.70208957679722</v>
      </c>
      <c r="AE112" s="618">
        <f t="shared" si="14"/>
        <v>773.13742880992379</v>
      </c>
      <c r="AF112" s="618">
        <f t="shared" si="14"/>
        <v>779.90254282747981</v>
      </c>
      <c r="AG112" s="618">
        <f t="shared" si="14"/>
        <v>784.66693186524287</v>
      </c>
      <c r="AH112" s="618">
        <f t="shared" si="14"/>
        <v>788.28734367660843</v>
      </c>
      <c r="AI112" s="618">
        <f t="shared" si="14"/>
        <v>790.57409916093764</v>
      </c>
      <c r="AJ112" s="618">
        <f t="shared" si="14"/>
        <v>792.9654872587397</v>
      </c>
      <c r="AK112" s="618">
        <f t="shared" si="14"/>
        <v>794.85502813285791</v>
      </c>
      <c r="AL112" s="618">
        <f t="shared" si="14"/>
        <v>794.85502813285791</v>
      </c>
      <c r="AM112" s="618">
        <f t="shared" si="14"/>
        <v>794.85502813285791</v>
      </c>
      <c r="AN112" s="618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138</v>
      </c>
      <c r="B1" s="11" t="s">
        <v>2585</v>
      </c>
      <c r="C1" s="111" t="s">
        <v>2612</v>
      </c>
      <c r="D1" s="11" t="s">
        <v>2613</v>
      </c>
      <c r="E1" s="11" t="s">
        <v>2614</v>
      </c>
      <c r="F1" s="11" t="s">
        <v>2615</v>
      </c>
      <c r="G1" s="11" t="s">
        <v>2616</v>
      </c>
      <c r="H1" s="11" t="s">
        <v>2617</v>
      </c>
      <c r="I1" s="11" t="s">
        <v>2618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topLeftCell="A34"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2619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2620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2621</v>
      </c>
    </row>
    <row r="27" spans="1:41" ht="13.9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2596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2622</v>
      </c>
    </row>
    <row r="47" spans="1:41" ht="13.9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2596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2623</v>
      </c>
    </row>
    <row r="68" spans="1:41" ht="13.9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2596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138</v>
      </c>
      <c r="B1" s="126" t="s">
        <v>2624</v>
      </c>
    </row>
    <row r="2" spans="1:2">
      <c r="A2" s="127">
        <v>1</v>
      </c>
      <c r="B2" s="124" t="s">
        <v>2625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2626</v>
      </c>
    </row>
    <row r="7" spans="1:2">
      <c r="A7" s="127">
        <v>6</v>
      </c>
      <c r="B7" s="124" t="s">
        <v>2627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2628</v>
      </c>
    </row>
    <row r="12" spans="1:2">
      <c r="A12" s="127">
        <v>200</v>
      </c>
      <c r="B12" s="124" t="s">
        <v>2629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2630</v>
      </c>
      <c r="B1" s="121" t="s">
        <v>137</v>
      </c>
      <c r="C1" s="121" t="s">
        <v>1</v>
      </c>
      <c r="D1" s="121" t="s">
        <v>2631</v>
      </c>
    </row>
    <row r="2" spans="1:4" ht="14.45">
      <c r="A2">
        <v>1</v>
      </c>
      <c r="B2" s="122" t="s">
        <v>157</v>
      </c>
      <c r="C2" s="123" t="s">
        <v>2632</v>
      </c>
      <c r="D2" s="124" t="s">
        <v>68</v>
      </c>
    </row>
    <row r="3" spans="1:4" ht="14.45">
      <c r="A3">
        <v>2</v>
      </c>
      <c r="B3" s="122" t="s">
        <v>2633</v>
      </c>
      <c r="C3" s="123" t="s">
        <v>2634</v>
      </c>
      <c r="D3" s="124" t="s">
        <v>67</v>
      </c>
    </row>
    <row r="4" spans="1:4" ht="14.45">
      <c r="A4">
        <v>3</v>
      </c>
      <c r="B4" s="122" t="s">
        <v>156</v>
      </c>
      <c r="C4" s="123" t="s">
        <v>2635</v>
      </c>
      <c r="D4" s="124" t="s">
        <v>68</v>
      </c>
    </row>
    <row r="5" spans="1:4" ht="14.45">
      <c r="A5">
        <v>4</v>
      </c>
      <c r="B5" s="122" t="s">
        <v>2001</v>
      </c>
      <c r="C5" s="123" t="s">
        <v>2636</v>
      </c>
      <c r="D5" s="124" t="s">
        <v>68</v>
      </c>
    </row>
    <row r="6" spans="1:4" ht="14.45">
      <c r="A6">
        <v>5</v>
      </c>
      <c r="B6" s="122" t="s">
        <v>154</v>
      </c>
      <c r="C6" s="123" t="s">
        <v>2637</v>
      </c>
      <c r="D6" s="124" t="s">
        <v>67</v>
      </c>
    </row>
    <row r="7" spans="1:4" ht="14.45">
      <c r="A7">
        <v>6</v>
      </c>
      <c r="B7" s="122" t="s">
        <v>2638</v>
      </c>
      <c r="C7" s="123" t="s">
        <v>2639</v>
      </c>
      <c r="D7" s="124" t="s">
        <v>67</v>
      </c>
    </row>
    <row r="8" spans="1:4" ht="14.45">
      <c r="A8">
        <v>7</v>
      </c>
      <c r="B8" s="122" t="s">
        <v>2640</v>
      </c>
      <c r="C8" s="123" t="s">
        <v>2641</v>
      </c>
      <c r="D8" s="125" t="s">
        <v>2642</v>
      </c>
    </row>
    <row r="9" spans="1:4" ht="14.45">
      <c r="A9">
        <v>8</v>
      </c>
      <c r="B9" s="122" t="s">
        <v>158</v>
      </c>
      <c r="C9" s="123" t="s">
        <v>2643</v>
      </c>
      <c r="D9" s="124" t="s">
        <v>2625</v>
      </c>
    </row>
    <row r="10" spans="1:4" ht="14.45">
      <c r="A10">
        <v>9</v>
      </c>
      <c r="B10" s="122" t="s">
        <v>2005</v>
      </c>
      <c r="C10" s="123" t="s">
        <v>2644</v>
      </c>
      <c r="D10" s="125" t="s">
        <v>2642</v>
      </c>
    </row>
    <row r="11" spans="1:4" ht="14.4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4.45">
      <c r="A12">
        <v>11</v>
      </c>
      <c r="B12" s="122" t="s">
        <v>152</v>
      </c>
      <c r="C12" s="123" t="s">
        <v>2645</v>
      </c>
      <c r="D12" s="124" t="s">
        <v>2625</v>
      </c>
    </row>
    <row r="13" spans="1:4" ht="14.45">
      <c r="A13">
        <v>12</v>
      </c>
      <c r="B13" s="122" t="s">
        <v>2092</v>
      </c>
      <c r="C13" s="123" t="s">
        <v>2646</v>
      </c>
      <c r="D13" s="125" t="s">
        <v>2642</v>
      </c>
    </row>
    <row r="14" spans="1:4" ht="14.45">
      <c r="A14">
        <v>13</v>
      </c>
      <c r="B14" s="122" t="s">
        <v>160</v>
      </c>
      <c r="C14" s="123" t="s">
        <v>2647</v>
      </c>
      <c r="D14" s="125" t="s">
        <v>2642</v>
      </c>
    </row>
    <row r="15" spans="1:4" ht="14.45">
      <c r="A15">
        <v>14</v>
      </c>
      <c r="B15" s="122" t="s">
        <v>155</v>
      </c>
      <c r="C15" s="123" t="s">
        <v>2648</v>
      </c>
      <c r="D15" s="124" t="s">
        <v>68</v>
      </c>
    </row>
    <row r="16" spans="1:4" ht="14.45">
      <c r="A16">
        <v>15</v>
      </c>
      <c r="B16" s="122" t="s">
        <v>2649</v>
      </c>
      <c r="C16" s="123" t="s">
        <v>2650</v>
      </c>
      <c r="D16" s="124" t="s">
        <v>67</v>
      </c>
    </row>
    <row r="17" spans="1:4" ht="14.45">
      <c r="A17">
        <v>16</v>
      </c>
      <c r="B17" s="122" t="s">
        <v>150</v>
      </c>
      <c r="C17" s="123" t="s">
        <v>2651</v>
      </c>
      <c r="D17" s="124" t="s">
        <v>67</v>
      </c>
    </row>
    <row r="18" spans="1:4" ht="14.45">
      <c r="A18">
        <v>17</v>
      </c>
      <c r="B18" s="122" t="s">
        <v>1985</v>
      </c>
      <c r="C18" s="123" t="s">
        <v>2652</v>
      </c>
      <c r="D18" s="124" t="s">
        <v>67</v>
      </c>
    </row>
    <row r="19" spans="1:4" ht="14.4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4.45">
      <c r="A20">
        <v>19</v>
      </c>
      <c r="B20" s="122" t="s">
        <v>284</v>
      </c>
      <c r="C20" s="123" t="s">
        <v>2653</v>
      </c>
      <c r="D20" s="124" t="s">
        <v>2625</v>
      </c>
    </row>
    <row r="21" spans="1:4" ht="14.45">
      <c r="A21">
        <v>20</v>
      </c>
      <c r="B21" s="122" t="s">
        <v>1866</v>
      </c>
      <c r="C21" s="123" t="s">
        <v>2654</v>
      </c>
      <c r="D21" s="124" t="s">
        <v>67</v>
      </c>
    </row>
    <row r="22" spans="1:4" ht="14.45">
      <c r="A22">
        <v>21</v>
      </c>
      <c r="B22" s="122" t="s">
        <v>2068</v>
      </c>
      <c r="C22" s="123" t="s">
        <v>2655</v>
      </c>
      <c r="D22" s="124" t="s">
        <v>68</v>
      </c>
    </row>
    <row r="23" spans="1:4" ht="14.45">
      <c r="A23">
        <v>22</v>
      </c>
      <c r="B23" s="122" t="s">
        <v>159</v>
      </c>
      <c r="C23" s="123" t="s">
        <v>2656</v>
      </c>
      <c r="D23" s="124" t="s">
        <v>68</v>
      </c>
    </row>
    <row r="24" spans="1:4" ht="14.45">
      <c r="A24">
        <v>23</v>
      </c>
      <c r="B24" s="122" t="s">
        <v>151</v>
      </c>
      <c r="C24" s="123" t="s">
        <v>2657</v>
      </c>
      <c r="D24" s="124" t="s">
        <v>66</v>
      </c>
    </row>
    <row r="25" spans="1:4" ht="14.45">
      <c r="A25">
        <v>24</v>
      </c>
      <c r="B25" s="122" t="s">
        <v>1991</v>
      </c>
      <c r="C25" s="123" t="s">
        <v>2658</v>
      </c>
      <c r="D25" s="124" t="s">
        <v>66</v>
      </c>
    </row>
    <row r="26" spans="1:4" ht="14.45">
      <c r="A26">
        <v>25</v>
      </c>
      <c r="B26" s="122" t="s">
        <v>2159</v>
      </c>
      <c r="C26" s="123" t="s">
        <v>2659</v>
      </c>
      <c r="D26" s="124" t="s">
        <v>67</v>
      </c>
    </row>
    <row r="27" spans="1:4" ht="14.45">
      <c r="A27">
        <v>26</v>
      </c>
      <c r="B27" s="122" t="s">
        <v>148</v>
      </c>
      <c r="C27" s="123" t="s">
        <v>2660</v>
      </c>
      <c r="D27" s="124" t="s">
        <v>2625</v>
      </c>
    </row>
    <row r="28" spans="1:4" ht="14.4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138</v>
      </c>
      <c r="B1" s="2" t="s">
        <v>2661</v>
      </c>
      <c r="C1" s="2" t="s">
        <v>2662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34" sqref="F34"/>
    </sheetView>
  </sheetViews>
  <sheetFormatPr defaultRowHeight="13.15"/>
  <cols>
    <col min="2" max="2" width="17.42578125" customWidth="1"/>
  </cols>
  <sheetData>
    <row r="1" spans="1:10">
      <c r="A1" s="4" t="s">
        <v>138</v>
      </c>
      <c r="B1" s="126" t="s">
        <v>2624</v>
      </c>
      <c r="C1" s="126" t="s">
        <v>2663</v>
      </c>
      <c r="D1" s="126" t="s">
        <v>2664</v>
      </c>
      <c r="E1" s="126" t="s">
        <v>2665</v>
      </c>
      <c r="F1" s="126" t="s">
        <v>2666</v>
      </c>
      <c r="G1" s="126" t="s">
        <v>2667</v>
      </c>
      <c r="H1" s="126" t="s">
        <v>2668</v>
      </c>
      <c r="I1" s="126" t="s">
        <v>2669</v>
      </c>
      <c r="J1" s="126" t="s">
        <v>2670</v>
      </c>
    </row>
    <row r="2" spans="1:10">
      <c r="A2" s="127">
        <v>1</v>
      </c>
      <c r="B2" s="124" t="s">
        <v>2625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2626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2627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141</v>
      </c>
      <c r="B1" s="4" t="s">
        <v>2671</v>
      </c>
    </row>
    <row r="2" spans="1:2">
      <c r="A2" s="17">
        <v>1</v>
      </c>
      <c r="B2" s="17" t="s">
        <v>2672</v>
      </c>
    </row>
    <row r="3" spans="1:2">
      <c r="A3" s="17">
        <v>2</v>
      </c>
      <c r="B3" s="17" t="s">
        <v>2673</v>
      </c>
    </row>
    <row r="4" spans="1:2">
      <c r="A4" s="17">
        <v>3</v>
      </c>
      <c r="B4" s="17" t="s">
        <v>2674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2661</v>
      </c>
      <c r="B1" s="143" t="s">
        <v>2675</v>
      </c>
    </row>
    <row r="2" spans="1:2">
      <c r="A2">
        <v>1</v>
      </c>
      <c r="B2" s="125" t="s">
        <v>2676</v>
      </c>
    </row>
    <row r="3" spans="1:2">
      <c r="A3">
        <v>2</v>
      </c>
      <c r="B3" s="125" t="s">
        <v>2677</v>
      </c>
    </row>
    <row r="4" spans="1:2">
      <c r="A4">
        <v>3</v>
      </c>
      <c r="B4" s="125" t="s">
        <v>2678</v>
      </c>
    </row>
    <row r="5" spans="1:2">
      <c r="A5">
        <v>4</v>
      </c>
      <c r="B5" s="125" t="s">
        <v>2679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2680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77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4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3">
        <v>1000000000000000</v>
      </c>
      <c r="C86" s="593">
        <v>1000000000000000</v>
      </c>
      <c r="D86" s="593">
        <v>1000000000000000</v>
      </c>
      <c r="E86" s="593">
        <v>1000000000000000</v>
      </c>
      <c r="F86" s="593">
        <v>1000000000000000</v>
      </c>
      <c r="G86" s="593">
        <v>1000000000000000</v>
      </c>
      <c r="H86" s="593">
        <v>1000000000000000</v>
      </c>
      <c r="I86" s="593">
        <v>1000000000000000</v>
      </c>
      <c r="J86" s="593">
        <v>1000000000000000</v>
      </c>
      <c r="K86" s="593">
        <v>1000000000000000</v>
      </c>
      <c r="L86" s="593">
        <v>1000000000000000</v>
      </c>
      <c r="M86" s="593">
        <v>1000000000000000</v>
      </c>
      <c r="N86" s="593">
        <v>1000000000000000</v>
      </c>
      <c r="O86" s="593">
        <v>1000000000000000</v>
      </c>
      <c r="P86" s="593">
        <v>1000000000000000</v>
      </c>
      <c r="Q86" s="593">
        <v>1000000000000000</v>
      </c>
      <c r="R86" s="593">
        <v>1000000000000000</v>
      </c>
      <c r="S86" s="593">
        <v>1000000000000000</v>
      </c>
      <c r="T86" s="593">
        <v>1000000000000000</v>
      </c>
      <c r="U86" s="593">
        <v>1000000000000000</v>
      </c>
      <c r="V86" s="593">
        <v>1000000000000000</v>
      </c>
      <c r="W86" s="593">
        <v>1000000000000000</v>
      </c>
      <c r="X86" s="593">
        <v>1000000000000000</v>
      </c>
      <c r="Y86" s="593">
        <v>1000000000000000</v>
      </c>
      <c r="Z86" s="593">
        <v>1000000000000000</v>
      </c>
      <c r="AA86" s="593">
        <v>1000000000000000</v>
      </c>
      <c r="AB86" s="593">
        <v>1000000000000000</v>
      </c>
      <c r="AC86" s="593">
        <v>1000000000000000</v>
      </c>
      <c r="AD86" s="593">
        <v>1000000000000000</v>
      </c>
      <c r="AE86" s="593">
        <v>1000000000000000</v>
      </c>
      <c r="AF86" s="593">
        <v>1000000000000000</v>
      </c>
      <c r="AG86" s="593">
        <v>1000000000000000</v>
      </c>
      <c r="AH86" s="593">
        <v>1000000000000000</v>
      </c>
      <c r="AI86" s="593">
        <v>1000000000000000</v>
      </c>
      <c r="AJ86" s="593">
        <v>1000000000000000</v>
      </c>
      <c r="AK86" s="593">
        <v>1000000000000000</v>
      </c>
      <c r="AL86" s="593">
        <v>1000000000000000</v>
      </c>
      <c r="AM86" s="593">
        <v>1000000000000000</v>
      </c>
      <c r="AN86" s="593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4">
        <v>300</v>
      </c>
      <c r="C87" s="594">
        <v>300</v>
      </c>
      <c r="D87" s="594">
        <v>300</v>
      </c>
      <c r="E87" s="594">
        <v>300</v>
      </c>
      <c r="F87" s="594">
        <v>300</v>
      </c>
      <c r="G87" s="594">
        <v>233</v>
      </c>
      <c r="H87" s="594">
        <v>219</v>
      </c>
      <c r="I87" s="594">
        <v>124</v>
      </c>
      <c r="J87" s="594">
        <v>266</v>
      </c>
      <c r="K87" s="595">
        <v>1000000000000000</v>
      </c>
      <c r="L87" s="595">
        <v>1000000000000000</v>
      </c>
      <c r="M87" s="595">
        <v>1000000000000000</v>
      </c>
      <c r="N87" s="595">
        <v>1000000000000000</v>
      </c>
      <c r="O87" s="595">
        <v>1000000000000000</v>
      </c>
      <c r="P87" s="595">
        <v>1000000000000000</v>
      </c>
      <c r="Q87" s="595">
        <v>1000000000000000</v>
      </c>
      <c r="R87" s="595">
        <v>1000000000000000</v>
      </c>
      <c r="S87" s="595">
        <v>1000000000000000</v>
      </c>
      <c r="T87" s="595">
        <v>1000000000000000</v>
      </c>
      <c r="U87" s="595">
        <v>1000000000000000</v>
      </c>
      <c r="V87" s="595">
        <v>1000000000000000</v>
      </c>
      <c r="W87" s="595">
        <v>1000000000000000</v>
      </c>
      <c r="X87" s="595">
        <v>1000000000000000</v>
      </c>
      <c r="Y87" s="595">
        <v>1000000000000000</v>
      </c>
      <c r="Z87" s="595">
        <v>1000000000000000</v>
      </c>
      <c r="AA87" s="595">
        <v>1000000000000000</v>
      </c>
      <c r="AB87" s="595">
        <v>1000000000000000</v>
      </c>
      <c r="AC87" s="595">
        <v>1000000000000000</v>
      </c>
      <c r="AD87" s="595">
        <v>1000000000000000</v>
      </c>
      <c r="AE87" s="595">
        <v>1000000000000000</v>
      </c>
      <c r="AF87" s="595">
        <v>1000000000000000</v>
      </c>
      <c r="AG87" s="595">
        <v>1000000000000000</v>
      </c>
      <c r="AH87" s="595">
        <v>1000000000000000</v>
      </c>
      <c r="AI87" s="595">
        <v>1000000000000000</v>
      </c>
      <c r="AJ87" s="595">
        <v>1000000000000000</v>
      </c>
      <c r="AK87" s="595">
        <v>1000000000000000</v>
      </c>
      <c r="AL87" s="595">
        <v>1000000000000000</v>
      </c>
      <c r="AM87" s="595">
        <v>1000000000000000</v>
      </c>
      <c r="AN87" s="595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5">
        <v>1000000000000000</v>
      </c>
      <c r="C89" s="595">
        <v>1000000000000000</v>
      </c>
      <c r="D89" s="595">
        <v>1000000000000000</v>
      </c>
      <c r="E89" s="595">
        <v>1000000000000000</v>
      </c>
      <c r="F89" s="595">
        <v>1000000000000000</v>
      </c>
      <c r="G89" s="595">
        <v>1000000000000000</v>
      </c>
      <c r="H89" s="595">
        <v>1000000000000000</v>
      </c>
      <c r="I89" s="595">
        <v>1000000000000000</v>
      </c>
      <c r="J89" s="595">
        <v>1000000000000000</v>
      </c>
      <c r="K89" s="595">
        <v>1000000000000000</v>
      </c>
      <c r="L89" s="595">
        <v>1000000000000000</v>
      </c>
      <c r="M89" s="595">
        <v>1000000000000000</v>
      </c>
      <c r="N89" s="595">
        <v>1000000000000000</v>
      </c>
      <c r="O89" s="595">
        <v>1000000000000000</v>
      </c>
      <c r="P89" s="595">
        <v>1000000000000000</v>
      </c>
      <c r="Q89" s="595">
        <v>1000000000000000</v>
      </c>
      <c r="R89" s="595">
        <v>1000000000000000</v>
      </c>
      <c r="S89" s="595">
        <v>1000000000000000</v>
      </c>
      <c r="T89" s="595">
        <v>1000000000000000</v>
      </c>
      <c r="U89" s="595">
        <v>1000000000000000</v>
      </c>
      <c r="V89" s="595">
        <v>1000000000000000</v>
      </c>
      <c r="W89" s="595">
        <v>1000000000000000</v>
      </c>
      <c r="X89" s="595">
        <v>1000000000000000</v>
      </c>
      <c r="Y89" s="595">
        <v>1000000000000000</v>
      </c>
      <c r="Z89" s="595">
        <v>1000000000000000</v>
      </c>
      <c r="AA89" s="595">
        <v>1000000000000000</v>
      </c>
      <c r="AB89" s="595">
        <v>1000000000000000</v>
      </c>
      <c r="AC89" s="595">
        <v>1000000000000000</v>
      </c>
      <c r="AD89" s="595">
        <v>1000000000000000</v>
      </c>
      <c r="AE89" s="595">
        <v>1000000000000000</v>
      </c>
      <c r="AF89" s="595">
        <v>1000000000000000</v>
      </c>
      <c r="AG89" s="595">
        <v>1000000000000000</v>
      </c>
      <c r="AH89" s="595">
        <v>1000000000000000</v>
      </c>
      <c r="AI89" s="595">
        <v>1000000000000000</v>
      </c>
      <c r="AJ89" s="595">
        <v>1000000000000000</v>
      </c>
      <c r="AK89" s="595">
        <v>1000000000000000</v>
      </c>
      <c r="AL89" s="595">
        <v>1000000000000000</v>
      </c>
      <c r="AM89" s="595">
        <v>1000000000000000</v>
      </c>
      <c r="AN89" s="595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5">
        <v>1000000000000000</v>
      </c>
      <c r="C91" s="595">
        <v>1000000000000000</v>
      </c>
      <c r="D91" s="595">
        <v>1000000000000000</v>
      </c>
      <c r="E91" s="595">
        <v>1000000000000000</v>
      </c>
      <c r="F91" s="595">
        <v>1000000000000000</v>
      </c>
      <c r="G91" s="595">
        <v>1000000000000000</v>
      </c>
      <c r="H91" s="595">
        <v>1000000000000000</v>
      </c>
      <c r="I91" s="595">
        <v>1000000000000000</v>
      </c>
      <c r="J91" s="595">
        <v>1000000000000000</v>
      </c>
      <c r="K91" s="595">
        <v>1000000000000000</v>
      </c>
      <c r="L91" s="595">
        <v>1000000000000000</v>
      </c>
      <c r="M91" s="595">
        <v>1000000000000000</v>
      </c>
      <c r="N91" s="595">
        <v>1000000000000000</v>
      </c>
      <c r="O91" s="595">
        <v>1000000000000000</v>
      </c>
      <c r="P91" s="595">
        <v>1000000000000000</v>
      </c>
      <c r="Q91" s="595">
        <v>1000000000000000</v>
      </c>
      <c r="R91" s="595">
        <v>1000000000000000</v>
      </c>
      <c r="S91" s="595">
        <v>1000000000000000</v>
      </c>
      <c r="T91" s="595">
        <v>1000000000000000</v>
      </c>
      <c r="U91" s="595">
        <v>1000000000000000</v>
      </c>
      <c r="V91" s="595">
        <v>1000000000000000</v>
      </c>
      <c r="W91" s="595">
        <v>1000000000000000</v>
      </c>
      <c r="X91" s="595">
        <v>1000000000000000</v>
      </c>
      <c r="Y91" s="595">
        <v>1000000000000000</v>
      </c>
      <c r="Z91" s="595">
        <v>1000000000000000</v>
      </c>
      <c r="AA91" s="595">
        <v>1000000000000000</v>
      </c>
      <c r="AB91" s="595">
        <v>1000000000000000</v>
      </c>
      <c r="AC91" s="595">
        <v>1000000000000000</v>
      </c>
      <c r="AD91" s="595">
        <v>1000000000000000</v>
      </c>
      <c r="AE91" s="595">
        <v>1000000000000000</v>
      </c>
      <c r="AF91" s="595">
        <v>1000000000000000</v>
      </c>
      <c r="AG91" s="595">
        <v>1000000000000000</v>
      </c>
      <c r="AH91" s="595">
        <v>1000000000000000</v>
      </c>
      <c r="AI91" s="595">
        <v>1000000000000000</v>
      </c>
      <c r="AJ91" s="595">
        <v>1000000000000000</v>
      </c>
      <c r="AK91" s="595">
        <v>1000000000000000</v>
      </c>
      <c r="AL91" s="595">
        <v>1000000000000000</v>
      </c>
      <c r="AM91" s="595">
        <v>1000000000000000</v>
      </c>
      <c r="AN91" s="595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55">
        <v>54.388285212803396</v>
      </c>
      <c r="G92" s="655">
        <v>1641.9636183874959</v>
      </c>
      <c r="H92" s="655">
        <v>1432.1788315265721</v>
      </c>
      <c r="I92" s="655">
        <v>6771.6977463939338</v>
      </c>
      <c r="J92" s="655">
        <v>4909.0388205191084</v>
      </c>
      <c r="K92" s="655">
        <v>5095.3013863893702</v>
      </c>
      <c r="L92" s="655">
        <v>4507.8594145450015</v>
      </c>
      <c r="M92" s="655">
        <v>4607.0004166406788</v>
      </c>
      <c r="N92" s="655">
        <v>4546.4635485846993</v>
      </c>
      <c r="O92" s="655">
        <v>4682.9678999356729</v>
      </c>
      <c r="P92" s="655">
        <v>3976.9361095250001</v>
      </c>
      <c r="Q92" s="655">
        <v>3717.7049690674307</v>
      </c>
      <c r="R92" s="655">
        <v>3885.6887211625804</v>
      </c>
      <c r="S92" s="655">
        <v>4023.2507696964817</v>
      </c>
      <c r="T92" s="655">
        <v>4182.7532596122619</v>
      </c>
      <c r="U92" s="655">
        <v>4443.1050684578158</v>
      </c>
      <c r="V92" s="655">
        <v>4564.0629217695378</v>
      </c>
      <c r="W92" s="655">
        <v>4553.2620062418546</v>
      </c>
      <c r="X92" s="655">
        <v>4676.8022271144846</v>
      </c>
      <c r="Y92" s="655">
        <v>4821.3144468549544</v>
      </c>
      <c r="Z92" s="655">
        <v>5121.3568666304354</v>
      </c>
      <c r="AA92" s="655">
        <v>5022.2669046687042</v>
      </c>
      <c r="AB92" s="655">
        <v>5035.0754715230069</v>
      </c>
      <c r="AC92" s="655">
        <v>4801.2555768848351</v>
      </c>
      <c r="AD92" s="655">
        <v>4718.6206778394298</v>
      </c>
      <c r="AE92" s="655">
        <v>4136.1001272163203</v>
      </c>
      <c r="AF92" s="655">
        <v>4156.5308193596493</v>
      </c>
      <c r="AG92" s="655">
        <v>4143.2231104021903</v>
      </c>
      <c r="AH92" s="655">
        <v>4209.6305080756556</v>
      </c>
      <c r="AI92" s="655">
        <v>4270.8215729051244</v>
      </c>
      <c r="AJ92" s="655">
        <v>4278.2214339867478</v>
      </c>
      <c r="AK92" s="655">
        <v>4227.820848821284</v>
      </c>
      <c r="AL92" s="655">
        <v>4693.1502445840551</v>
      </c>
      <c r="AM92" s="655">
        <v>4476.3521546136335</v>
      </c>
      <c r="AN92" s="655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6">
        <v>1000000000000000</v>
      </c>
      <c r="C93" s="596">
        <v>1000000000000000</v>
      </c>
      <c r="D93" s="596">
        <v>1000000000000000</v>
      </c>
      <c r="E93" s="596">
        <v>1000000000000000</v>
      </c>
      <c r="F93" s="596">
        <v>1000000000000000</v>
      </c>
      <c r="G93" s="596">
        <v>1000000000000000</v>
      </c>
      <c r="H93" s="596">
        <v>1000000000000000</v>
      </c>
      <c r="I93" s="596">
        <v>1000000000000000</v>
      </c>
      <c r="J93" s="596">
        <v>1000000000000000</v>
      </c>
      <c r="K93" s="596">
        <v>1000000000000000</v>
      </c>
      <c r="L93" s="596">
        <v>1000000000000000</v>
      </c>
      <c r="M93" s="596">
        <v>1000000000000000</v>
      </c>
      <c r="N93" s="596">
        <v>1000000000000000</v>
      </c>
      <c r="O93" s="596">
        <v>1000000000000000</v>
      </c>
      <c r="P93" s="596">
        <v>1000000000000000</v>
      </c>
      <c r="Q93" s="596">
        <v>1000000000000000</v>
      </c>
      <c r="R93" s="596">
        <v>1000000000000000</v>
      </c>
      <c r="S93" s="596">
        <v>1000000000000000</v>
      </c>
      <c r="T93" s="596">
        <v>1000000000000000</v>
      </c>
      <c r="U93" s="596">
        <v>1000000000000000</v>
      </c>
      <c r="V93" s="596">
        <v>1000000000000000</v>
      </c>
      <c r="W93" s="596">
        <v>1000000000000000</v>
      </c>
      <c r="X93" s="596">
        <v>1000000000000000</v>
      </c>
      <c r="Y93" s="596">
        <v>1000000000000000</v>
      </c>
      <c r="Z93" s="596">
        <v>1000000000000000</v>
      </c>
      <c r="AA93" s="596">
        <v>1000000000000000</v>
      </c>
      <c r="AB93" s="596">
        <v>1000000000000000</v>
      </c>
      <c r="AC93" s="596">
        <v>1000000000000000</v>
      </c>
      <c r="AD93" s="596">
        <v>1000000000000000</v>
      </c>
      <c r="AE93" s="596">
        <v>1000000000000000</v>
      </c>
      <c r="AF93" s="596">
        <v>1000000000000000</v>
      </c>
      <c r="AG93" s="596">
        <v>1000000000000000</v>
      </c>
      <c r="AH93" s="596">
        <v>1000000000000000</v>
      </c>
      <c r="AI93" s="596">
        <v>1000000000000000</v>
      </c>
      <c r="AJ93" s="596">
        <v>1000000000000000</v>
      </c>
      <c r="AK93" s="596">
        <v>1000000000000000</v>
      </c>
      <c r="AL93" s="596">
        <v>1000000000000000</v>
      </c>
      <c r="AM93" s="596">
        <v>1000000000000000</v>
      </c>
      <c r="AN93" s="596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0" t="s">
        <v>90</v>
      </c>
      <c r="B106" s="562">
        <v>1250000</v>
      </c>
      <c r="C106" s="562">
        <v>1250000</v>
      </c>
      <c r="D106" s="562">
        <v>1250000</v>
      </c>
      <c r="E106" s="562">
        <v>1250000</v>
      </c>
      <c r="F106" s="562">
        <v>1250000</v>
      </c>
      <c r="G106" s="562">
        <v>1250000</v>
      </c>
      <c r="H106" s="562">
        <v>1250000</v>
      </c>
      <c r="I106" s="562">
        <v>1250000</v>
      </c>
      <c r="J106" s="562">
        <v>1250000</v>
      </c>
      <c r="K106" s="562">
        <v>1250000</v>
      </c>
      <c r="L106" s="562">
        <v>1250000</v>
      </c>
      <c r="M106" s="562">
        <v>1250000</v>
      </c>
      <c r="N106" s="562">
        <v>1250000</v>
      </c>
      <c r="O106" s="562">
        <v>1250000</v>
      </c>
      <c r="P106" s="562">
        <v>1250000</v>
      </c>
      <c r="Q106" s="562">
        <v>1250000</v>
      </c>
      <c r="R106" s="562">
        <v>1250000</v>
      </c>
      <c r="S106" s="562">
        <v>1250000</v>
      </c>
      <c r="T106" s="562">
        <v>1250000</v>
      </c>
      <c r="U106" s="562">
        <v>1450000</v>
      </c>
      <c r="V106" s="562">
        <v>1450000</v>
      </c>
      <c r="W106" s="562">
        <v>1450000</v>
      </c>
      <c r="X106" s="562">
        <v>1450000</v>
      </c>
      <c r="Y106" s="562">
        <v>1450000</v>
      </c>
      <c r="Z106" s="562">
        <v>1950000</v>
      </c>
      <c r="AA106" s="562">
        <v>1950000</v>
      </c>
      <c r="AB106" s="562">
        <v>1950000</v>
      </c>
      <c r="AC106" s="562">
        <v>1950000</v>
      </c>
      <c r="AD106" s="562">
        <v>1950000</v>
      </c>
      <c r="AE106" s="562">
        <v>2600000</v>
      </c>
      <c r="AF106" s="562">
        <v>2600000</v>
      </c>
      <c r="AG106" s="562">
        <v>2600000</v>
      </c>
      <c r="AH106" s="562">
        <v>2600000</v>
      </c>
      <c r="AI106" s="562">
        <v>2600000</v>
      </c>
      <c r="AJ106" s="562">
        <v>2750000</v>
      </c>
      <c r="AK106" s="562">
        <v>2750000</v>
      </c>
      <c r="AL106" s="562">
        <v>2750000</v>
      </c>
      <c r="AM106" s="562">
        <v>2750000</v>
      </c>
      <c r="AN106" s="562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1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138</v>
      </c>
      <c r="B1" s="428" t="s">
        <v>2624</v>
      </c>
      <c r="C1" s="386" t="s">
        <v>2681</v>
      </c>
      <c r="D1" s="386" t="s">
        <v>2682</v>
      </c>
      <c r="E1" s="386" t="s">
        <v>2683</v>
      </c>
      <c r="F1" s="386" t="s">
        <v>2684</v>
      </c>
    </row>
    <row r="2" spans="1:6" ht="13.9" thickTop="1">
      <c r="A2" s="127">
        <v>1</v>
      </c>
      <c r="B2" s="124" t="s">
        <v>2625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2626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2627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2628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2629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D14" sqref="D14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2685</v>
      </c>
      <c r="B1" s="121" t="s">
        <v>1961</v>
      </c>
      <c r="C1" s="121" t="s">
        <v>2686</v>
      </c>
      <c r="D1" s="121" t="s">
        <v>2687</v>
      </c>
    </row>
    <row r="2" spans="1:4">
      <c r="A2" s="135">
        <v>801</v>
      </c>
      <c r="B2" s="95" t="s">
        <v>2688</v>
      </c>
      <c r="C2" s="136">
        <v>1</v>
      </c>
      <c r="D2" s="136">
        <v>2</v>
      </c>
    </row>
    <row r="3" spans="1:4">
      <c r="A3" s="135">
        <v>802</v>
      </c>
      <c r="B3" s="95" t="s">
        <v>2689</v>
      </c>
      <c r="C3" s="136">
        <v>1</v>
      </c>
      <c r="D3" s="136">
        <v>3</v>
      </c>
    </row>
    <row r="4" spans="1:4">
      <c r="A4" s="135">
        <v>803</v>
      </c>
      <c r="B4" s="95" t="s">
        <v>2690</v>
      </c>
      <c r="C4" s="137">
        <v>1</v>
      </c>
      <c r="D4" s="137">
        <v>5</v>
      </c>
    </row>
    <row r="5" spans="1:4">
      <c r="A5" s="135">
        <v>804</v>
      </c>
      <c r="B5" s="95" t="s">
        <v>2691</v>
      </c>
      <c r="C5" s="136">
        <v>1</v>
      </c>
      <c r="D5" s="136">
        <v>100</v>
      </c>
    </row>
    <row r="6" spans="1:4">
      <c r="A6" s="135">
        <v>805</v>
      </c>
      <c r="B6" s="95" t="s">
        <v>2692</v>
      </c>
      <c r="C6" s="136">
        <v>1</v>
      </c>
      <c r="D6" s="136">
        <v>200</v>
      </c>
    </row>
    <row r="7" spans="1:4">
      <c r="A7" s="135">
        <v>806</v>
      </c>
      <c r="B7" s="95" t="s">
        <v>2693</v>
      </c>
      <c r="C7" s="137">
        <v>2</v>
      </c>
      <c r="D7" s="137">
        <v>5</v>
      </c>
    </row>
    <row r="8" spans="1:4">
      <c r="A8" s="135">
        <v>807</v>
      </c>
      <c r="B8" s="95" t="s">
        <v>2694</v>
      </c>
      <c r="C8" s="137">
        <v>2</v>
      </c>
      <c r="D8" s="137">
        <v>100</v>
      </c>
    </row>
    <row r="9" spans="1:4">
      <c r="A9" s="135">
        <v>808</v>
      </c>
      <c r="B9" s="95" t="s">
        <v>2695</v>
      </c>
      <c r="C9" s="137">
        <v>3</v>
      </c>
      <c r="D9" s="137">
        <v>200</v>
      </c>
    </row>
    <row r="10" spans="1:4">
      <c r="A10" s="135">
        <v>809</v>
      </c>
      <c r="B10" s="95" t="s">
        <v>2696</v>
      </c>
      <c r="C10" s="136">
        <v>4</v>
      </c>
      <c r="D10" s="136">
        <v>7</v>
      </c>
    </row>
    <row r="11" spans="1:4">
      <c r="A11" s="135">
        <v>810</v>
      </c>
      <c r="B11" s="95" t="s">
        <v>2697</v>
      </c>
      <c r="C11" s="136">
        <v>4</v>
      </c>
      <c r="D11" s="136">
        <v>200</v>
      </c>
    </row>
    <row r="12" spans="1:4">
      <c r="A12" s="135">
        <v>811</v>
      </c>
      <c r="B12" s="95" t="s">
        <v>2698</v>
      </c>
      <c r="C12" s="137">
        <v>5</v>
      </c>
      <c r="D12" s="137">
        <v>100</v>
      </c>
    </row>
    <row r="13" spans="1:4">
      <c r="A13" s="135">
        <v>812</v>
      </c>
      <c r="B13" s="95" t="s">
        <v>2699</v>
      </c>
      <c r="C13" s="136">
        <v>6</v>
      </c>
      <c r="D13" s="136">
        <v>1</v>
      </c>
    </row>
    <row r="14" spans="1:4">
      <c r="A14" s="135">
        <v>813</v>
      </c>
      <c r="B14" s="95" t="s">
        <v>2700</v>
      </c>
      <c r="C14" s="136">
        <v>7</v>
      </c>
      <c r="D14" s="136">
        <v>6</v>
      </c>
    </row>
    <row r="15" spans="1:4">
      <c r="A15" s="135">
        <v>814</v>
      </c>
      <c r="B15" s="95" t="s">
        <v>2701</v>
      </c>
      <c r="C15" s="136">
        <v>9</v>
      </c>
      <c r="D15" s="136">
        <v>4</v>
      </c>
    </row>
    <row r="16" spans="1:4">
      <c r="A16" s="135">
        <v>815</v>
      </c>
      <c r="B16" s="95" t="s">
        <v>2702</v>
      </c>
      <c r="C16" s="136">
        <v>9</v>
      </c>
      <c r="D16" s="136">
        <v>1</v>
      </c>
    </row>
    <row r="17" spans="1:4">
      <c r="A17" s="135">
        <v>816</v>
      </c>
      <c r="B17" s="95" t="s">
        <v>2703</v>
      </c>
      <c r="C17" s="136">
        <v>10</v>
      </c>
      <c r="D17" s="136">
        <v>1</v>
      </c>
    </row>
    <row r="18" spans="1:4">
      <c r="A18" s="135">
        <v>817</v>
      </c>
      <c r="B18" s="95" t="s">
        <v>2704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G14" activePane="bottomRight" state="frozen"/>
      <selection pane="bottomRight" activeCell="H28" sqref="H28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6" max="6" width="14.140625" customWidth="1"/>
    <col min="7" max="8" width="21.7109375" bestFit="1" customWidth="1"/>
    <col min="9" max="10" width="28.140625" bestFit="1" customWidth="1"/>
    <col min="11" max="11" width="12.5703125" bestFit="1" customWidth="1"/>
  </cols>
  <sheetData>
    <row r="1" spans="1:13" ht="13.9" thickBot="1">
      <c r="A1" s="11" t="s">
        <v>2705</v>
      </c>
      <c r="B1" s="2" t="s">
        <v>2706</v>
      </c>
      <c r="C1" s="11" t="s">
        <v>2685</v>
      </c>
      <c r="D1" s="138" t="s">
        <v>2686</v>
      </c>
      <c r="E1" s="138" t="s">
        <v>2687</v>
      </c>
      <c r="F1" s="139" t="s">
        <v>162</v>
      </c>
      <c r="G1" s="11" t="s">
        <v>2707</v>
      </c>
      <c r="H1" s="11" t="s">
        <v>2708</v>
      </c>
      <c r="I1" s="11" t="s">
        <v>2709</v>
      </c>
      <c r="J1" s="11" t="s">
        <v>2710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VLOOKUP(C2,[6]tab_corredor!$A$2:$B$50,2,0)&amp;"_"&amp;K2</f>
        <v>SE-Sul_2012</v>
      </c>
      <c r="C2" s="135">
        <v>801</v>
      </c>
      <c r="D2" s="142">
        <f>IF(C2="","",VLOOKUP(C2,[6]tab_corredor!$A$2:$D$30,3,0))</f>
        <v>1</v>
      </c>
      <c r="E2" s="142">
        <f>IF(C2="","",VLOOKUP(C2,[6]tab_corredor!$A$2:$D$30,4,0))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VLOOKUP(C3,[6]tab_corredor!$A$2:$B$50,2,0)&amp;"_"&amp;K3</f>
        <v>SE-Sul_2017</v>
      </c>
      <c r="C3" s="135">
        <v>801</v>
      </c>
      <c r="D3" s="142">
        <f>IF(C3="","",VLOOKUP(C3,[6]tab_corredor!$A$2:$D$30,3,0))</f>
        <v>1</v>
      </c>
      <c r="E3" s="142">
        <f>IF(C3="","",VLOOKUP(C3,[6]tab_corredor!$A$2:$D$30,4,0))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VLOOKUP(C4,[6]tab_corredor!$A$2:$B$50,2,0)&amp;"_"&amp;K4</f>
        <v>SE-Sul_2020</v>
      </c>
      <c r="C4" s="135">
        <v>801</v>
      </c>
      <c r="D4" s="142">
        <f>IF(C4="","",VLOOKUP(C4,[6]tab_corredor!$A$2:$D$30,3,0))</f>
        <v>1</v>
      </c>
      <c r="E4" s="142">
        <f>IF(C4="","",VLOOKUP(C4,[6]tab_corredor!$A$2:$D$30,4,0))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VLOOKUP(C5,[6]tab_corredor!$A$2:$B$50,2,0)&amp;"_"&amp;K5</f>
        <v>SE-NE_2012</v>
      </c>
      <c r="C5" s="135">
        <v>802</v>
      </c>
      <c r="D5" s="142">
        <f>IF(C5="","",VLOOKUP(C5,[6]tab_corredor!$A$2:$D$30,3,0))</f>
        <v>1</v>
      </c>
      <c r="E5" s="142">
        <f>IF(C5="","",VLOOKUP(C5,[6]tab_corredor!$A$2:$D$30,4,0))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VLOOKUP(C6,[6]tab_corredor!$A$2:$B$50,2,0)&amp;"_"&amp;K6</f>
        <v>SE-NE_2016</v>
      </c>
      <c r="C6" s="135">
        <v>802</v>
      </c>
      <c r="D6" s="142">
        <f>IF(C6="","",VLOOKUP(C6,[6]tab_corredor!$A$2:$D$30,3,0))</f>
        <v>1</v>
      </c>
      <c r="E6" s="142">
        <f>IF(C6="","",VLOOKUP(C6,[6]tab_corredor!$A$2:$D$30,4,0))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VLOOKUP(C7,[6]tab_corredor!$A$2:$B$50,2,0)&amp;"_"&amp;K7</f>
        <v>SE-NE_2023</v>
      </c>
      <c r="C7" s="135">
        <v>802</v>
      </c>
      <c r="D7" s="142">
        <f>IF(C7="","",VLOOKUP(C7,[6]tab_corredor!$A$2:$D$30,3,0))</f>
        <v>1</v>
      </c>
      <c r="E7" s="142">
        <f>IF(C7="","",VLOOKUP(C7,[6]tab_corredor!$A$2:$D$30,4,0))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VLOOKUP(C8,[6]tab_corredor!$A$2:$B$50,2,0)&amp;"_"&amp;K8</f>
        <v>SE-Itaipu_2012</v>
      </c>
      <c r="C8" s="135">
        <v>803</v>
      </c>
      <c r="D8" s="142">
        <f>IF(C8="","",VLOOKUP(C8,[6]tab_corredor!$A$2:$D$30,3,0))</f>
        <v>1</v>
      </c>
      <c r="E8" s="142">
        <f>IF(C8="","",VLOOKUP(C8,[6]tab_corredor!$A$2:$D$30,4,0))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VLOOKUP(C9,[6]tab_corredor!$A$2:$B$50,2,0)&amp;"_"&amp;K9</f>
        <v>SE-Ivaip_2012</v>
      </c>
      <c r="C9" s="135">
        <v>804</v>
      </c>
      <c r="D9" s="142">
        <f>IF(C9="","",VLOOKUP(C9,[6]tab_corredor!$A$2:$D$30,3,0))</f>
        <v>1</v>
      </c>
      <c r="E9" s="142">
        <f>IF(C9="","",VLOOKUP(C9,[6]tab_corredor!$A$2:$D$30,4,0))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VLOOKUP(C10,[6]tab_corredor!$A$2:$B$50,2,0)&amp;"_"&amp;K10</f>
        <v>SE-Imp_2012</v>
      </c>
      <c r="C10" s="135">
        <v>805</v>
      </c>
      <c r="D10" s="142">
        <f>IF(C10="","",VLOOKUP(C10,[6]tab_corredor!$A$2:$D$30,3,0))</f>
        <v>1</v>
      </c>
      <c r="E10" s="142">
        <f>IF(C10="","",VLOOKUP(C10,[6]tab_corredor!$A$2:$D$30,4,0))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VLOOKUP(C11,[6]tab_corredor!$A$2:$B$50,2,0)&amp;"_"&amp;K11</f>
        <v>SE-Imp_2019</v>
      </c>
      <c r="C11" s="135">
        <v>805</v>
      </c>
      <c r="D11" s="142">
        <f>IF(C11="","",VLOOKUP(C11,[6]tab_corredor!$A$2:$D$30,3,0))</f>
        <v>1</v>
      </c>
      <c r="E11" s="142">
        <f>IF(C11="","",VLOOKUP(C11,[6]tab_corredor!$A$2:$D$30,4,0))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VLOOKUP(C12,[6]tab_corredor!$A$2:$B$50,2,0)&amp;"_"&amp;K12</f>
        <v>SE-Imp_2023</v>
      </c>
      <c r="C12" s="135">
        <v>805</v>
      </c>
      <c r="D12" s="142">
        <f>IF(C12="","",VLOOKUP(C12,[6]tab_corredor!$A$2:$D$30,3,0))</f>
        <v>1</v>
      </c>
      <c r="E12" s="142">
        <f>IF(C12="","",VLOOKUP(C12,[6]tab_corredor!$A$2:$D$30,4,0))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VLOOKUP(C13,[6]tab_corredor!$A$2:$B$50,2,0)&amp;"_"&amp;K13</f>
        <v>Sul-Itaipu_2017</v>
      </c>
      <c r="C13" s="135">
        <v>806</v>
      </c>
      <c r="D13" s="142">
        <f>IF(C13="","",VLOOKUP(C13,[6]tab_corredor!$A$2:$D$30,3,0))</f>
        <v>2</v>
      </c>
      <c r="E13" s="142">
        <f>IF(C13="","",VLOOKUP(C13,[6]tab_corredor!$A$2:$D$30,4,0))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VLOOKUP(C14,[6]tab_corredor!$A$2:$B$50,2,0)&amp;"_"&amp;K14</f>
        <v>Sul-Itaipu_2012</v>
      </c>
      <c r="C14" s="135">
        <v>806</v>
      </c>
      <c r="D14" s="142">
        <f>IF(C14="","",VLOOKUP(C14,[6]tab_corredor!$A$2:$D$30,3,0))</f>
        <v>2</v>
      </c>
      <c r="E14" s="142">
        <f>IF(C14="","",VLOOKUP(C14,[6]tab_corredor!$A$2:$D$30,4,0))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VLOOKUP(C15,[6]tab_corredor!$A$2:$B$50,2,0)&amp;"_"&amp;K15</f>
        <v>Sul-Ivaip_2018</v>
      </c>
      <c r="C15" s="135">
        <v>807</v>
      </c>
      <c r="D15" s="142">
        <f>IF(C15="","",VLOOKUP(C15,[6]tab_corredor!$A$2:$D$30,3,0))</f>
        <v>2</v>
      </c>
      <c r="E15" s="142">
        <f>IF(C15="","",VLOOKUP(C15,[6]tab_corredor!$A$2:$D$30,4,0))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VLOOKUP(C16,[6]tab_corredor!$A$2:$B$50,2,0)&amp;"_"&amp;K16</f>
        <v>Sul-Ivaip_2020</v>
      </c>
      <c r="C16" s="135">
        <v>807</v>
      </c>
      <c r="D16" s="142">
        <f>IF(C16="","",VLOOKUP(C16,[6]tab_corredor!$A$2:$D$30,3,0))</f>
        <v>2</v>
      </c>
      <c r="E16" s="142">
        <f>IF(C16="","",VLOOKUP(C16,[6]tab_corredor!$A$2:$D$30,4,0))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VLOOKUP(C17,[6]tab_corredor!$A$2:$B$50,2,0)&amp;"_"&amp;K17</f>
        <v>Sul-Ivaip_2012</v>
      </c>
      <c r="C17" s="135">
        <v>807</v>
      </c>
      <c r="D17" s="142">
        <f>IF(C17="","",VLOOKUP(C17,[6]tab_corredor!$A$2:$D$30,3,0))</f>
        <v>2</v>
      </c>
      <c r="E17" s="142">
        <f>IF(C17="","",VLOOKUP(C17,[6]tab_corredor!$A$2:$D$30,4,0))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VLOOKUP(C18,[6]tab_corredor!$A$2:$B$50,2,0)&amp;"_"&amp;K18</f>
        <v>NE-Imp_2012</v>
      </c>
      <c r="C18" s="135">
        <v>808</v>
      </c>
      <c r="D18" s="142">
        <f>IF(C18="","",VLOOKUP(C18,[6]tab_corredor!$A$2:$D$30,3,0))</f>
        <v>3</v>
      </c>
      <c r="E18" s="142">
        <f>IF(C18="","",VLOOKUP(C18,[6]tab_corredor!$A$2:$D$30,4,0))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VLOOKUP(C19,[6]tab_corredor!$A$2:$B$50,2,0)&amp;"_"&amp;K19</f>
        <v>NE-Imp_2019</v>
      </c>
      <c r="C19" s="135">
        <v>808</v>
      </c>
      <c r="D19" s="142">
        <f>IF(C19="","",VLOOKUP(C19,[6]tab_corredor!$A$2:$D$30,3,0))</f>
        <v>3</v>
      </c>
      <c r="E19" s="142">
        <f>IF(C19="","",VLOOKUP(C19,[6]tab_corredor!$A$2:$D$30,4,0))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VLOOKUP(C20,[6]tab_corredor!$A$2:$B$50,2,0)&amp;"_"&amp;K20</f>
        <v>NE-Imp_2020</v>
      </c>
      <c r="C20" s="135">
        <v>808</v>
      </c>
      <c r="D20" s="142">
        <f>IF(C20="","",VLOOKUP(C20,[6]tab_corredor!$A$2:$D$30,3,0))</f>
        <v>3</v>
      </c>
      <c r="E20" s="142">
        <f>IF(C20="","",VLOOKUP(C20,[6]tab_corredor!$A$2:$D$30,4,0))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VLOOKUP(C21,[6]tab_corredor!$A$2:$B$50,2,0)&amp;"_"&amp;K21</f>
        <v>NE-Imp_2023</v>
      </c>
      <c r="C21" s="135">
        <v>808</v>
      </c>
      <c r="D21" s="142">
        <f>IF(C21="","",VLOOKUP(C21,[6]tab_corredor!$A$2:$D$30,3,0))</f>
        <v>3</v>
      </c>
      <c r="E21" s="142">
        <f>IF(C21="","",VLOOKUP(C21,[6]tab_corredor!$A$2:$D$30,4,0))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VLOOKUP(C22,[6]tab_corredor!$A$2:$B$50,2,0)&amp;"_"&amp;K22</f>
        <v>N-Manaus_2012</v>
      </c>
      <c r="C22" s="135">
        <v>809</v>
      </c>
      <c r="D22" s="142">
        <f>IF(C22="","",VLOOKUP(C22,[6]tab_corredor!$A$2:$D$30,3,0))</f>
        <v>4</v>
      </c>
      <c r="E22" s="142">
        <f>IF(C22="","",VLOOKUP(C22,[6]tab_corredor!$A$2:$D$30,4,0))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VLOOKUP(C23,[6]tab_corredor!$A$2:$B$50,2,0)&amp;"_"&amp;K23</f>
        <v>N-Imp_2016</v>
      </c>
      <c r="C23" s="135">
        <v>810</v>
      </c>
      <c r="D23" s="142">
        <f>IF(C23="","",VLOOKUP(C23,[6]tab_corredor!$A$2:$D$30,3,0))</f>
        <v>4</v>
      </c>
      <c r="E23" s="142">
        <f>IF(C23="","",VLOOKUP(C23,[6]tab_corredor!$A$2:$D$30,4,0))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2711</v>
      </c>
    </row>
    <row r="24" spans="1:13" ht="13.5" customHeight="1">
      <c r="A24" s="141">
        <v>6023</v>
      </c>
      <c r="B24" s="379" t="str">
        <f>VLOOKUP(C24,[6]tab_corredor!$A$2:$B$50,2,0)&amp;"_"&amp;K24</f>
        <v>N-Imp_2019</v>
      </c>
      <c r="C24" s="135">
        <v>810</v>
      </c>
      <c r="D24" s="142">
        <f>IF(C24="","",VLOOKUP(C24,[6]tab_corredor!$A$2:$D$30,3,0))</f>
        <v>4</v>
      </c>
      <c r="E24" s="142">
        <f>IF(C24="","",VLOOKUP(C24,[6]tab_corredor!$A$2:$D$30,4,0))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2711</v>
      </c>
    </row>
    <row r="25" spans="1:13" ht="13.5" customHeight="1">
      <c r="A25" s="141">
        <v>6025</v>
      </c>
      <c r="B25" s="379" t="str">
        <f>VLOOKUP(C25,[6]tab_corredor!$A$2:$B$50,2,0)&amp;"_"&amp;K25</f>
        <v>N-Imp_2023</v>
      </c>
      <c r="C25" s="135">
        <v>810</v>
      </c>
      <c r="D25" s="142">
        <f>IF(C25="","",VLOOKUP(C25,[6]tab_corredor!$A$2:$D$30,3,0))</f>
        <v>4</v>
      </c>
      <c r="E25" s="142">
        <f>IF(C25="","",VLOOKUP(C25,[6]tab_corredor!$A$2:$D$30,4,0))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2711</v>
      </c>
    </row>
    <row r="26" spans="1:13">
      <c r="A26" s="141">
        <v>6026</v>
      </c>
      <c r="B26" s="379" t="str">
        <f>VLOOKUP(C26,[6]tab_corredor!$A$2:$B$50,2,0)&amp;"_"&amp;K26</f>
        <v>Itaipu-Ivaip_2012</v>
      </c>
      <c r="C26" s="135">
        <v>811</v>
      </c>
      <c r="D26" s="142">
        <f>IF(C26="","",VLOOKUP(C26,[6]tab_corredor!$A$2:$D$30,3,0))</f>
        <v>5</v>
      </c>
      <c r="E26" s="142">
        <f>IF(C26="","",VLOOKUP(C26,[6]tab_corredor!$A$2:$D$30,4,0))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VLOOKUP(C27,[6]tab_corredor!$A$2:$B$50,2,0)&amp;"_"&amp;K27</f>
        <v>AC/RO/Mad-SE_2016</v>
      </c>
      <c r="C27" s="135">
        <v>812</v>
      </c>
      <c r="D27" s="142">
        <f>IF(C27="","",VLOOKUP(C27,[6]tab_corredor!$A$2:$D$30,3,0))</f>
        <v>6</v>
      </c>
      <c r="E27" s="142">
        <f>IF(C27="","",VLOOKUP(C27,[6]tab_corredor!$A$2:$D$30,4,0))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VLOOKUP(C28,[6]tab_corredor!$A$2:$B$50,2,0)&amp;"_"&amp;K28</f>
        <v>AC/RO/Mad-SE_2018</v>
      </c>
      <c r="C28" s="135">
        <v>812</v>
      </c>
      <c r="D28" s="142">
        <f>IF(C28="","",VLOOKUP(C28,[6]tab_corredor!$A$2:$D$30,3,0))</f>
        <v>6</v>
      </c>
      <c r="E28" s="142">
        <f>IF(C28="","",VLOOKUP(C28,[6]tab_corredor!$A$2:$D$30,4,0))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VLOOKUP(C29,[6]tab_corredor!$A$2:$B$50,2,0)&amp;"_"&amp;K29</f>
        <v>AC/RO/Mad-SE_2020</v>
      </c>
      <c r="C29" s="135">
        <v>812</v>
      </c>
      <c r="D29" s="142">
        <f>IF(C29="","",VLOOKUP(C29,[6]tab_corredor!$A$2:$D$30,3,0))</f>
        <v>6</v>
      </c>
      <c r="E29" s="142">
        <f>IF(C29="","",VLOOKUP(C29,[6]tab_corredor!$A$2:$D$30,4,0))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VLOOKUP(C30,[6]tab_corredor!$A$2:$B$50,2,0)&amp;"_"&amp;K30</f>
        <v>AC/RO/Mad-SE_2023</v>
      </c>
      <c r="C30" s="135">
        <v>812</v>
      </c>
      <c r="D30" s="142">
        <f>IF(C30="","",VLOOKUP(C30,[6]tab_corredor!$A$2:$D$30,3,0))</f>
        <v>6</v>
      </c>
      <c r="E30" s="142">
        <f>IF(C30="","",VLOOKUP(C30,[6]tab_corredor!$A$2:$D$30,4,0))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VLOOKUP(C31,[6]tab_corredor!$A$2:$B$50,2,0)&amp;"_"&amp;K31</f>
        <v>Tap-N_2024</v>
      </c>
      <c r="C31" s="135">
        <v>814</v>
      </c>
      <c r="D31" s="142">
        <f>IF(C31="","",VLOOKUP(C31,[6]tab_corredor!$A$2:$D$30,3,0))</f>
        <v>9</v>
      </c>
      <c r="E31" s="142">
        <f>IF(C31="","",VLOOKUP(C31,[6]tab_corredor!$A$2:$D$30,4,0))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2712</v>
      </c>
    </row>
    <row r="32" spans="1:13" ht="12.75" customHeight="1">
      <c r="A32" s="141">
        <v>6032</v>
      </c>
      <c r="B32" s="379" t="str">
        <f>VLOOKUP(C32,[6]tab_corredor!$A$2:$B$50,2,0)&amp;"_"&amp;K32</f>
        <v>N-SE/CO_2019</v>
      </c>
      <c r="C32" s="135">
        <v>817</v>
      </c>
      <c r="D32" s="142">
        <f>IF(C32="","",VLOOKUP(C32,[6]tab_corredor!$A$2:$D$30,3,0))</f>
        <v>4</v>
      </c>
      <c r="E32" s="142">
        <f>IF(C32="","",VLOOKUP(C32,[6]tab_corredor!$A$2:$D$30,4,0))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2713</v>
      </c>
    </row>
    <row r="33" spans="1:13" ht="12.75" customHeight="1">
      <c r="A33" s="141">
        <v>6033</v>
      </c>
      <c r="B33" s="379" t="str">
        <f>VLOOKUP(C33,[6]tab_corredor!$A$2:$B$50,2,0)&amp;"_"&amp;K33</f>
        <v>N-SE/CO_2020</v>
      </c>
      <c r="C33" s="135">
        <v>817</v>
      </c>
      <c r="D33" s="142">
        <f>IF(C33="","",VLOOKUP(C33,[6]tab_corredor!$A$2:$D$30,3,0))</f>
        <v>4</v>
      </c>
      <c r="E33" s="142">
        <f>IF(C33="","",VLOOKUP(C33,[6]tab_corredor!$A$2:$D$30,4,0))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2713</v>
      </c>
    </row>
    <row r="34" spans="1:13" ht="12.75" customHeight="1">
      <c r="A34" s="141">
        <v>6034</v>
      </c>
      <c r="B34" s="379" t="str">
        <f>VLOOKUP(C34,[6]tab_corredor!$A$2:$B$50,2,0)&amp;"_"&amp;K34</f>
        <v>TelesP-SE_2020</v>
      </c>
      <c r="C34" s="135">
        <v>816</v>
      </c>
      <c r="D34" s="142">
        <f>IF(C34="","",VLOOKUP(C34,[6]tab_corredor!$A$2:$D$30,3,0))</f>
        <v>10</v>
      </c>
      <c r="E34" s="142">
        <f>IF(C34="","",VLOOKUP(C34,[6]tab_corredor!$A$2:$D$30,4,0))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2713</v>
      </c>
    </row>
    <row r="35" spans="1:13">
      <c r="A35" s="141">
        <v>6033</v>
      </c>
      <c r="B35" s="379" t="str">
        <f>VLOOKUP(C35,[6]tab_corredor!$A$2:$B$50,2,0)&amp;"_"&amp;K35</f>
        <v>N-SE/CO_2023</v>
      </c>
      <c r="C35" s="135">
        <v>817</v>
      </c>
      <c r="D35" s="142">
        <f>IF(C35="","",VLOOKUP(C35,[6]tab_corredor!$A$2:$D$30,3,0))</f>
        <v>4</v>
      </c>
      <c r="E35" s="142">
        <f>IF(C35="","",VLOOKUP(C35,[6]tab_corredor!$A$2:$D$30,4,0))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2713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82"/>
  <sheetViews>
    <sheetView zoomScale="80" zoomScaleNormal="80" workbookViewId="0">
      <selection activeCell="S10" sqref="S10"/>
    </sheetView>
  </sheetViews>
  <sheetFormatPr defaultRowHeight="13.15"/>
  <cols>
    <col min="1" max="1" width="37.5703125" customWidth="1"/>
    <col min="2" max="2" width="38.140625" customWidth="1"/>
    <col min="3" max="3" width="14.85546875" bestFit="1" customWidth="1"/>
    <col min="4" max="4" width="24.7109375" customWidth="1"/>
    <col min="5" max="5" width="9.5703125" bestFit="1" customWidth="1"/>
    <col min="6" max="6" width="12.85546875" bestFit="1" customWidth="1"/>
    <col min="7" max="8" width="16.5703125" bestFit="1" customWidth="1"/>
    <col min="9" max="9" width="30.7109375" bestFit="1" customWidth="1"/>
    <col min="10" max="10" width="21.85546875" customWidth="1"/>
    <col min="11" max="11" width="15.5703125" bestFit="1" customWidth="1"/>
    <col min="13" max="13" width="12.42578125" customWidth="1"/>
    <col min="16" max="16" width="14.28515625" bestFit="1" customWidth="1"/>
    <col min="17" max="17" width="18.7109375" bestFit="1" customWidth="1"/>
    <col min="18" max="18" width="17.7109375" bestFit="1" customWidth="1"/>
    <col min="19" max="19" width="11.5703125" bestFit="1" customWidth="1"/>
    <col min="25" max="25" width="17.85546875" customWidth="1"/>
    <col min="26" max="26" width="10.28515625" customWidth="1"/>
  </cols>
  <sheetData>
    <row r="1" spans="1:29" ht="13.9" thickBot="1">
      <c r="A1" s="15" t="s">
        <v>2714</v>
      </c>
      <c r="B1" s="2" t="s">
        <v>2715</v>
      </c>
      <c r="C1" s="2" t="s">
        <v>2685</v>
      </c>
      <c r="D1" s="138" t="s">
        <v>2716</v>
      </c>
      <c r="E1" s="2" t="s">
        <v>162</v>
      </c>
      <c r="F1" s="2" t="s">
        <v>2717</v>
      </c>
      <c r="G1" s="2" t="s">
        <v>2718</v>
      </c>
      <c r="H1" s="2" t="s">
        <v>2719</v>
      </c>
      <c r="I1" s="393" t="s">
        <v>2709</v>
      </c>
      <c r="J1" s="393" t="s">
        <v>2710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2720</v>
      </c>
      <c r="AA1" s="468" t="s">
        <v>2721</v>
      </c>
      <c r="AB1" s="468" t="s">
        <v>2722</v>
      </c>
      <c r="AC1" s="468" t="s">
        <v>2723</v>
      </c>
    </row>
    <row r="2" spans="1:29" ht="13.9" thickTop="1">
      <c r="A2" s="290">
        <v>7200</v>
      </c>
      <c r="B2" s="23" t="str">
        <f t="shared" ref="B2:B65" si="0">D2&amp;"_"&amp;E2&amp;"_"&amp;F2&amp;IF(F2="DC","","kV")&amp;"_"&amp;Z2</f>
        <v>AC/RO/Mad-SE_1500__kV_200</v>
      </c>
      <c r="C2" s="23">
        <v>812</v>
      </c>
      <c r="D2" s="142" t="str">
        <f>VLOOKUP(C2,tab_corredor!$A$2:$B$50,2,0)</f>
        <v>AC/RO/Mad-SE</v>
      </c>
      <c r="E2" s="23">
        <v>1500</v>
      </c>
      <c r="F2" s="23" t="s">
        <v>2724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2672</v>
      </c>
      <c r="M2" s="23">
        <v>2015</v>
      </c>
      <c r="N2" s="23">
        <v>2100</v>
      </c>
      <c r="O2" s="292">
        <v>25</v>
      </c>
      <c r="P2" s="293">
        <v>2700</v>
      </c>
      <c r="Q2" s="294">
        <v>1</v>
      </c>
      <c r="R2" s="23"/>
      <c r="S2" s="148">
        <f t="shared" ref="S2:S26" si="1">(P2+R2)*1.5</f>
        <v>4050</v>
      </c>
      <c r="T2" s="148">
        <f ca="1">IF(S2=0,"",S2*(OFFSET(cod_desembolso!$A$1,Q2,23)))</f>
        <v>4208.8834623923722</v>
      </c>
      <c r="U2" s="149">
        <f>(constantes!$B$3*(1+constantes!$B$3)^(O2))/((1+constantes!$B$3)^(O2)-1)</f>
        <v>9.3678779051968114E-2</v>
      </c>
      <c r="V2" s="148">
        <f t="shared" ref="V2:V65" ca="1" si="2">IF(S2=0,"",T2*U2)</f>
        <v>394.28306392893757</v>
      </c>
      <c r="W2" s="148">
        <f ca="1">(IF(S2=0,"",V2/constantes!$B$3))*1</f>
        <v>4928.5382991117194</v>
      </c>
      <c r="X2" s="150">
        <f ca="1">IF(S2=0,"",PV(constantes!$B$3,O2,-V2)*constantes!$B$3)</f>
        <v>336.71067699138979</v>
      </c>
      <c r="Y2" s="85">
        <f t="shared" ref="Y2:Y16" si="3">S2/E2*1000</f>
        <v>2700</v>
      </c>
      <c r="Z2">
        <v>200</v>
      </c>
      <c r="AA2">
        <v>1500</v>
      </c>
      <c r="AB2">
        <f>AA2*1000*AC2/10^6</f>
        <v>2100</v>
      </c>
      <c r="AC2">
        <v>1400</v>
      </c>
    </row>
    <row r="3" spans="1:29">
      <c r="A3" s="290">
        <v>7201</v>
      </c>
      <c r="B3" s="23" t="str">
        <f t="shared" si="0"/>
        <v>AC/RO/Mad-SE_1500__kV_201</v>
      </c>
      <c r="C3" s="23">
        <v>812</v>
      </c>
      <c r="D3" s="142" t="str">
        <f>VLOOKUP(C3,tab_corredor!$A$2:$B$50,2,0)</f>
        <v>AC/RO/Mad-SE</v>
      </c>
      <c r="E3" s="23">
        <v>1500</v>
      </c>
      <c r="F3" s="23" t="s">
        <v>2724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2672</v>
      </c>
      <c r="M3" s="23">
        <v>2015</v>
      </c>
      <c r="N3" s="23">
        <v>2100</v>
      </c>
      <c r="O3" s="292">
        <v>25</v>
      </c>
      <c r="P3" s="293">
        <v>2700</v>
      </c>
      <c r="Q3" s="294">
        <v>1</v>
      </c>
      <c r="R3" s="23"/>
      <c r="S3" s="148">
        <f t="shared" si="1"/>
        <v>4050</v>
      </c>
      <c r="T3" s="148">
        <f ca="1">IF(S3=0,"",S3*(OFFSET(cod_desembolso!$A$1,Q3,23)))</f>
        <v>4208.8834623923722</v>
      </c>
      <c r="U3" s="149">
        <f>(constantes!$B$3*(1+constantes!$B$3)^(O3))/((1+constantes!$B$3)^(O3)-1)</f>
        <v>9.3678779051968114E-2</v>
      </c>
      <c r="V3" s="148">
        <f t="shared" ca="1" si="2"/>
        <v>394.28306392893757</v>
      </c>
      <c r="W3" s="148">
        <f ca="1">(IF(S3=0,"",V3/constantes!$B$3))*1</f>
        <v>4928.5382991117194</v>
      </c>
      <c r="X3" s="150">
        <f ca="1">IF(S3=0,"",PV(constantes!$B$3,O3,-V3)*constantes!$B$3)</f>
        <v>336.71067699138979</v>
      </c>
      <c r="Y3" s="85">
        <f t="shared" si="3"/>
        <v>2700</v>
      </c>
      <c r="Z3">
        <v>201</v>
      </c>
    </row>
    <row r="4" spans="1:29">
      <c r="A4" s="290">
        <v>7202</v>
      </c>
      <c r="B4" s="23" t="str">
        <f t="shared" si="0"/>
        <v>AC/RO/Mad-SE_1500__kV_202</v>
      </c>
      <c r="C4" s="23">
        <v>812</v>
      </c>
      <c r="D4" s="142" t="str">
        <f>VLOOKUP(C4,tab_corredor!$A$2:$B$50,2,0)</f>
        <v>AC/RO/Mad-SE</v>
      </c>
      <c r="E4" s="23">
        <v>1500</v>
      </c>
      <c r="F4" s="23" t="s">
        <v>2724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2672</v>
      </c>
      <c r="M4" s="23">
        <v>2015</v>
      </c>
      <c r="N4" s="23">
        <v>2100</v>
      </c>
      <c r="O4" s="292">
        <v>25</v>
      </c>
      <c r="P4" s="293">
        <v>2700</v>
      </c>
      <c r="Q4" s="294">
        <v>1</v>
      </c>
      <c r="R4" s="23"/>
      <c r="S4" s="148">
        <f t="shared" si="1"/>
        <v>4050</v>
      </c>
      <c r="T4" s="148">
        <f ca="1">IF(S4=0,"",S4*(OFFSET(cod_desembolso!$A$1,Q4,23)))</f>
        <v>4208.8834623923722</v>
      </c>
      <c r="U4" s="149">
        <f>(constantes!$B$3*(1+constantes!$B$3)^(O4))/((1+constantes!$B$3)^(O4)-1)</f>
        <v>9.3678779051968114E-2</v>
      </c>
      <c r="V4" s="148">
        <f t="shared" ca="1" si="2"/>
        <v>394.28306392893757</v>
      </c>
      <c r="W4" s="148">
        <f ca="1">(IF(S4=0,"",V4/constantes!$B$3))*1</f>
        <v>4928.5382991117194</v>
      </c>
      <c r="X4" s="150">
        <f ca="1">IF(S4=0,"",PV(constantes!$B$3,O4,-V4)*constantes!$B$3)</f>
        <v>336.71067699138979</v>
      </c>
      <c r="Y4" s="85">
        <f t="shared" si="3"/>
        <v>2700</v>
      </c>
      <c r="Z4">
        <v>202</v>
      </c>
    </row>
    <row r="5" spans="1:29">
      <c r="A5" s="290">
        <v>7203</v>
      </c>
      <c r="B5" s="23" t="str">
        <f t="shared" si="0"/>
        <v>AC/RO/Mad-SE_1500__kV_203</v>
      </c>
      <c r="C5" s="23">
        <v>812</v>
      </c>
      <c r="D5" s="142" t="str">
        <f>VLOOKUP(C5,tab_corredor!$A$2:$B$50,2,0)</f>
        <v>AC/RO/Mad-SE</v>
      </c>
      <c r="E5" s="23">
        <v>1500</v>
      </c>
      <c r="F5" s="23" t="s">
        <v>2724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2672</v>
      </c>
      <c r="M5" s="23">
        <v>2015</v>
      </c>
      <c r="N5" s="23">
        <v>2100</v>
      </c>
      <c r="O5" s="292">
        <v>25</v>
      </c>
      <c r="P5" s="293">
        <v>2700</v>
      </c>
      <c r="Q5" s="294">
        <v>1</v>
      </c>
      <c r="R5" s="23"/>
      <c r="S5" s="148">
        <f t="shared" si="1"/>
        <v>4050</v>
      </c>
      <c r="T5" s="148">
        <f ca="1">IF(S5=0,"",S5*(OFFSET(cod_desembolso!$A$1,Q5,23)))</f>
        <v>4208.8834623923722</v>
      </c>
      <c r="U5" s="149">
        <f>(constantes!$B$3*(1+constantes!$B$3)^(O5))/((1+constantes!$B$3)^(O5)-1)</f>
        <v>9.3678779051968114E-2</v>
      </c>
      <c r="V5" s="148">
        <f t="shared" ca="1" si="2"/>
        <v>394.28306392893757</v>
      </c>
      <c r="W5" s="148">
        <f ca="1">(IF(S5=0,"",V5/constantes!$B$3))*1</f>
        <v>4928.5382991117194</v>
      </c>
      <c r="X5" s="150">
        <f ca="1">IF(S5=0,"",PV(constantes!$B$3,O5,-V5)*constantes!$B$3)</f>
        <v>336.71067699138979</v>
      </c>
      <c r="Y5" s="85">
        <f t="shared" si="3"/>
        <v>2700</v>
      </c>
      <c r="Z5">
        <v>203</v>
      </c>
    </row>
    <row r="6" spans="1:29">
      <c r="A6" s="290">
        <v>7204</v>
      </c>
      <c r="B6" s="23" t="str">
        <f t="shared" si="0"/>
        <v>AC/RO/Mad-SE_1500__kV_204</v>
      </c>
      <c r="C6" s="23">
        <v>812</v>
      </c>
      <c r="D6" s="142" t="str">
        <f>VLOOKUP(C6,tab_corredor!$A$2:$B$50,2,0)</f>
        <v>AC/RO/Mad-SE</v>
      </c>
      <c r="E6" s="23">
        <v>1500</v>
      </c>
      <c r="F6" s="23" t="s">
        <v>2724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2672</v>
      </c>
      <c r="M6" s="23">
        <v>2015</v>
      </c>
      <c r="N6" s="23">
        <v>2100</v>
      </c>
      <c r="O6" s="292">
        <v>25</v>
      </c>
      <c r="P6" s="293">
        <v>2700</v>
      </c>
      <c r="Q6" s="294">
        <v>1</v>
      </c>
      <c r="R6" s="23"/>
      <c r="S6" s="148">
        <f t="shared" si="1"/>
        <v>4050</v>
      </c>
      <c r="T6" s="148">
        <f ca="1">IF(S6=0,"",S6*(OFFSET(cod_desembolso!$A$1,Q6,23)))</f>
        <v>4208.8834623923722</v>
      </c>
      <c r="U6" s="149">
        <f>(constantes!$B$3*(1+constantes!$B$3)^(O6))/((1+constantes!$B$3)^(O6)-1)</f>
        <v>9.3678779051968114E-2</v>
      </c>
      <c r="V6" s="148">
        <f t="shared" ca="1" si="2"/>
        <v>394.28306392893757</v>
      </c>
      <c r="W6" s="148">
        <f ca="1">(IF(S6=0,"",V6/constantes!$B$3))*1</f>
        <v>4928.5382991117194</v>
      </c>
      <c r="X6" s="150">
        <f ca="1">IF(S6=0,"",PV(constantes!$B$3,O6,-V6)*constantes!$B$3)</f>
        <v>336.71067699138979</v>
      </c>
      <c r="Y6" s="85">
        <f t="shared" si="3"/>
        <v>2700</v>
      </c>
      <c r="Z6">
        <v>204</v>
      </c>
    </row>
    <row r="7" spans="1:29">
      <c r="A7" s="290">
        <v>7205</v>
      </c>
      <c r="B7" s="23" t="str">
        <f t="shared" si="0"/>
        <v>AC/RO/Mad-SE_1500__kV_205</v>
      </c>
      <c r="C7" s="23">
        <v>812</v>
      </c>
      <c r="D7" s="142" t="str">
        <f>VLOOKUP(C7,tab_corredor!$A$2:$B$50,2,0)</f>
        <v>AC/RO/Mad-SE</v>
      </c>
      <c r="E7" s="23">
        <v>1500</v>
      </c>
      <c r="F7" s="23" t="s">
        <v>2724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2672</v>
      </c>
      <c r="M7" s="23">
        <v>2015</v>
      </c>
      <c r="N7" s="23">
        <v>2100</v>
      </c>
      <c r="O7" s="292">
        <v>25</v>
      </c>
      <c r="P7" s="293">
        <v>2700</v>
      </c>
      <c r="Q7" s="294">
        <v>1</v>
      </c>
      <c r="R7" s="23"/>
      <c r="S7" s="148">
        <f t="shared" si="1"/>
        <v>4050</v>
      </c>
      <c r="T7" s="148">
        <f ca="1">IF(S7=0,"",S7*(OFFSET(cod_desembolso!$A$1,Q7,23)))</f>
        <v>4208.8834623923722</v>
      </c>
      <c r="U7" s="149">
        <f>(constantes!$B$3*(1+constantes!$B$3)^(O7))/((1+constantes!$B$3)^(O7)-1)</f>
        <v>9.3678779051968114E-2</v>
      </c>
      <c r="V7" s="148">
        <f t="shared" ca="1" si="2"/>
        <v>394.28306392893757</v>
      </c>
      <c r="W7" s="148">
        <f ca="1">(IF(S7=0,"",V7/constantes!$B$3))*1</f>
        <v>4928.5382991117194</v>
      </c>
      <c r="X7" s="150">
        <f ca="1">IF(S7=0,"",PV(constantes!$B$3,O7,-V7)*constantes!$B$3)</f>
        <v>336.71067699138979</v>
      </c>
      <c r="Y7" s="85">
        <f t="shared" si="3"/>
        <v>2700</v>
      </c>
      <c r="Z7">
        <v>205</v>
      </c>
    </row>
    <row r="8" spans="1:29">
      <c r="A8" s="290">
        <v>7206</v>
      </c>
      <c r="B8" s="23" t="str">
        <f t="shared" si="0"/>
        <v>AC/RO/Mad-SE_1500__kV_206</v>
      </c>
      <c r="C8" s="23">
        <v>812</v>
      </c>
      <c r="D8" s="142" t="str">
        <f>VLOOKUP(C8,tab_corredor!$A$2:$B$50,2,0)</f>
        <v>AC/RO/Mad-SE</v>
      </c>
      <c r="E8" s="23">
        <v>1500</v>
      </c>
      <c r="F8" s="23" t="s">
        <v>2724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2672</v>
      </c>
      <c r="M8" s="23">
        <v>2015</v>
      </c>
      <c r="N8" s="23">
        <v>2100</v>
      </c>
      <c r="O8" s="292">
        <v>25</v>
      </c>
      <c r="P8" s="293">
        <v>2700</v>
      </c>
      <c r="Q8" s="294">
        <v>1</v>
      </c>
      <c r="R8" s="23"/>
      <c r="S8" s="148">
        <f t="shared" si="1"/>
        <v>4050</v>
      </c>
      <c r="T8" s="148">
        <f ca="1">IF(S8=0,"",S8*(OFFSET(cod_desembolso!$A$1,Q8,23)))</f>
        <v>4208.8834623923722</v>
      </c>
      <c r="U8" s="149">
        <f>(constantes!$B$3*(1+constantes!$B$3)^(O8))/((1+constantes!$B$3)^(O8)-1)</f>
        <v>9.3678779051968114E-2</v>
      </c>
      <c r="V8" s="148">
        <f t="shared" ca="1" si="2"/>
        <v>394.28306392893757</v>
      </c>
      <c r="W8" s="148">
        <f ca="1">(IF(S8=0,"",V8/constantes!$B$3))*1</f>
        <v>4928.5382991117194</v>
      </c>
      <c r="X8" s="150">
        <f ca="1">IF(S8=0,"",PV(constantes!$B$3,O8,-V8)*constantes!$B$3)</f>
        <v>336.71067699138979</v>
      </c>
      <c r="Y8" s="85">
        <f t="shared" si="3"/>
        <v>2700</v>
      </c>
      <c r="Z8">
        <v>206</v>
      </c>
    </row>
    <row r="9" spans="1:29">
      <c r="A9" s="290">
        <v>7207</v>
      </c>
      <c r="B9" s="23" t="str">
        <f t="shared" si="0"/>
        <v>AC/RO/Mad-SE_1500__kV_207</v>
      </c>
      <c r="C9" s="23">
        <v>812</v>
      </c>
      <c r="D9" s="142" t="str">
        <f>VLOOKUP(C9,tab_corredor!$A$2:$B$50,2,0)</f>
        <v>AC/RO/Mad-SE</v>
      </c>
      <c r="E9" s="23">
        <v>1500</v>
      </c>
      <c r="F9" s="23" t="s">
        <v>2724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2672</v>
      </c>
      <c r="M9" s="23">
        <v>2015</v>
      </c>
      <c r="N9" s="23">
        <v>2100</v>
      </c>
      <c r="O9" s="292">
        <v>25</v>
      </c>
      <c r="P9" s="293">
        <v>2700</v>
      </c>
      <c r="Q9" s="294">
        <v>1</v>
      </c>
      <c r="R9" s="23"/>
      <c r="S9" s="148">
        <f t="shared" si="1"/>
        <v>4050</v>
      </c>
      <c r="T9" s="148">
        <f ca="1">IF(S9=0,"",S9*(OFFSET(cod_desembolso!$A$1,Q9,23)))</f>
        <v>4208.8834623923722</v>
      </c>
      <c r="U9" s="149">
        <f>(constantes!$B$3*(1+constantes!$B$3)^(O9))/((1+constantes!$B$3)^(O9)-1)</f>
        <v>9.3678779051968114E-2</v>
      </c>
      <c r="V9" s="148">
        <f t="shared" ca="1" si="2"/>
        <v>394.28306392893757</v>
      </c>
      <c r="W9" s="148">
        <f ca="1">(IF(S9=0,"",V9/constantes!$B$3))*1</f>
        <v>4928.5382991117194</v>
      </c>
      <c r="X9" s="150">
        <f ca="1">IF(S9=0,"",PV(constantes!$B$3,O9,-V9)*constantes!$B$3)</f>
        <v>336.71067699138979</v>
      </c>
      <c r="Y9" s="85">
        <f t="shared" si="3"/>
        <v>2700</v>
      </c>
      <c r="Z9">
        <v>207</v>
      </c>
    </row>
    <row r="10" spans="1:29">
      <c r="A10" s="290">
        <v>7208</v>
      </c>
      <c r="B10" s="23" t="str">
        <f t="shared" si="0"/>
        <v>AC/RO/Mad-SE_1500__kV_208</v>
      </c>
      <c r="C10" s="23">
        <v>812</v>
      </c>
      <c r="D10" s="142" t="str">
        <f>VLOOKUP(C10,tab_corredor!$A$2:$B$50,2,0)</f>
        <v>AC/RO/Mad-SE</v>
      </c>
      <c r="E10" s="23">
        <v>1500</v>
      </c>
      <c r="F10" s="23" t="s">
        <v>2724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2672</v>
      </c>
      <c r="M10" s="23">
        <v>2015</v>
      </c>
      <c r="N10" s="23">
        <v>2100</v>
      </c>
      <c r="O10" s="292">
        <v>25</v>
      </c>
      <c r="P10" s="293">
        <v>2700</v>
      </c>
      <c r="Q10" s="294">
        <v>1</v>
      </c>
      <c r="R10" s="23"/>
      <c r="S10" s="148">
        <f t="shared" si="1"/>
        <v>4050</v>
      </c>
      <c r="T10" s="148">
        <f ca="1">IF(S10=0,"",S10*(OFFSET(cod_desembolso!$A$1,Q10,23)))</f>
        <v>4208.8834623923722</v>
      </c>
      <c r="U10" s="149">
        <f>(constantes!$B$3*(1+constantes!$B$3)^(O10))/((1+constantes!$B$3)^(O10)-1)</f>
        <v>9.3678779051968114E-2</v>
      </c>
      <c r="V10" s="148">
        <f t="shared" ca="1" si="2"/>
        <v>394.28306392893757</v>
      </c>
      <c r="W10" s="148">
        <f ca="1">(IF(S10=0,"",V10/constantes!$B$3))*1</f>
        <v>4928.5382991117194</v>
      </c>
      <c r="X10" s="150">
        <f ca="1">IF(S10=0,"",PV(constantes!$B$3,O10,-V10)*constantes!$B$3)</f>
        <v>336.71067699138979</v>
      </c>
      <c r="Y10" s="85">
        <f t="shared" si="3"/>
        <v>2700</v>
      </c>
      <c r="Z10">
        <v>208</v>
      </c>
    </row>
    <row r="11" spans="1:29">
      <c r="A11" s="290">
        <v>7209</v>
      </c>
      <c r="B11" s="23" t="str">
        <f t="shared" si="0"/>
        <v>AC/RO/Mad-SE_1500__kV_209</v>
      </c>
      <c r="C11" s="23">
        <v>812</v>
      </c>
      <c r="D11" s="142" t="str">
        <f>VLOOKUP(C11,tab_corredor!$A$2:$B$50,2,0)</f>
        <v>AC/RO/Mad-SE</v>
      </c>
      <c r="E11" s="23">
        <v>1500</v>
      </c>
      <c r="F11" s="23" t="s">
        <v>2724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2672</v>
      </c>
      <c r="M11" s="23">
        <v>2015</v>
      </c>
      <c r="N11" s="23">
        <v>2100</v>
      </c>
      <c r="O11" s="292">
        <v>25</v>
      </c>
      <c r="P11" s="293">
        <v>2700</v>
      </c>
      <c r="Q11" s="294">
        <v>1</v>
      </c>
      <c r="R11" s="23"/>
      <c r="S11" s="148">
        <f t="shared" si="1"/>
        <v>4050</v>
      </c>
      <c r="T11" s="148">
        <f ca="1">IF(S11=0,"",S11*(OFFSET(cod_desembolso!$A$1,Q11,23)))</f>
        <v>4208.8834623923722</v>
      </c>
      <c r="U11" s="149">
        <f>(constantes!$B$3*(1+constantes!$B$3)^(O11))/((1+constantes!$B$3)^(O11)-1)</f>
        <v>9.3678779051968114E-2</v>
      </c>
      <c r="V11" s="148">
        <f t="shared" ca="1" si="2"/>
        <v>394.28306392893757</v>
      </c>
      <c r="W11" s="148">
        <f ca="1">(IF(S11=0,"",V11/constantes!$B$3))*1</f>
        <v>4928.5382991117194</v>
      </c>
      <c r="X11" s="150">
        <f ca="1">IF(S11=0,"",PV(constantes!$B$3,O11,-V11)*constantes!$B$3)</f>
        <v>336.71067699138979</v>
      </c>
      <c r="Y11" s="85">
        <f t="shared" si="3"/>
        <v>2700</v>
      </c>
      <c r="Z11">
        <v>209</v>
      </c>
    </row>
    <row r="12" spans="1:29">
      <c r="A12" s="290">
        <v>7210</v>
      </c>
      <c r="B12" s="23" t="str">
        <f t="shared" si="0"/>
        <v>AC/RO/Mad-SE_1500__kV_210</v>
      </c>
      <c r="C12" s="23">
        <v>812</v>
      </c>
      <c r="D12" s="142" t="str">
        <f>VLOOKUP(C12,tab_corredor!$A$2:$B$50,2,0)</f>
        <v>AC/RO/Mad-SE</v>
      </c>
      <c r="E12" s="23">
        <v>1500</v>
      </c>
      <c r="F12" s="23" t="s">
        <v>2724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2672</v>
      </c>
      <c r="M12" s="23">
        <v>2015</v>
      </c>
      <c r="N12" s="23">
        <v>2100</v>
      </c>
      <c r="O12" s="292">
        <v>25</v>
      </c>
      <c r="P12" s="293">
        <v>2700</v>
      </c>
      <c r="Q12" s="294">
        <v>1</v>
      </c>
      <c r="R12" s="23"/>
      <c r="S12" s="148">
        <f t="shared" si="1"/>
        <v>4050</v>
      </c>
      <c r="T12" s="148">
        <f ca="1">IF(S12=0,"",S12*(OFFSET(cod_desembolso!$A$1,Q12,23)))</f>
        <v>4208.8834623923722</v>
      </c>
      <c r="U12" s="149">
        <f>(constantes!$B$3*(1+constantes!$B$3)^(O12))/((1+constantes!$B$3)^(O12)-1)</f>
        <v>9.3678779051968114E-2</v>
      </c>
      <c r="V12" s="148">
        <f t="shared" ca="1" si="2"/>
        <v>394.28306392893757</v>
      </c>
      <c r="W12" s="148">
        <f ca="1">(IF(S12=0,"",V12/constantes!$B$3))*1</f>
        <v>4928.5382991117194</v>
      </c>
      <c r="X12" s="150">
        <f ca="1">IF(S12=0,"",PV(constantes!$B$3,O12,-V12)*constantes!$B$3)</f>
        <v>336.71067699138979</v>
      </c>
      <c r="Y12" s="85">
        <f t="shared" si="3"/>
        <v>2700</v>
      </c>
      <c r="Z12">
        <v>210</v>
      </c>
    </row>
    <row r="13" spans="1:29">
      <c r="A13" s="290">
        <v>7211</v>
      </c>
      <c r="B13" s="23" t="str">
        <f t="shared" si="0"/>
        <v>AC/RO/Mad-SE_1500__kV_211</v>
      </c>
      <c r="C13" s="23">
        <v>812</v>
      </c>
      <c r="D13" s="142" t="str">
        <f>VLOOKUP(C13,tab_corredor!$A$2:$B$50,2,0)</f>
        <v>AC/RO/Mad-SE</v>
      </c>
      <c r="E13" s="23">
        <v>1500</v>
      </c>
      <c r="F13" s="23" t="s">
        <v>2724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2672</v>
      </c>
      <c r="M13" s="23">
        <v>2015</v>
      </c>
      <c r="N13" s="23">
        <v>2100</v>
      </c>
      <c r="O13" s="292">
        <v>25</v>
      </c>
      <c r="P13" s="293">
        <v>2700</v>
      </c>
      <c r="Q13" s="294">
        <v>1</v>
      </c>
      <c r="R13" s="23"/>
      <c r="S13" s="148">
        <f t="shared" si="1"/>
        <v>4050</v>
      </c>
      <c r="T13" s="148">
        <f ca="1">IF(S13=0,"",S13*(OFFSET(cod_desembolso!$A$1,Q13,23)))</f>
        <v>4208.8834623923722</v>
      </c>
      <c r="U13" s="149">
        <f>(constantes!$B$3*(1+constantes!$B$3)^(O13))/((1+constantes!$B$3)^(O13)-1)</f>
        <v>9.3678779051968114E-2</v>
      </c>
      <c r="V13" s="148">
        <f t="shared" ca="1" si="2"/>
        <v>394.28306392893757</v>
      </c>
      <c r="W13" s="148">
        <f ca="1">(IF(S13=0,"",V13/constantes!$B$3))*1</f>
        <v>4928.5382991117194</v>
      </c>
      <c r="X13" s="150">
        <f ca="1">IF(S13=0,"",PV(constantes!$B$3,O13,-V13)*constantes!$B$3)</f>
        <v>336.71067699138979</v>
      </c>
      <c r="Y13" s="85">
        <f t="shared" si="3"/>
        <v>2700</v>
      </c>
      <c r="Z13">
        <v>211</v>
      </c>
    </row>
    <row r="14" spans="1:29">
      <c r="A14" s="290">
        <v>7212</v>
      </c>
      <c r="B14" s="23" t="str">
        <f t="shared" si="0"/>
        <v>AC/RO/Mad-SE_1500__kV_212</v>
      </c>
      <c r="C14" s="23">
        <v>812</v>
      </c>
      <c r="D14" s="142" t="str">
        <f>VLOOKUP(C14,tab_corredor!$A$2:$B$50,2,0)</f>
        <v>AC/RO/Mad-SE</v>
      </c>
      <c r="E14" s="23">
        <v>1500</v>
      </c>
      <c r="F14" s="23" t="s">
        <v>2724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2672</v>
      </c>
      <c r="M14" s="23">
        <v>2015</v>
      </c>
      <c r="N14" s="23">
        <v>2100</v>
      </c>
      <c r="O14" s="292">
        <v>25</v>
      </c>
      <c r="P14" s="293">
        <v>2700</v>
      </c>
      <c r="Q14" s="294">
        <v>1</v>
      </c>
      <c r="R14" s="23"/>
      <c r="S14" s="148">
        <f t="shared" si="1"/>
        <v>4050</v>
      </c>
      <c r="T14" s="148">
        <f ca="1">IF(S14=0,"",S14*(OFFSET(cod_desembolso!$A$1,Q14,23)))</f>
        <v>4208.8834623923722</v>
      </c>
      <c r="U14" s="149">
        <f>(constantes!$B$3*(1+constantes!$B$3)^(O14))/((1+constantes!$B$3)^(O14)-1)</f>
        <v>9.3678779051968114E-2</v>
      </c>
      <c r="V14" s="148">
        <f t="shared" ca="1" si="2"/>
        <v>394.28306392893757</v>
      </c>
      <c r="W14" s="148">
        <f ca="1">(IF(S14=0,"",V14/constantes!$B$3))*1</f>
        <v>4928.5382991117194</v>
      </c>
      <c r="X14" s="150">
        <f ca="1">IF(S14=0,"",PV(constantes!$B$3,O14,-V14)*constantes!$B$3)</f>
        <v>336.71067699138979</v>
      </c>
      <c r="Y14" s="85">
        <f t="shared" si="3"/>
        <v>2700</v>
      </c>
      <c r="Z14">
        <v>212</v>
      </c>
    </row>
    <row r="15" spans="1:29">
      <c r="A15" s="290">
        <v>7213</v>
      </c>
      <c r="B15" s="23" t="str">
        <f t="shared" si="0"/>
        <v>AC/RO/Mad-SE_1500__kV_213</v>
      </c>
      <c r="C15" s="23">
        <v>812</v>
      </c>
      <c r="D15" s="142" t="str">
        <f>VLOOKUP(C15,tab_corredor!$A$2:$B$50,2,0)</f>
        <v>AC/RO/Mad-SE</v>
      </c>
      <c r="E15" s="23">
        <v>1500</v>
      </c>
      <c r="F15" s="23" t="s">
        <v>2724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2672</v>
      </c>
      <c r="M15" s="23">
        <v>2015</v>
      </c>
      <c r="N15" s="23">
        <v>2100</v>
      </c>
      <c r="O15" s="292">
        <v>25</v>
      </c>
      <c r="P15" s="293">
        <v>2700</v>
      </c>
      <c r="Q15" s="294">
        <v>1</v>
      </c>
      <c r="R15" s="23"/>
      <c r="S15" s="148">
        <f t="shared" si="1"/>
        <v>4050</v>
      </c>
      <c r="T15" s="148">
        <f ca="1">IF(S15=0,"",S15*(OFFSET(cod_desembolso!$A$1,Q15,23)))</f>
        <v>4208.8834623923722</v>
      </c>
      <c r="U15" s="149">
        <f>(constantes!$B$3*(1+constantes!$B$3)^(O15))/((1+constantes!$B$3)^(O15)-1)</f>
        <v>9.3678779051968114E-2</v>
      </c>
      <c r="V15" s="148">
        <f t="shared" ca="1" si="2"/>
        <v>394.28306392893757</v>
      </c>
      <c r="W15" s="148">
        <f ca="1">(IF(S15=0,"",V15/constantes!$B$3))*1</f>
        <v>4928.5382991117194</v>
      </c>
      <c r="X15" s="150">
        <f ca="1">IF(S15=0,"",PV(constantes!$B$3,O15,-V15)*constantes!$B$3)</f>
        <v>336.71067699138979</v>
      </c>
      <c r="Y15" s="85">
        <f t="shared" si="3"/>
        <v>2700</v>
      </c>
      <c r="Z15">
        <v>213</v>
      </c>
      <c r="AA15" s="396"/>
      <c r="AB15" s="396"/>
      <c r="AC15" s="396"/>
    </row>
    <row r="16" spans="1:29">
      <c r="A16" s="290">
        <v>7214</v>
      </c>
      <c r="B16" s="23" t="str">
        <f t="shared" si="0"/>
        <v>AC/RO/Mad-SE_1500__kV_214</v>
      </c>
      <c r="C16" s="23">
        <v>812</v>
      </c>
      <c r="D16" s="142" t="str">
        <f>VLOOKUP(C16,tab_corredor!$A$2:$B$50,2,0)</f>
        <v>AC/RO/Mad-SE</v>
      </c>
      <c r="E16" s="23">
        <v>1500</v>
      </c>
      <c r="F16" s="23" t="s">
        <v>2724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2672</v>
      </c>
      <c r="M16" s="23">
        <v>2015</v>
      </c>
      <c r="N16" s="23">
        <v>2100</v>
      </c>
      <c r="O16" s="292">
        <v>25</v>
      </c>
      <c r="P16" s="293">
        <v>2700</v>
      </c>
      <c r="Q16" s="294">
        <v>1</v>
      </c>
      <c r="R16" s="23"/>
      <c r="S16" s="148">
        <f t="shared" si="1"/>
        <v>4050</v>
      </c>
      <c r="T16" s="148">
        <f ca="1">IF(S16=0,"",S16*(OFFSET(cod_desembolso!$A$1,Q16,23)))</f>
        <v>4208.8834623923722</v>
      </c>
      <c r="U16" s="149">
        <f>(constantes!$B$3*(1+constantes!$B$3)^(O16))/((1+constantes!$B$3)^(O16)-1)</f>
        <v>9.3678779051968114E-2</v>
      </c>
      <c r="V16" s="148">
        <f t="shared" ca="1" si="2"/>
        <v>394.28306392893757</v>
      </c>
      <c r="W16" s="148">
        <f ca="1">(IF(S16=0,"",V16/constantes!$B$3))*1</f>
        <v>4928.5382991117194</v>
      </c>
      <c r="X16" s="150">
        <f ca="1">IF(S16=0,"",PV(constantes!$B$3,O16,-V16)*constantes!$B$3)</f>
        <v>336.71067699138979</v>
      </c>
      <c r="Y16" s="85">
        <f t="shared" si="3"/>
        <v>2700</v>
      </c>
      <c r="Z16">
        <v>214</v>
      </c>
      <c r="AA16" s="396"/>
      <c r="AB16" s="396"/>
      <c r="AC16" s="396"/>
    </row>
    <row r="17" spans="1:29">
      <c r="A17" s="290">
        <v>7328</v>
      </c>
      <c r="B17" s="23" t="str">
        <f t="shared" si="0"/>
        <v>AC/RO/Mad-SE_1500__kV_319</v>
      </c>
      <c r="C17" s="23">
        <v>812</v>
      </c>
      <c r="D17" s="142" t="str">
        <f>VLOOKUP(C17,tab_corredor!$A$2:$B$50,2,0)</f>
        <v>AC/RO/Mad-SE</v>
      </c>
      <c r="E17" s="23">
        <v>1500</v>
      </c>
      <c r="F17" s="23" t="s">
        <v>2724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2672</v>
      </c>
      <c r="M17" s="23">
        <v>2015</v>
      </c>
      <c r="N17" s="23">
        <v>2100</v>
      </c>
      <c r="O17" s="292">
        <v>25</v>
      </c>
      <c r="P17" s="293">
        <v>2700</v>
      </c>
      <c r="Q17" s="294">
        <v>1</v>
      </c>
      <c r="R17" s="23"/>
      <c r="S17" s="148">
        <f t="shared" si="1"/>
        <v>4050</v>
      </c>
      <c r="T17" s="148">
        <f ca="1">IF(S17=0,"",S17*(OFFSET(cod_desembolso!$A$1,Q17,23)))</f>
        <v>4208.8834623923722</v>
      </c>
      <c r="U17" s="149">
        <f>(constantes!$B$3*(1+constantes!$B$3)^(O17))/((1+constantes!$B$3)^(O17)-1)</f>
        <v>9.3678779051968114E-2</v>
      </c>
      <c r="V17" s="148">
        <f t="shared" ca="1" si="2"/>
        <v>394.28306392893757</v>
      </c>
      <c r="W17" s="148">
        <f ca="1">(IF(S17=0,"",V17/constantes!$B$3))*1</f>
        <v>4928.5382991117194</v>
      </c>
      <c r="X17" s="150">
        <f ca="1">IF(S17=0,"",PV(constantes!$B$3,O17,-V17)*constantes!$B$3)</f>
        <v>336.71067699138979</v>
      </c>
      <c r="Y17" s="85">
        <f t="shared" ref="Y17:Y48" si="4">(S17/E17*1000)</f>
        <v>2700</v>
      </c>
      <c r="Z17">
        <v>319</v>
      </c>
      <c r="AA17">
        <v>1500</v>
      </c>
      <c r="AB17">
        <f>AA17*1000*AC17/10^6</f>
        <v>2100</v>
      </c>
      <c r="AC17">
        <v>1400</v>
      </c>
    </row>
    <row r="18" spans="1:29">
      <c r="A18" s="290">
        <v>7332</v>
      </c>
      <c r="B18" s="23" t="str">
        <f t="shared" si="0"/>
        <v>AC/RO/Mad-SE_1500__kV_319</v>
      </c>
      <c r="C18" s="23">
        <v>812</v>
      </c>
      <c r="D18" s="142" t="str">
        <f>VLOOKUP(C18,tab_corredor!$A$2:$B$50,2,0)</f>
        <v>AC/RO/Mad-SE</v>
      </c>
      <c r="E18" s="23">
        <v>1500</v>
      </c>
      <c r="F18" s="23" t="s">
        <v>2724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2672</v>
      </c>
      <c r="M18" s="23">
        <v>2015</v>
      </c>
      <c r="N18" s="23">
        <v>2100</v>
      </c>
      <c r="O18" s="292">
        <v>25</v>
      </c>
      <c r="P18" s="293">
        <v>2700</v>
      </c>
      <c r="Q18" s="294">
        <v>1</v>
      </c>
      <c r="R18" s="23"/>
      <c r="S18" s="148">
        <f t="shared" si="1"/>
        <v>4050</v>
      </c>
      <c r="T18" s="148">
        <f ca="1">IF(S18=0,"",S18*(OFFSET(cod_desembolso!$A$1,Q18,23)))</f>
        <v>4208.8834623923722</v>
      </c>
      <c r="U18" s="149">
        <f>(constantes!$B$3*(1+constantes!$B$3)^(O18))/((1+constantes!$B$3)^(O18)-1)</f>
        <v>9.3678779051968114E-2</v>
      </c>
      <c r="V18" s="148">
        <f t="shared" ca="1" si="2"/>
        <v>394.28306392893757</v>
      </c>
      <c r="W18" s="148">
        <f ca="1">(IF(S18=0,"",V18/constantes!$B$3))*1</f>
        <v>4928.5382991117194</v>
      </c>
      <c r="X18" s="150">
        <f ca="1">IF(S18=0,"",PV(constantes!$B$3,O18,-V18)*constantes!$B$3)</f>
        <v>336.71067699138979</v>
      </c>
      <c r="Y18" s="85">
        <f t="shared" si="4"/>
        <v>2700</v>
      </c>
      <c r="Z18">
        <v>319</v>
      </c>
    </row>
    <row r="19" spans="1:29">
      <c r="A19" s="290">
        <v>7336</v>
      </c>
      <c r="B19" s="23" t="str">
        <f t="shared" si="0"/>
        <v>AC/RO/Mad-SE_1500__kV_319</v>
      </c>
      <c r="C19" s="23">
        <v>812</v>
      </c>
      <c r="D19" s="142" t="str">
        <f>VLOOKUP(C19,tab_corredor!$A$2:$B$50,2,0)</f>
        <v>AC/RO/Mad-SE</v>
      </c>
      <c r="E19" s="23">
        <v>1500</v>
      </c>
      <c r="F19" s="23" t="s">
        <v>2724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2672</v>
      </c>
      <c r="M19" s="23">
        <v>2015</v>
      </c>
      <c r="N19" s="23">
        <v>2100</v>
      </c>
      <c r="O19" s="292">
        <v>25</v>
      </c>
      <c r="P19" s="293">
        <v>2700</v>
      </c>
      <c r="Q19" s="294">
        <v>1</v>
      </c>
      <c r="R19" s="23"/>
      <c r="S19" s="148">
        <f t="shared" si="1"/>
        <v>4050</v>
      </c>
      <c r="T19" s="148">
        <f ca="1">IF(S19=0,"",S19*(OFFSET(cod_desembolso!$A$1,Q19,23)))</f>
        <v>4208.8834623923722</v>
      </c>
      <c r="U19" s="149">
        <f>(constantes!$B$3*(1+constantes!$B$3)^(O19))/((1+constantes!$B$3)^(O19)-1)</f>
        <v>9.3678779051968114E-2</v>
      </c>
      <c r="V19" s="148">
        <f t="shared" ca="1" si="2"/>
        <v>394.28306392893757</v>
      </c>
      <c r="W19" s="148">
        <f ca="1">(IF(S19=0,"",V19/constantes!$B$3))*1</f>
        <v>4928.5382991117194</v>
      </c>
      <c r="X19" s="150">
        <f ca="1">IF(S19=0,"",PV(constantes!$B$3,O19,-V19)*constantes!$B$3)</f>
        <v>336.71067699138979</v>
      </c>
      <c r="Y19" s="85">
        <f t="shared" si="4"/>
        <v>2700</v>
      </c>
      <c r="Z19">
        <v>319</v>
      </c>
    </row>
    <row r="20" spans="1:29">
      <c r="A20" s="290">
        <v>7340</v>
      </c>
      <c r="B20" s="23" t="str">
        <f t="shared" si="0"/>
        <v>AC/RO/Mad-SE_1500__kV_319</v>
      </c>
      <c r="C20" s="23">
        <v>812</v>
      </c>
      <c r="D20" s="142" t="str">
        <f>VLOOKUP(C20,tab_corredor!$A$2:$B$50,2,0)</f>
        <v>AC/RO/Mad-SE</v>
      </c>
      <c r="E20" s="23">
        <v>1500</v>
      </c>
      <c r="F20" s="23" t="s">
        <v>2724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2672</v>
      </c>
      <c r="M20" s="23">
        <v>2015</v>
      </c>
      <c r="N20" s="23">
        <v>2100</v>
      </c>
      <c r="O20" s="292">
        <v>25</v>
      </c>
      <c r="P20" s="293">
        <v>2700</v>
      </c>
      <c r="Q20" s="294">
        <v>1</v>
      </c>
      <c r="R20" s="23"/>
      <c r="S20" s="148">
        <f t="shared" si="1"/>
        <v>4050</v>
      </c>
      <c r="T20" s="148">
        <f ca="1">IF(S20=0,"",S20*(OFFSET(cod_desembolso!$A$1,Q20,23)))</f>
        <v>4208.8834623923722</v>
      </c>
      <c r="U20" s="149">
        <f>(constantes!$B$3*(1+constantes!$B$3)^(O20))/((1+constantes!$B$3)^(O20)-1)</f>
        <v>9.3678779051968114E-2</v>
      </c>
      <c r="V20" s="148">
        <f t="shared" ca="1" si="2"/>
        <v>394.28306392893757</v>
      </c>
      <c r="W20" s="148">
        <f ca="1">(IF(S20=0,"",V20/constantes!$B$3))*1</f>
        <v>4928.5382991117194</v>
      </c>
      <c r="X20" s="150">
        <f ca="1">IF(S20=0,"",PV(constantes!$B$3,O20,-V20)*constantes!$B$3)</f>
        <v>336.71067699138979</v>
      </c>
      <c r="Y20" s="85">
        <f t="shared" si="4"/>
        <v>2700</v>
      </c>
      <c r="Z20">
        <v>319</v>
      </c>
    </row>
    <row r="21" spans="1:29">
      <c r="A21" s="290">
        <v>7329</v>
      </c>
      <c r="B21" s="23" t="str">
        <f t="shared" si="0"/>
        <v>AC/RO/Mad-SE_1500__kV_320</v>
      </c>
      <c r="C21" s="23">
        <v>812</v>
      </c>
      <c r="D21" s="142" t="str">
        <f>VLOOKUP(C21,tab_corredor!$A$2:$B$50,2,0)</f>
        <v>AC/RO/Mad-SE</v>
      </c>
      <c r="E21" s="23">
        <v>1500</v>
      </c>
      <c r="F21" s="23" t="s">
        <v>2724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2672</v>
      </c>
      <c r="M21" s="23">
        <v>2015</v>
      </c>
      <c r="N21" s="23">
        <v>2100</v>
      </c>
      <c r="O21" s="292">
        <v>25</v>
      </c>
      <c r="P21" s="293">
        <v>2700</v>
      </c>
      <c r="Q21" s="294">
        <v>1</v>
      </c>
      <c r="R21" s="23"/>
      <c r="S21" s="148">
        <f t="shared" si="1"/>
        <v>4050</v>
      </c>
      <c r="T21" s="148">
        <f ca="1">IF(S21=0,"",S21*(OFFSET(cod_desembolso!$A$1,Q21,23)))</f>
        <v>4208.8834623923722</v>
      </c>
      <c r="U21" s="149">
        <f>(constantes!$B$3*(1+constantes!$B$3)^(O21))/((1+constantes!$B$3)^(O21)-1)</f>
        <v>9.3678779051968114E-2</v>
      </c>
      <c r="V21" s="148">
        <f t="shared" ca="1" si="2"/>
        <v>394.28306392893757</v>
      </c>
      <c r="W21" s="148">
        <f ca="1">(IF(S21=0,"",V21/constantes!$B$3))*1</f>
        <v>4928.5382991117194</v>
      </c>
      <c r="X21" s="150">
        <f ca="1">IF(S21=0,"",PV(constantes!$B$3,O21,-V21)*constantes!$B$3)</f>
        <v>336.71067699138979</v>
      </c>
      <c r="Y21" s="85">
        <f t="shared" si="4"/>
        <v>2700</v>
      </c>
      <c r="Z21">
        <v>320</v>
      </c>
    </row>
    <row r="22" spans="1:29">
      <c r="A22" s="290">
        <v>7333</v>
      </c>
      <c r="B22" s="23" t="str">
        <f t="shared" si="0"/>
        <v>AC/RO/Mad-SE_1500__kV_320</v>
      </c>
      <c r="C22" s="23">
        <v>812</v>
      </c>
      <c r="D22" s="142" t="str">
        <f>VLOOKUP(C22,tab_corredor!$A$2:$B$50,2,0)</f>
        <v>AC/RO/Mad-SE</v>
      </c>
      <c r="E22" s="23">
        <v>1500</v>
      </c>
      <c r="F22" s="23" t="s">
        <v>2724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2672</v>
      </c>
      <c r="M22" s="23">
        <v>2015</v>
      </c>
      <c r="N22" s="23">
        <v>2100</v>
      </c>
      <c r="O22" s="292">
        <v>25</v>
      </c>
      <c r="P22" s="293">
        <v>2700</v>
      </c>
      <c r="Q22" s="294">
        <v>1</v>
      </c>
      <c r="R22" s="23"/>
      <c r="S22" s="148">
        <f t="shared" si="1"/>
        <v>4050</v>
      </c>
      <c r="T22" s="148">
        <f ca="1">IF(S22=0,"",S22*(OFFSET(cod_desembolso!$A$1,Q22,23)))</f>
        <v>4208.8834623923722</v>
      </c>
      <c r="U22" s="149">
        <f>(constantes!$B$3*(1+constantes!$B$3)^(O22))/((1+constantes!$B$3)^(O22)-1)</f>
        <v>9.3678779051968114E-2</v>
      </c>
      <c r="V22" s="148">
        <f t="shared" ca="1" si="2"/>
        <v>394.28306392893757</v>
      </c>
      <c r="W22" s="148">
        <f ca="1">(IF(S22=0,"",V22/constantes!$B$3))*1</f>
        <v>4928.5382991117194</v>
      </c>
      <c r="X22" s="150">
        <f ca="1">IF(S22=0,"",PV(constantes!$B$3,O22,-V22)*constantes!$B$3)</f>
        <v>336.71067699138979</v>
      </c>
      <c r="Y22" s="85">
        <f t="shared" si="4"/>
        <v>2700</v>
      </c>
      <c r="Z22">
        <v>320</v>
      </c>
    </row>
    <row r="23" spans="1:29">
      <c r="A23" s="290">
        <v>7337</v>
      </c>
      <c r="B23" s="23" t="str">
        <f t="shared" si="0"/>
        <v>AC/RO/Mad-SE_1500__kV_320</v>
      </c>
      <c r="C23" s="23">
        <v>812</v>
      </c>
      <c r="D23" s="142" t="str">
        <f>VLOOKUP(C23,tab_corredor!$A$2:$B$50,2,0)</f>
        <v>AC/RO/Mad-SE</v>
      </c>
      <c r="E23" s="23">
        <v>1500</v>
      </c>
      <c r="F23" s="23" t="s">
        <v>2724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2672</v>
      </c>
      <c r="M23" s="23">
        <v>2015</v>
      </c>
      <c r="N23" s="23">
        <v>2100</v>
      </c>
      <c r="O23" s="292">
        <v>25</v>
      </c>
      <c r="P23" s="293">
        <v>2700</v>
      </c>
      <c r="Q23" s="294">
        <v>1</v>
      </c>
      <c r="R23" s="23"/>
      <c r="S23" s="148">
        <f t="shared" si="1"/>
        <v>4050</v>
      </c>
      <c r="T23" s="148">
        <f ca="1">IF(S23=0,"",S23*(OFFSET(cod_desembolso!$A$1,Q23,23)))</f>
        <v>4208.8834623923722</v>
      </c>
      <c r="U23" s="149">
        <f>(constantes!$B$3*(1+constantes!$B$3)^(O23))/((1+constantes!$B$3)^(O23)-1)</f>
        <v>9.3678779051968114E-2</v>
      </c>
      <c r="V23" s="148">
        <f t="shared" ca="1" si="2"/>
        <v>394.28306392893757</v>
      </c>
      <c r="W23" s="148">
        <f ca="1">(IF(S23=0,"",V23/constantes!$B$3))*1</f>
        <v>4928.5382991117194</v>
      </c>
      <c r="X23" s="150">
        <f ca="1">IF(S23=0,"",PV(constantes!$B$3,O23,-V23)*constantes!$B$3)</f>
        <v>336.71067699138979</v>
      </c>
      <c r="Y23" s="85">
        <f t="shared" si="4"/>
        <v>2700</v>
      </c>
      <c r="Z23">
        <v>320</v>
      </c>
    </row>
    <row r="24" spans="1:29">
      <c r="A24" s="290">
        <v>7341</v>
      </c>
      <c r="B24" s="23" t="str">
        <f t="shared" si="0"/>
        <v>AC/RO/Mad-SE_1500__kV_320</v>
      </c>
      <c r="C24" s="23">
        <v>812</v>
      </c>
      <c r="D24" s="142" t="str">
        <f>VLOOKUP(C24,tab_corredor!$A$2:$B$50,2,0)</f>
        <v>AC/RO/Mad-SE</v>
      </c>
      <c r="E24" s="23">
        <v>1500</v>
      </c>
      <c r="F24" s="23" t="s">
        <v>2724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2672</v>
      </c>
      <c r="M24" s="23">
        <v>2015</v>
      </c>
      <c r="N24" s="23">
        <v>2100</v>
      </c>
      <c r="O24" s="292">
        <v>25</v>
      </c>
      <c r="P24" s="293">
        <v>2700</v>
      </c>
      <c r="Q24" s="294">
        <v>1</v>
      </c>
      <c r="R24" s="23"/>
      <c r="S24" s="148">
        <f t="shared" si="1"/>
        <v>4050</v>
      </c>
      <c r="T24" s="148">
        <f ca="1">IF(S24=0,"",S24*(OFFSET(cod_desembolso!$A$1,Q24,23)))</f>
        <v>4208.8834623923722</v>
      </c>
      <c r="U24" s="149">
        <f>(constantes!$B$3*(1+constantes!$B$3)^(O24))/((1+constantes!$B$3)^(O24)-1)</f>
        <v>9.3678779051968114E-2</v>
      </c>
      <c r="V24" s="148">
        <f t="shared" ca="1" si="2"/>
        <v>394.28306392893757</v>
      </c>
      <c r="W24" s="148">
        <f ca="1">(IF(S24=0,"",V24/constantes!$B$3))*1</f>
        <v>4928.5382991117194</v>
      </c>
      <c r="X24" s="150">
        <f ca="1">IF(S24=0,"",PV(constantes!$B$3,O24,-V24)*constantes!$B$3)</f>
        <v>336.71067699138979</v>
      </c>
      <c r="Y24" s="85">
        <f t="shared" si="4"/>
        <v>2700</v>
      </c>
      <c r="Z24">
        <v>320</v>
      </c>
    </row>
    <row r="25" spans="1:29">
      <c r="A25" s="290">
        <v>7330</v>
      </c>
      <c r="B25" s="23" t="str">
        <f t="shared" si="0"/>
        <v>AC/RO/Mad-SE_1500__kV_321</v>
      </c>
      <c r="C25" s="23">
        <v>812</v>
      </c>
      <c r="D25" s="142" t="str">
        <f>VLOOKUP(C25,tab_corredor!$A$2:$B$50,2,0)</f>
        <v>AC/RO/Mad-SE</v>
      </c>
      <c r="E25" s="23">
        <v>1500</v>
      </c>
      <c r="F25" s="23" t="s">
        <v>2724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2672</v>
      </c>
      <c r="M25" s="23">
        <v>2015</v>
      </c>
      <c r="N25" s="23">
        <v>2100</v>
      </c>
      <c r="O25" s="292">
        <v>25</v>
      </c>
      <c r="P25" s="293">
        <v>2700</v>
      </c>
      <c r="Q25" s="294">
        <v>1</v>
      </c>
      <c r="R25" s="23"/>
      <c r="S25" s="148">
        <f t="shared" si="1"/>
        <v>4050</v>
      </c>
      <c r="T25" s="148">
        <f ca="1">IF(S25=0,"",S25*(OFFSET(cod_desembolso!$A$1,Q25,23)))</f>
        <v>4208.8834623923722</v>
      </c>
      <c r="U25" s="149">
        <f>(constantes!$B$3*(1+constantes!$B$3)^(O25))/((1+constantes!$B$3)^(O25)-1)</f>
        <v>9.3678779051968114E-2</v>
      </c>
      <c r="V25" s="148">
        <f t="shared" ca="1" si="2"/>
        <v>394.28306392893757</v>
      </c>
      <c r="W25" s="148">
        <f ca="1">(IF(S25=0,"",V25/constantes!$B$3))*1</f>
        <v>4928.5382991117194</v>
      </c>
      <c r="X25" s="150">
        <f ca="1">IF(S25=0,"",PV(constantes!$B$3,O25,-V25)*constantes!$B$3)</f>
        <v>336.71067699138979</v>
      </c>
      <c r="Y25" s="85">
        <f t="shared" si="4"/>
        <v>2700</v>
      </c>
      <c r="Z25">
        <v>321</v>
      </c>
      <c r="AA25">
        <v>1500</v>
      </c>
      <c r="AB25">
        <f>AA25*1000*AC25/10^6</f>
        <v>2100</v>
      </c>
      <c r="AC25">
        <v>1400</v>
      </c>
    </row>
    <row r="26" spans="1:29">
      <c r="A26" s="290">
        <v>7334</v>
      </c>
      <c r="B26" s="23" t="str">
        <f t="shared" si="0"/>
        <v>AC/RO/Mad-SE_1500__kV_321</v>
      </c>
      <c r="C26" s="23">
        <v>812</v>
      </c>
      <c r="D26" s="142" t="str">
        <f>VLOOKUP(C26,tab_corredor!$A$2:$B$50,2,0)</f>
        <v>AC/RO/Mad-SE</v>
      </c>
      <c r="E26" s="23">
        <v>1500</v>
      </c>
      <c r="F26" s="23" t="s">
        <v>2724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2672</v>
      </c>
      <c r="M26" s="23">
        <v>2015</v>
      </c>
      <c r="N26" s="23">
        <v>2100</v>
      </c>
      <c r="O26" s="292">
        <v>25</v>
      </c>
      <c r="P26" s="293">
        <v>2700</v>
      </c>
      <c r="Q26" s="294">
        <v>1</v>
      </c>
      <c r="R26" s="23"/>
      <c r="S26" s="148">
        <f t="shared" si="1"/>
        <v>4050</v>
      </c>
      <c r="T26" s="148">
        <f ca="1">IF(S26=0,"",S26*(OFFSET(cod_desembolso!$A$1,Q26,23)))</f>
        <v>4208.8834623923722</v>
      </c>
      <c r="U26" s="149">
        <f>(constantes!$B$3*(1+constantes!$B$3)^(O26))/((1+constantes!$B$3)^(O26)-1)</f>
        <v>9.3678779051968114E-2</v>
      </c>
      <c r="V26" s="148">
        <f t="shared" ca="1" si="2"/>
        <v>394.28306392893757</v>
      </c>
      <c r="W26" s="148">
        <f ca="1">(IF(S26=0,"",V26/constantes!$B$3))*1</f>
        <v>4928.5382991117194</v>
      </c>
      <c r="X26" s="150">
        <f ca="1">IF(S26=0,"",PV(constantes!$B$3,O26,-V26)*constantes!$B$3)</f>
        <v>336.71067699138979</v>
      </c>
      <c r="Y26" s="85">
        <f t="shared" si="4"/>
        <v>2700</v>
      </c>
      <c r="Z26">
        <v>321</v>
      </c>
    </row>
    <row r="27" spans="1:29">
      <c r="A27" s="290">
        <v>7338</v>
      </c>
      <c r="B27" s="23" t="str">
        <f t="shared" si="0"/>
        <v>AC/RO/Mad-SE_1500__kV_321</v>
      </c>
      <c r="C27" s="23">
        <v>812</v>
      </c>
      <c r="D27" s="142" t="str">
        <f>VLOOKUP(C27,tab_corredor!$A$2:$B$50,2,0)</f>
        <v>AC/RO/Mad-SE</v>
      </c>
      <c r="E27" s="23">
        <v>1500</v>
      </c>
      <c r="F27" s="23" t="s">
        <v>2724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2672</v>
      </c>
      <c r="M27" s="23">
        <v>2015</v>
      </c>
      <c r="N27" s="23">
        <v>2100</v>
      </c>
      <c r="O27" s="292">
        <v>25</v>
      </c>
      <c r="P27" s="293">
        <v>2700</v>
      </c>
      <c r="Q27" s="294">
        <v>1</v>
      </c>
      <c r="R27" s="23"/>
      <c r="S27" s="148">
        <f t="shared" ref="S27:S58" si="5">(P27+R27)*1.5</f>
        <v>4050</v>
      </c>
      <c r="T27" s="148">
        <f ca="1">IF(S27=0,"",S27*(OFFSET(cod_desembolso!$A$1,Q27,23)))</f>
        <v>4208.8834623923722</v>
      </c>
      <c r="U27" s="149">
        <f>(constantes!$B$3*(1+constantes!$B$3)^(O27))/((1+constantes!$B$3)^(O27)-1)</f>
        <v>9.3678779051968114E-2</v>
      </c>
      <c r="V27" s="148">
        <f t="shared" ca="1" si="2"/>
        <v>394.28306392893757</v>
      </c>
      <c r="W27" s="148">
        <f ca="1">(IF(S27=0,"",V27/constantes!$B$3))*1</f>
        <v>4928.5382991117194</v>
      </c>
      <c r="X27" s="150">
        <f ca="1">IF(S27=0,"",PV(constantes!$B$3,O27,-V27)*constantes!$B$3)</f>
        <v>336.71067699138979</v>
      </c>
      <c r="Y27" s="85">
        <f t="shared" si="4"/>
        <v>2700</v>
      </c>
      <c r="Z27">
        <v>321</v>
      </c>
    </row>
    <row r="28" spans="1:29">
      <c r="A28" s="290">
        <v>7342</v>
      </c>
      <c r="B28" s="23" t="str">
        <f t="shared" si="0"/>
        <v>AC/RO/Mad-SE_1500__kV_321</v>
      </c>
      <c r="C28" s="23">
        <v>812</v>
      </c>
      <c r="D28" s="142" t="str">
        <f>VLOOKUP(C28,tab_corredor!$A$2:$B$50,2,0)</f>
        <v>AC/RO/Mad-SE</v>
      </c>
      <c r="E28" s="23">
        <v>1500</v>
      </c>
      <c r="F28" s="23" t="s">
        <v>2724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2672</v>
      </c>
      <c r="M28" s="23">
        <v>2015</v>
      </c>
      <c r="N28" s="23">
        <v>2100</v>
      </c>
      <c r="O28" s="292">
        <v>25</v>
      </c>
      <c r="P28" s="293">
        <v>2700</v>
      </c>
      <c r="Q28" s="294">
        <v>1</v>
      </c>
      <c r="R28" s="23"/>
      <c r="S28" s="148">
        <f t="shared" si="5"/>
        <v>4050</v>
      </c>
      <c r="T28" s="148">
        <f ca="1">IF(S28=0,"",S28*(OFFSET(cod_desembolso!$A$1,Q28,23)))</f>
        <v>4208.8834623923722</v>
      </c>
      <c r="U28" s="149">
        <f>(constantes!$B$3*(1+constantes!$B$3)^(O28))/((1+constantes!$B$3)^(O28)-1)</f>
        <v>9.3678779051968114E-2</v>
      </c>
      <c r="V28" s="148">
        <f t="shared" ca="1" si="2"/>
        <v>394.28306392893757</v>
      </c>
      <c r="W28" s="148">
        <f ca="1">(IF(S28=0,"",V28/constantes!$B$3))*1</f>
        <v>4928.5382991117194</v>
      </c>
      <c r="X28" s="150">
        <f ca="1">IF(S28=0,"",PV(constantes!$B$3,O28,-V28)*constantes!$B$3)</f>
        <v>336.71067699138979</v>
      </c>
      <c r="Y28" s="85">
        <f t="shared" si="4"/>
        <v>2700</v>
      </c>
      <c r="Z28">
        <v>321</v>
      </c>
    </row>
    <row r="29" spans="1:29">
      <c r="A29" s="290">
        <v>7331</v>
      </c>
      <c r="B29" s="23" t="str">
        <f t="shared" si="0"/>
        <v>AC/RO/Mad-SE_1500__kV_322</v>
      </c>
      <c r="C29" s="23">
        <v>812</v>
      </c>
      <c r="D29" s="142" t="str">
        <f>VLOOKUP(C29,tab_corredor!$A$2:$B$50,2,0)</f>
        <v>AC/RO/Mad-SE</v>
      </c>
      <c r="E29" s="23">
        <v>1500</v>
      </c>
      <c r="F29" s="23" t="s">
        <v>2724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2672</v>
      </c>
      <c r="M29" s="23">
        <v>2015</v>
      </c>
      <c r="N29" s="23">
        <v>2100</v>
      </c>
      <c r="O29" s="292">
        <v>25</v>
      </c>
      <c r="P29" s="293">
        <v>2700</v>
      </c>
      <c r="Q29" s="294">
        <v>1</v>
      </c>
      <c r="R29" s="23"/>
      <c r="S29" s="148">
        <f t="shared" si="5"/>
        <v>4050</v>
      </c>
      <c r="T29" s="148">
        <f ca="1">IF(S29=0,"",S29*(OFFSET(cod_desembolso!$A$1,Q29,23)))</f>
        <v>4208.8834623923722</v>
      </c>
      <c r="U29" s="149">
        <f>(constantes!$B$3*(1+constantes!$B$3)^(O29))/((1+constantes!$B$3)^(O29)-1)</f>
        <v>9.3678779051968114E-2</v>
      </c>
      <c r="V29" s="148">
        <f t="shared" ca="1" si="2"/>
        <v>394.28306392893757</v>
      </c>
      <c r="W29" s="148">
        <f ca="1">(IF(S29=0,"",V29/constantes!$B$3))*1</f>
        <v>4928.5382991117194</v>
      </c>
      <c r="X29" s="150">
        <f ca="1">IF(S29=0,"",PV(constantes!$B$3,O29,-V29)*constantes!$B$3)</f>
        <v>336.71067699138979</v>
      </c>
      <c r="Y29" s="85">
        <f t="shared" si="4"/>
        <v>2700</v>
      </c>
      <c r="Z29">
        <v>322</v>
      </c>
    </row>
    <row r="30" spans="1:29">
      <c r="A30" s="290">
        <v>7335</v>
      </c>
      <c r="B30" s="23" t="str">
        <f t="shared" si="0"/>
        <v>AC/RO/Mad-SE_1500__kV_322</v>
      </c>
      <c r="C30" s="23">
        <v>812</v>
      </c>
      <c r="D30" s="142" t="str">
        <f>VLOOKUP(C30,tab_corredor!$A$2:$B$50,2,0)</f>
        <v>AC/RO/Mad-SE</v>
      </c>
      <c r="E30" s="23">
        <v>1500</v>
      </c>
      <c r="F30" s="23" t="s">
        <v>2724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2672</v>
      </c>
      <c r="M30" s="23">
        <v>2015</v>
      </c>
      <c r="N30" s="23">
        <v>2100</v>
      </c>
      <c r="O30" s="292">
        <v>25</v>
      </c>
      <c r="P30" s="293">
        <v>2700</v>
      </c>
      <c r="Q30" s="294">
        <v>1</v>
      </c>
      <c r="R30" s="23"/>
      <c r="S30" s="148">
        <f t="shared" si="5"/>
        <v>4050</v>
      </c>
      <c r="T30" s="148">
        <f ca="1">IF(S30=0,"",S30*(OFFSET(cod_desembolso!$A$1,Q30,23)))</f>
        <v>4208.8834623923722</v>
      </c>
      <c r="U30" s="149">
        <f>(constantes!$B$3*(1+constantes!$B$3)^(O30))/((1+constantes!$B$3)^(O30)-1)</f>
        <v>9.3678779051968114E-2</v>
      </c>
      <c r="V30" s="148">
        <f t="shared" ca="1" si="2"/>
        <v>394.28306392893757</v>
      </c>
      <c r="W30" s="148">
        <f ca="1">(IF(S30=0,"",V30/constantes!$B$3))*1</f>
        <v>4928.5382991117194</v>
      </c>
      <c r="X30" s="150">
        <f ca="1">IF(S30=0,"",PV(constantes!$B$3,O30,-V30)*constantes!$B$3)</f>
        <v>336.71067699138979</v>
      </c>
      <c r="Y30" s="85">
        <f t="shared" si="4"/>
        <v>2700</v>
      </c>
      <c r="Z30">
        <v>322</v>
      </c>
    </row>
    <row r="31" spans="1:29">
      <c r="A31" s="290">
        <v>7339</v>
      </c>
      <c r="B31" s="23" t="str">
        <f t="shared" si="0"/>
        <v>AC/RO/Mad-SE_1500__kV_322</v>
      </c>
      <c r="C31" s="23">
        <v>812</v>
      </c>
      <c r="D31" s="142" t="str">
        <f>VLOOKUP(C31,tab_corredor!$A$2:$B$50,2,0)</f>
        <v>AC/RO/Mad-SE</v>
      </c>
      <c r="E31" s="23">
        <v>1500</v>
      </c>
      <c r="F31" s="23" t="s">
        <v>2724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2672</v>
      </c>
      <c r="M31" s="23">
        <v>2015</v>
      </c>
      <c r="N31" s="23">
        <v>2100</v>
      </c>
      <c r="O31" s="292">
        <v>25</v>
      </c>
      <c r="P31" s="293">
        <v>2700</v>
      </c>
      <c r="Q31" s="294">
        <v>1</v>
      </c>
      <c r="R31" s="23"/>
      <c r="S31" s="148">
        <f t="shared" si="5"/>
        <v>4050</v>
      </c>
      <c r="T31" s="148">
        <f ca="1">IF(S31=0,"",S31*(OFFSET(cod_desembolso!$A$1,Q31,23)))</f>
        <v>4208.8834623923722</v>
      </c>
      <c r="U31" s="149">
        <f>(constantes!$B$3*(1+constantes!$B$3)^(O31))/((1+constantes!$B$3)^(O31)-1)</f>
        <v>9.3678779051968114E-2</v>
      </c>
      <c r="V31" s="148">
        <f t="shared" ca="1" si="2"/>
        <v>394.28306392893757</v>
      </c>
      <c r="W31" s="148">
        <f ca="1">(IF(S31=0,"",V31/constantes!$B$3))*1</f>
        <v>4928.5382991117194</v>
      </c>
      <c r="X31" s="150">
        <f ca="1">IF(S31=0,"",PV(constantes!$B$3,O31,-V31)*constantes!$B$3)</f>
        <v>336.71067699138979</v>
      </c>
      <c r="Y31" s="85">
        <f t="shared" si="4"/>
        <v>2700</v>
      </c>
      <c r="Z31">
        <v>322</v>
      </c>
    </row>
    <row r="32" spans="1:29">
      <c r="A32" s="290">
        <v>7343</v>
      </c>
      <c r="B32" s="23" t="str">
        <f t="shared" si="0"/>
        <v>AC/RO/Mad-SE_1500__kV_322</v>
      </c>
      <c r="C32" s="23">
        <v>812</v>
      </c>
      <c r="D32" s="142" t="str">
        <f>VLOOKUP(C32,tab_corredor!$A$2:$B$50,2,0)</f>
        <v>AC/RO/Mad-SE</v>
      </c>
      <c r="E32" s="23">
        <v>1500</v>
      </c>
      <c r="F32" s="23" t="s">
        <v>2724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2672</v>
      </c>
      <c r="M32" s="23">
        <v>2015</v>
      </c>
      <c r="N32" s="23">
        <v>2100</v>
      </c>
      <c r="O32" s="292">
        <v>25</v>
      </c>
      <c r="P32" s="293">
        <v>2700</v>
      </c>
      <c r="Q32" s="294">
        <v>1</v>
      </c>
      <c r="R32" s="23"/>
      <c r="S32" s="148">
        <f t="shared" si="5"/>
        <v>4050</v>
      </c>
      <c r="T32" s="148">
        <f ca="1">IF(S32=0,"",S32*(OFFSET(cod_desembolso!$A$1,Q32,23)))</f>
        <v>4208.8834623923722</v>
      </c>
      <c r="U32" s="149">
        <f>(constantes!$B$3*(1+constantes!$B$3)^(O32))/((1+constantes!$B$3)^(O32)-1)</f>
        <v>9.3678779051968114E-2</v>
      </c>
      <c r="V32" s="148">
        <f t="shared" ca="1" si="2"/>
        <v>394.28306392893757</v>
      </c>
      <c r="W32" s="148">
        <f ca="1">(IF(S32=0,"",V32/constantes!$B$3))*1</f>
        <v>4928.5382991117194</v>
      </c>
      <c r="X32" s="150">
        <f ca="1">IF(S32=0,"",PV(constantes!$B$3,O32,-V32)*constantes!$B$3)</f>
        <v>336.71067699138979</v>
      </c>
      <c r="Y32" s="85">
        <f t="shared" si="4"/>
        <v>2700</v>
      </c>
      <c r="Z32">
        <v>322</v>
      </c>
    </row>
    <row r="33" spans="1:26">
      <c r="A33" s="290">
        <v>7344</v>
      </c>
      <c r="B33" s="23" t="str">
        <f t="shared" si="0"/>
        <v>AC/RO/Mad-SE_1500__kV_323</v>
      </c>
      <c r="C33" s="23">
        <v>812</v>
      </c>
      <c r="D33" s="142" t="str">
        <f>VLOOKUP(C33,tab_corredor!$A$2:$B$50,2,0)</f>
        <v>AC/RO/Mad-SE</v>
      </c>
      <c r="E33" s="23">
        <v>1500</v>
      </c>
      <c r="F33" s="23" t="s">
        <v>2724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2672</v>
      </c>
      <c r="M33" s="23">
        <v>2015</v>
      </c>
      <c r="N33" s="23">
        <v>2100</v>
      </c>
      <c r="O33" s="292">
        <v>25</v>
      </c>
      <c r="P33" s="293">
        <v>2700</v>
      </c>
      <c r="Q33" s="294">
        <v>1</v>
      </c>
      <c r="R33" s="23"/>
      <c r="S33" s="148">
        <f t="shared" si="5"/>
        <v>4050</v>
      </c>
      <c r="T33" s="148">
        <f ca="1">IF(S33=0,"",S33*(OFFSET(cod_desembolso!$A$1,Q33,23)))</f>
        <v>4208.8834623923722</v>
      </c>
      <c r="U33" s="149">
        <f>(constantes!$B$3*(1+constantes!$B$3)^(O33))/((1+constantes!$B$3)^(O33)-1)</f>
        <v>9.3678779051968114E-2</v>
      </c>
      <c r="V33" s="148">
        <f t="shared" ca="1" si="2"/>
        <v>394.28306392893757</v>
      </c>
      <c r="W33" s="148">
        <f ca="1">(IF(S33=0,"",V33/constantes!$B$3))*1</f>
        <v>4928.5382991117194</v>
      </c>
      <c r="X33" s="150">
        <f ca="1">IF(S33=0,"",PV(constantes!$B$3,O33,-V33)*constantes!$B$3)</f>
        <v>336.71067699138979</v>
      </c>
      <c r="Y33" s="85">
        <f t="shared" si="4"/>
        <v>2700</v>
      </c>
      <c r="Z33">
        <v>323</v>
      </c>
    </row>
    <row r="34" spans="1:26">
      <c r="A34" s="290">
        <v>7345</v>
      </c>
      <c r="B34" s="23" t="str">
        <f t="shared" si="0"/>
        <v>AC/RO/Mad-SE_1500__kV_324</v>
      </c>
      <c r="C34" s="23">
        <v>812</v>
      </c>
      <c r="D34" s="142" t="str">
        <f>VLOOKUP(C34,tab_corredor!$A$2:$B$50,2,0)</f>
        <v>AC/RO/Mad-SE</v>
      </c>
      <c r="E34" s="23">
        <v>1500</v>
      </c>
      <c r="F34" s="23" t="s">
        <v>2724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2672</v>
      </c>
      <c r="M34" s="23">
        <v>2015</v>
      </c>
      <c r="N34" s="23">
        <v>2100</v>
      </c>
      <c r="O34" s="292">
        <v>25</v>
      </c>
      <c r="P34" s="293">
        <v>2700</v>
      </c>
      <c r="Q34" s="294">
        <v>1</v>
      </c>
      <c r="R34" s="23"/>
      <c r="S34" s="148">
        <f t="shared" si="5"/>
        <v>4050</v>
      </c>
      <c r="T34" s="148">
        <f ca="1">IF(S34=0,"",S34*(OFFSET(cod_desembolso!$A$1,Q34,23)))</f>
        <v>4208.8834623923722</v>
      </c>
      <c r="U34" s="149">
        <f>(constantes!$B$3*(1+constantes!$B$3)^(O34))/((1+constantes!$B$3)^(O34)-1)</f>
        <v>9.3678779051968114E-2</v>
      </c>
      <c r="V34" s="148">
        <f t="shared" ca="1" si="2"/>
        <v>394.28306392893757</v>
      </c>
      <c r="W34" s="148">
        <f ca="1">(IF(S34=0,"",V34/constantes!$B$3))*1</f>
        <v>4928.5382991117194</v>
      </c>
      <c r="X34" s="150">
        <f ca="1">IF(S34=0,"",PV(constantes!$B$3,O34,-V34)*constantes!$B$3)</f>
        <v>336.71067699138979</v>
      </c>
      <c r="Y34" s="85">
        <f t="shared" si="4"/>
        <v>2700</v>
      </c>
      <c r="Z34">
        <v>324</v>
      </c>
    </row>
    <row r="35" spans="1:26">
      <c r="A35" s="290">
        <v>7346</v>
      </c>
      <c r="B35" s="23" t="str">
        <f t="shared" si="0"/>
        <v>AC/RO/Mad-SE_1500__kV_325</v>
      </c>
      <c r="C35" s="23">
        <v>812</v>
      </c>
      <c r="D35" s="142" t="str">
        <f>VLOOKUP(C35,tab_corredor!$A$2:$B$50,2,0)</f>
        <v>AC/RO/Mad-SE</v>
      </c>
      <c r="E35" s="23">
        <v>1500</v>
      </c>
      <c r="F35" s="23" t="s">
        <v>2724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2672</v>
      </c>
      <c r="M35" s="23">
        <v>2015</v>
      </c>
      <c r="N35" s="23">
        <v>2100</v>
      </c>
      <c r="O35" s="292">
        <v>25</v>
      </c>
      <c r="P35" s="293">
        <v>2700</v>
      </c>
      <c r="Q35" s="294">
        <v>1</v>
      </c>
      <c r="R35" s="23"/>
      <c r="S35" s="148">
        <f t="shared" si="5"/>
        <v>4050</v>
      </c>
      <c r="T35" s="148">
        <f ca="1">IF(S35=0,"",S35*(OFFSET(cod_desembolso!$A$1,Q35,23)))</f>
        <v>4208.8834623923722</v>
      </c>
      <c r="U35" s="149">
        <f>(constantes!$B$3*(1+constantes!$B$3)^(O35))/((1+constantes!$B$3)^(O35)-1)</f>
        <v>9.3678779051968114E-2</v>
      </c>
      <c r="V35" s="148">
        <f t="shared" ca="1" si="2"/>
        <v>394.28306392893757</v>
      </c>
      <c r="W35" s="148">
        <f ca="1">(IF(S35=0,"",V35/constantes!$B$3))*1</f>
        <v>4928.5382991117194</v>
      </c>
      <c r="X35" s="150">
        <f ca="1">IF(S35=0,"",PV(constantes!$B$3,O35,-V35)*constantes!$B$3)</f>
        <v>336.71067699138979</v>
      </c>
      <c r="Y35" s="85">
        <f t="shared" si="4"/>
        <v>2700</v>
      </c>
      <c r="Z35">
        <v>325</v>
      </c>
    </row>
    <row r="36" spans="1:26">
      <c r="A36" s="290">
        <v>7347</v>
      </c>
      <c r="B36" s="23" t="str">
        <f t="shared" si="0"/>
        <v>AC/RO/Mad-SE_1500__kV_326</v>
      </c>
      <c r="C36" s="23">
        <v>812</v>
      </c>
      <c r="D36" s="142" t="str">
        <f>VLOOKUP(C36,tab_corredor!$A$2:$B$50,2,0)</f>
        <v>AC/RO/Mad-SE</v>
      </c>
      <c r="E36" s="23">
        <v>1500</v>
      </c>
      <c r="F36" s="23" t="s">
        <v>2724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2672</v>
      </c>
      <c r="M36" s="23">
        <v>2015</v>
      </c>
      <c r="N36" s="23">
        <v>2100</v>
      </c>
      <c r="O36" s="292">
        <v>25</v>
      </c>
      <c r="P36" s="293">
        <v>2700</v>
      </c>
      <c r="Q36" s="294">
        <v>1</v>
      </c>
      <c r="R36" s="23"/>
      <c r="S36" s="148">
        <f t="shared" si="5"/>
        <v>4050</v>
      </c>
      <c r="T36" s="148">
        <f ca="1">IF(S36=0,"",S36*(OFFSET(cod_desembolso!$A$1,Q36,23)))</f>
        <v>4208.8834623923722</v>
      </c>
      <c r="U36" s="149">
        <f>(constantes!$B$3*(1+constantes!$B$3)^(O36))/((1+constantes!$B$3)^(O36)-1)</f>
        <v>9.3678779051968114E-2</v>
      </c>
      <c r="V36" s="148">
        <f t="shared" ca="1" si="2"/>
        <v>394.28306392893757</v>
      </c>
      <c r="W36" s="148">
        <f ca="1">(IF(S36=0,"",V36/constantes!$B$3))*1</f>
        <v>4928.5382991117194</v>
      </c>
      <c r="X36" s="150">
        <f ca="1">IF(S36=0,"",PV(constantes!$B$3,O36,-V36)*constantes!$B$3)</f>
        <v>336.71067699138979</v>
      </c>
      <c r="Y36" s="85">
        <f t="shared" si="4"/>
        <v>2700</v>
      </c>
      <c r="Z36">
        <v>326</v>
      </c>
    </row>
    <row r="37" spans="1:26">
      <c r="A37" s="290">
        <v>7348</v>
      </c>
      <c r="B37" s="23" t="str">
        <f t="shared" si="0"/>
        <v>AC/RO/Mad-SE_1500__kV_327</v>
      </c>
      <c r="C37" s="23">
        <v>812</v>
      </c>
      <c r="D37" s="142" t="str">
        <f>VLOOKUP(C37,tab_corredor!$A$2:$B$50,2,0)</f>
        <v>AC/RO/Mad-SE</v>
      </c>
      <c r="E37" s="23">
        <v>1500</v>
      </c>
      <c r="F37" s="23" t="s">
        <v>2724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2672</v>
      </c>
      <c r="M37" s="23">
        <v>2015</v>
      </c>
      <c r="N37" s="23">
        <v>2100</v>
      </c>
      <c r="O37" s="292">
        <v>25</v>
      </c>
      <c r="P37" s="293">
        <v>2700</v>
      </c>
      <c r="Q37" s="294">
        <v>1</v>
      </c>
      <c r="R37" s="23"/>
      <c r="S37" s="148">
        <f t="shared" si="5"/>
        <v>4050</v>
      </c>
      <c r="T37" s="148">
        <f ca="1">IF(S37=0,"",S37*(OFFSET(cod_desembolso!$A$1,Q37,23)))</f>
        <v>4208.8834623923722</v>
      </c>
      <c r="U37" s="149">
        <f>(constantes!$B$3*(1+constantes!$B$3)^(O37))/((1+constantes!$B$3)^(O37)-1)</f>
        <v>9.3678779051968114E-2</v>
      </c>
      <c r="V37" s="148">
        <f t="shared" ca="1" si="2"/>
        <v>394.28306392893757</v>
      </c>
      <c r="W37" s="148">
        <f ca="1">(IF(S37=0,"",V37/constantes!$B$3))*1</f>
        <v>4928.5382991117194</v>
      </c>
      <c r="X37" s="150">
        <f ca="1">IF(S37=0,"",PV(constantes!$B$3,O37,-V37)*constantes!$B$3)</f>
        <v>336.71067699138979</v>
      </c>
      <c r="Y37" s="85">
        <f t="shared" si="4"/>
        <v>2700</v>
      </c>
      <c r="Z37">
        <v>327</v>
      </c>
    </row>
    <row r="38" spans="1:26">
      <c r="A38" s="290">
        <v>7349</v>
      </c>
      <c r="B38" s="23" t="str">
        <f t="shared" si="0"/>
        <v>AC/RO/Mad-SE_1500__kV_328</v>
      </c>
      <c r="C38" s="23">
        <v>812</v>
      </c>
      <c r="D38" s="142" t="str">
        <f>VLOOKUP(C38,tab_corredor!$A$2:$B$50,2,0)</f>
        <v>AC/RO/Mad-SE</v>
      </c>
      <c r="E38" s="23">
        <v>1500</v>
      </c>
      <c r="F38" s="23" t="s">
        <v>2724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2672</v>
      </c>
      <c r="M38" s="23">
        <v>2015</v>
      </c>
      <c r="N38" s="23">
        <v>2100</v>
      </c>
      <c r="O38" s="292">
        <v>25</v>
      </c>
      <c r="P38" s="293">
        <v>2700</v>
      </c>
      <c r="Q38" s="294">
        <v>1</v>
      </c>
      <c r="R38" s="23"/>
      <c r="S38" s="148">
        <f t="shared" si="5"/>
        <v>4050</v>
      </c>
      <c r="T38" s="148">
        <f ca="1">IF(S38=0,"",S38*(OFFSET(cod_desembolso!$A$1,Q38,23)))</f>
        <v>4208.8834623923722</v>
      </c>
      <c r="U38" s="149">
        <f>(constantes!$B$3*(1+constantes!$B$3)^(O38))/((1+constantes!$B$3)^(O38)-1)</f>
        <v>9.3678779051968114E-2</v>
      </c>
      <c r="V38" s="148">
        <f t="shared" ca="1" si="2"/>
        <v>394.28306392893757</v>
      </c>
      <c r="W38" s="148">
        <f ca="1">(IF(S38=0,"",V38/constantes!$B$3))*1</f>
        <v>4928.5382991117194</v>
      </c>
      <c r="X38" s="150">
        <f ca="1">IF(S38=0,"",PV(constantes!$B$3,O38,-V38)*constantes!$B$3)</f>
        <v>336.71067699138979</v>
      </c>
      <c r="Y38" s="85">
        <f t="shared" si="4"/>
        <v>2700</v>
      </c>
      <c r="Z38">
        <v>328</v>
      </c>
    </row>
    <row r="39" spans="1:26">
      <c r="A39" s="290">
        <v>7350</v>
      </c>
      <c r="B39" s="23" t="str">
        <f t="shared" si="0"/>
        <v>AC/RO/Mad-SE_1500__kV_329</v>
      </c>
      <c r="C39" s="23">
        <v>812</v>
      </c>
      <c r="D39" s="142" t="str">
        <f>VLOOKUP(C39,tab_corredor!$A$2:$B$50,2,0)</f>
        <v>AC/RO/Mad-SE</v>
      </c>
      <c r="E39" s="23">
        <v>1500</v>
      </c>
      <c r="F39" s="23" t="s">
        <v>2724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2672</v>
      </c>
      <c r="M39" s="23">
        <v>2015</v>
      </c>
      <c r="N39" s="23">
        <v>2100</v>
      </c>
      <c r="O39" s="292">
        <v>25</v>
      </c>
      <c r="P39" s="293">
        <v>2700</v>
      </c>
      <c r="Q39" s="294">
        <v>1</v>
      </c>
      <c r="R39" s="23"/>
      <c r="S39" s="148">
        <f t="shared" si="5"/>
        <v>4050</v>
      </c>
      <c r="T39" s="148">
        <f ca="1">IF(S39=0,"",S39*(OFFSET(cod_desembolso!$A$1,Q39,23)))</f>
        <v>4208.8834623923722</v>
      </c>
      <c r="U39" s="149">
        <f>(constantes!$B$3*(1+constantes!$B$3)^(O39))/((1+constantes!$B$3)^(O39)-1)</f>
        <v>9.3678779051968114E-2</v>
      </c>
      <c r="V39" s="148">
        <f t="shared" ca="1" si="2"/>
        <v>394.28306392893757</v>
      </c>
      <c r="W39" s="148">
        <f ca="1">(IF(S39=0,"",V39/constantes!$B$3))*1</f>
        <v>4928.5382991117194</v>
      </c>
      <c r="X39" s="150">
        <f ca="1">IF(S39=0,"",PV(constantes!$B$3,O39,-V39)*constantes!$B$3)</f>
        <v>336.71067699138979</v>
      </c>
      <c r="Y39" s="85">
        <f t="shared" si="4"/>
        <v>2700</v>
      </c>
      <c r="Z39">
        <v>329</v>
      </c>
    </row>
    <row r="40" spans="1:26">
      <c r="A40" s="290">
        <v>7351</v>
      </c>
      <c r="B40" s="23" t="str">
        <f t="shared" si="0"/>
        <v>AC/RO/Mad-SE_1500__kV_330</v>
      </c>
      <c r="C40" s="23">
        <v>812</v>
      </c>
      <c r="D40" s="142" t="str">
        <f>VLOOKUP(C40,tab_corredor!$A$2:$B$50,2,0)</f>
        <v>AC/RO/Mad-SE</v>
      </c>
      <c r="E40" s="23">
        <v>1500</v>
      </c>
      <c r="F40" s="23" t="s">
        <v>2724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2672</v>
      </c>
      <c r="M40" s="23">
        <v>2015</v>
      </c>
      <c r="N40" s="23">
        <v>2100</v>
      </c>
      <c r="O40" s="292">
        <v>25</v>
      </c>
      <c r="P40" s="293">
        <v>2700</v>
      </c>
      <c r="Q40" s="294">
        <v>1</v>
      </c>
      <c r="R40" s="23"/>
      <c r="S40" s="148">
        <f t="shared" si="5"/>
        <v>4050</v>
      </c>
      <c r="T40" s="148">
        <f ca="1">IF(S40=0,"",S40*(OFFSET(cod_desembolso!$A$1,Q40,23)))</f>
        <v>4208.8834623923722</v>
      </c>
      <c r="U40" s="149">
        <f>(constantes!$B$3*(1+constantes!$B$3)^(O40))/((1+constantes!$B$3)^(O40)-1)</f>
        <v>9.3678779051968114E-2</v>
      </c>
      <c r="V40" s="148">
        <f t="shared" ca="1" si="2"/>
        <v>394.28306392893757</v>
      </c>
      <c r="W40" s="148">
        <f ca="1">(IF(S40=0,"",V40/constantes!$B$3))*1</f>
        <v>4928.5382991117194</v>
      </c>
      <c r="X40" s="150">
        <f ca="1">IF(S40=0,"",PV(constantes!$B$3,O40,-V40)*constantes!$B$3)</f>
        <v>336.71067699138979</v>
      </c>
      <c r="Y40" s="85">
        <f t="shared" si="4"/>
        <v>2700</v>
      </c>
      <c r="Z40">
        <v>330</v>
      </c>
    </row>
    <row r="41" spans="1:26">
      <c r="A41" s="290">
        <v>7352</v>
      </c>
      <c r="B41" s="23" t="str">
        <f t="shared" si="0"/>
        <v>AC/RO/Mad-SE_1500__kV_331</v>
      </c>
      <c r="C41" s="23">
        <v>812</v>
      </c>
      <c r="D41" s="142" t="str">
        <f>VLOOKUP(C41,tab_corredor!$A$2:$B$50,2,0)</f>
        <v>AC/RO/Mad-SE</v>
      </c>
      <c r="E41" s="23">
        <v>1500</v>
      </c>
      <c r="F41" s="23" t="s">
        <v>2724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2672</v>
      </c>
      <c r="M41" s="23">
        <v>2015</v>
      </c>
      <c r="N41" s="23">
        <v>2100</v>
      </c>
      <c r="O41" s="292">
        <v>25</v>
      </c>
      <c r="P41" s="293">
        <v>2700</v>
      </c>
      <c r="Q41" s="294">
        <v>1</v>
      </c>
      <c r="R41" s="23"/>
      <c r="S41" s="148">
        <f t="shared" si="5"/>
        <v>4050</v>
      </c>
      <c r="T41" s="148">
        <f ca="1">IF(S41=0,"",S41*(OFFSET(cod_desembolso!$A$1,Q41,23)))</f>
        <v>4208.8834623923722</v>
      </c>
      <c r="U41" s="149">
        <f>(constantes!$B$3*(1+constantes!$B$3)^(O41))/((1+constantes!$B$3)^(O41)-1)</f>
        <v>9.3678779051968114E-2</v>
      </c>
      <c r="V41" s="148">
        <f t="shared" ca="1" si="2"/>
        <v>394.28306392893757</v>
      </c>
      <c r="W41" s="148">
        <f ca="1">(IF(S41=0,"",V41/constantes!$B$3))*1</f>
        <v>4928.5382991117194</v>
      </c>
      <c r="X41" s="150">
        <f ca="1">IF(S41=0,"",PV(constantes!$B$3,O41,-V41)*constantes!$B$3)</f>
        <v>336.71067699138979</v>
      </c>
      <c r="Y41" s="85">
        <f t="shared" si="4"/>
        <v>2700</v>
      </c>
      <c r="Z41">
        <v>331</v>
      </c>
    </row>
    <row r="42" spans="1:26">
      <c r="A42" s="290">
        <v>7353</v>
      </c>
      <c r="B42" s="23" t="str">
        <f t="shared" si="0"/>
        <v>AC/RO/Mad-SE_1500__kV_332</v>
      </c>
      <c r="C42" s="23">
        <v>812</v>
      </c>
      <c r="D42" s="142" t="str">
        <f>VLOOKUP(C42,tab_corredor!$A$2:$B$50,2,0)</f>
        <v>AC/RO/Mad-SE</v>
      </c>
      <c r="E42" s="23">
        <v>1500</v>
      </c>
      <c r="F42" s="23" t="s">
        <v>2724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2672</v>
      </c>
      <c r="M42" s="23">
        <v>2015</v>
      </c>
      <c r="N42" s="23">
        <v>2100</v>
      </c>
      <c r="O42" s="292">
        <v>25</v>
      </c>
      <c r="P42" s="293">
        <v>2700</v>
      </c>
      <c r="Q42" s="294">
        <v>1</v>
      </c>
      <c r="R42" s="23"/>
      <c r="S42" s="148">
        <f t="shared" si="5"/>
        <v>4050</v>
      </c>
      <c r="T42" s="148">
        <f ca="1">IF(S42=0,"",S42*(OFFSET(cod_desembolso!$A$1,Q42,23)))</f>
        <v>4208.8834623923722</v>
      </c>
      <c r="U42" s="149">
        <f>(constantes!$B$3*(1+constantes!$B$3)^(O42))/((1+constantes!$B$3)^(O42)-1)</f>
        <v>9.3678779051968114E-2</v>
      </c>
      <c r="V42" s="148">
        <f t="shared" ca="1" si="2"/>
        <v>394.28306392893757</v>
      </c>
      <c r="W42" s="148">
        <f ca="1">(IF(S42=0,"",V42/constantes!$B$3))*1</f>
        <v>4928.5382991117194</v>
      </c>
      <c r="X42" s="150">
        <f ca="1">IF(S42=0,"",PV(constantes!$B$3,O42,-V42)*constantes!$B$3)</f>
        <v>336.71067699138979</v>
      </c>
      <c r="Y42" s="85">
        <f t="shared" si="4"/>
        <v>2700</v>
      </c>
      <c r="Z42">
        <v>332</v>
      </c>
    </row>
    <row r="43" spans="1:26">
      <c r="A43" s="290">
        <v>7354</v>
      </c>
      <c r="B43" s="23" t="str">
        <f t="shared" si="0"/>
        <v>AC/RO/Mad-SE_1500__kV_333</v>
      </c>
      <c r="C43" s="23">
        <v>812</v>
      </c>
      <c r="D43" s="142" t="str">
        <f>VLOOKUP(C43,tab_corredor!$A$2:$B$50,2,0)</f>
        <v>AC/RO/Mad-SE</v>
      </c>
      <c r="E43" s="23">
        <v>1500</v>
      </c>
      <c r="F43" s="23" t="s">
        <v>2724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2672</v>
      </c>
      <c r="M43" s="23">
        <v>2015</v>
      </c>
      <c r="N43" s="23">
        <v>2100</v>
      </c>
      <c r="O43" s="292">
        <v>25</v>
      </c>
      <c r="P43" s="293">
        <v>2700</v>
      </c>
      <c r="Q43" s="294">
        <v>1</v>
      </c>
      <c r="R43" s="23"/>
      <c r="S43" s="148">
        <f t="shared" si="5"/>
        <v>4050</v>
      </c>
      <c r="T43" s="148">
        <f ca="1">IF(S43=0,"",S43*(OFFSET(cod_desembolso!$A$1,Q43,23)))</f>
        <v>4208.8834623923722</v>
      </c>
      <c r="U43" s="149">
        <f>(constantes!$B$3*(1+constantes!$B$3)^(O43))/((1+constantes!$B$3)^(O43)-1)</f>
        <v>9.3678779051968114E-2</v>
      </c>
      <c r="V43" s="148">
        <f t="shared" ca="1" si="2"/>
        <v>394.28306392893757</v>
      </c>
      <c r="W43" s="148">
        <f ca="1">(IF(S43=0,"",V43/constantes!$B$3))*1</f>
        <v>4928.5382991117194</v>
      </c>
      <c r="X43" s="150">
        <f ca="1">IF(S43=0,"",PV(constantes!$B$3,O43,-V43)*constantes!$B$3)</f>
        <v>336.71067699138979</v>
      </c>
      <c r="Y43" s="85">
        <f t="shared" si="4"/>
        <v>2700</v>
      </c>
      <c r="Z43">
        <v>333</v>
      </c>
    </row>
    <row r="44" spans="1:26">
      <c r="A44" s="290">
        <v>7355</v>
      </c>
      <c r="B44" s="23" t="str">
        <f t="shared" si="0"/>
        <v>AC/RO/Mad-SE_1500__kV_334</v>
      </c>
      <c r="C44" s="23">
        <v>812</v>
      </c>
      <c r="D44" s="142" t="str">
        <f>VLOOKUP(C44,tab_corredor!$A$2:$B$50,2,0)</f>
        <v>AC/RO/Mad-SE</v>
      </c>
      <c r="E44" s="23">
        <v>1500</v>
      </c>
      <c r="F44" s="23" t="s">
        <v>2724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2672</v>
      </c>
      <c r="M44" s="23">
        <v>2015</v>
      </c>
      <c r="N44" s="23">
        <v>2100</v>
      </c>
      <c r="O44" s="292">
        <v>25</v>
      </c>
      <c r="P44" s="293">
        <v>2700</v>
      </c>
      <c r="Q44" s="294">
        <v>1</v>
      </c>
      <c r="R44" s="23"/>
      <c r="S44" s="148">
        <f t="shared" si="5"/>
        <v>4050</v>
      </c>
      <c r="T44" s="148">
        <f ca="1">IF(S44=0,"",S44*(OFFSET(cod_desembolso!$A$1,Q44,23)))</f>
        <v>4208.8834623923722</v>
      </c>
      <c r="U44" s="149">
        <f>(constantes!$B$3*(1+constantes!$B$3)^(O44))/((1+constantes!$B$3)^(O44)-1)</f>
        <v>9.3678779051968114E-2</v>
      </c>
      <c r="V44" s="148">
        <f t="shared" ca="1" si="2"/>
        <v>394.28306392893757</v>
      </c>
      <c r="W44" s="148">
        <f ca="1">(IF(S44=0,"",V44/constantes!$B$3))*1</f>
        <v>4928.5382991117194</v>
      </c>
      <c r="X44" s="150">
        <f ca="1">IF(S44=0,"",PV(constantes!$B$3,O44,-V44)*constantes!$B$3)</f>
        <v>336.71067699138979</v>
      </c>
      <c r="Y44" s="85">
        <f t="shared" si="4"/>
        <v>2700</v>
      </c>
      <c r="Z44">
        <v>334</v>
      </c>
    </row>
    <row r="45" spans="1:26">
      <c r="A45" s="290">
        <v>7356</v>
      </c>
      <c r="B45" s="23" t="str">
        <f t="shared" si="0"/>
        <v>AC/RO/Mad-SE_1500__kV_335</v>
      </c>
      <c r="C45" s="23">
        <v>812</v>
      </c>
      <c r="D45" s="142" t="str">
        <f>VLOOKUP(C45,tab_corredor!$A$2:$B$50,2,0)</f>
        <v>AC/RO/Mad-SE</v>
      </c>
      <c r="E45" s="23">
        <v>1500</v>
      </c>
      <c r="F45" s="23" t="s">
        <v>2724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2672</v>
      </c>
      <c r="M45" s="23">
        <v>2015</v>
      </c>
      <c r="N45" s="23">
        <v>2100</v>
      </c>
      <c r="O45" s="292">
        <v>25</v>
      </c>
      <c r="P45" s="293">
        <v>2700</v>
      </c>
      <c r="Q45" s="294">
        <v>1</v>
      </c>
      <c r="R45" s="23"/>
      <c r="S45" s="148">
        <f t="shared" si="5"/>
        <v>4050</v>
      </c>
      <c r="T45" s="148">
        <f ca="1">IF(S45=0,"",S45*(OFFSET(cod_desembolso!$A$1,Q45,23)))</f>
        <v>4208.8834623923722</v>
      </c>
      <c r="U45" s="149">
        <f>(constantes!$B$3*(1+constantes!$B$3)^(O45))/((1+constantes!$B$3)^(O45)-1)</f>
        <v>9.3678779051968114E-2</v>
      </c>
      <c r="V45" s="148">
        <f t="shared" ca="1" si="2"/>
        <v>394.28306392893757</v>
      </c>
      <c r="W45" s="148">
        <f ca="1">(IF(S45=0,"",V45/constantes!$B$3))*1</f>
        <v>4928.5382991117194</v>
      </c>
      <c r="X45" s="150">
        <f ca="1">IF(S45=0,"",PV(constantes!$B$3,O45,-V45)*constantes!$B$3)</f>
        <v>336.71067699138979</v>
      </c>
      <c r="Y45" s="85">
        <f t="shared" si="4"/>
        <v>2700</v>
      </c>
      <c r="Z45">
        <v>335</v>
      </c>
    </row>
    <row r="46" spans="1:26">
      <c r="A46" s="290">
        <v>7357</v>
      </c>
      <c r="B46" s="23" t="str">
        <f t="shared" si="0"/>
        <v>AC/RO/Mad-SE_1500__kV_336</v>
      </c>
      <c r="C46" s="23">
        <v>812</v>
      </c>
      <c r="D46" s="142" t="str">
        <f>VLOOKUP(C46,tab_corredor!$A$2:$B$50,2,0)</f>
        <v>AC/RO/Mad-SE</v>
      </c>
      <c r="E46" s="23">
        <v>1500</v>
      </c>
      <c r="F46" s="23" t="s">
        <v>2724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2672</v>
      </c>
      <c r="M46" s="23">
        <v>2015</v>
      </c>
      <c r="N46" s="23">
        <v>2100</v>
      </c>
      <c r="O46" s="292">
        <v>25</v>
      </c>
      <c r="P46" s="293">
        <v>2700</v>
      </c>
      <c r="Q46" s="294">
        <v>1</v>
      </c>
      <c r="R46" s="23"/>
      <c r="S46" s="148">
        <f t="shared" si="5"/>
        <v>4050</v>
      </c>
      <c r="T46" s="148">
        <f ca="1">IF(S46=0,"",S46*(OFFSET(cod_desembolso!$A$1,Q46,23)))</f>
        <v>4208.8834623923722</v>
      </c>
      <c r="U46" s="149">
        <f>(constantes!$B$3*(1+constantes!$B$3)^(O46))/((1+constantes!$B$3)^(O46)-1)</f>
        <v>9.3678779051968114E-2</v>
      </c>
      <c r="V46" s="148">
        <f t="shared" ca="1" si="2"/>
        <v>394.28306392893757</v>
      </c>
      <c r="W46" s="148">
        <f ca="1">(IF(S46=0,"",V46/constantes!$B$3))*1</f>
        <v>4928.5382991117194</v>
      </c>
      <c r="X46" s="150">
        <f ca="1">IF(S46=0,"",PV(constantes!$B$3,O46,-V46)*constantes!$B$3)</f>
        <v>336.71067699138979</v>
      </c>
      <c r="Y46" s="85">
        <f t="shared" si="4"/>
        <v>2700</v>
      </c>
      <c r="Z46">
        <v>336</v>
      </c>
    </row>
    <row r="47" spans="1:26">
      <c r="A47" s="290">
        <v>7358</v>
      </c>
      <c r="B47" s="23" t="str">
        <f t="shared" si="0"/>
        <v>AC/RO/Mad-SE_1500__kV_337</v>
      </c>
      <c r="C47" s="23">
        <v>812</v>
      </c>
      <c r="D47" s="142" t="str">
        <f>VLOOKUP(C47,tab_corredor!$A$2:$B$50,2,0)</f>
        <v>AC/RO/Mad-SE</v>
      </c>
      <c r="E47" s="23">
        <v>1500</v>
      </c>
      <c r="F47" s="23" t="s">
        <v>2724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2672</v>
      </c>
      <c r="M47" s="23">
        <v>2015</v>
      </c>
      <c r="N47" s="23">
        <v>2100</v>
      </c>
      <c r="O47" s="292">
        <v>25</v>
      </c>
      <c r="P47" s="293">
        <v>2700</v>
      </c>
      <c r="Q47" s="294">
        <v>1</v>
      </c>
      <c r="R47" s="23"/>
      <c r="S47" s="148">
        <f t="shared" si="5"/>
        <v>4050</v>
      </c>
      <c r="T47" s="148">
        <f ca="1">IF(S47=0,"",S47*(OFFSET(cod_desembolso!$A$1,Q47,23)))</f>
        <v>4208.8834623923722</v>
      </c>
      <c r="U47" s="149">
        <f>(constantes!$B$3*(1+constantes!$B$3)^(O47))/((1+constantes!$B$3)^(O47)-1)</f>
        <v>9.3678779051968114E-2</v>
      </c>
      <c r="V47" s="148">
        <f t="shared" ca="1" si="2"/>
        <v>394.28306392893757</v>
      </c>
      <c r="W47" s="148">
        <f ca="1">(IF(S47=0,"",V47/constantes!$B$3))*1</f>
        <v>4928.5382991117194</v>
      </c>
      <c r="X47" s="150">
        <f ca="1">IF(S47=0,"",PV(constantes!$B$3,O47,-V47)*constantes!$B$3)</f>
        <v>336.71067699138979</v>
      </c>
      <c r="Y47" s="85">
        <f t="shared" si="4"/>
        <v>2700</v>
      </c>
      <c r="Z47">
        <v>337</v>
      </c>
    </row>
    <row r="48" spans="1:26">
      <c r="A48" s="290">
        <v>7359</v>
      </c>
      <c r="B48" s="23" t="str">
        <f t="shared" si="0"/>
        <v>AC/RO/Mad-SE_1500__kV_338</v>
      </c>
      <c r="C48" s="23">
        <v>812</v>
      </c>
      <c r="D48" s="142" t="str">
        <f>VLOOKUP(C48,tab_corredor!$A$2:$B$50,2,0)</f>
        <v>AC/RO/Mad-SE</v>
      </c>
      <c r="E48" s="23">
        <v>1500</v>
      </c>
      <c r="F48" s="23" t="s">
        <v>2724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2672</v>
      </c>
      <c r="M48" s="23">
        <v>2015</v>
      </c>
      <c r="N48" s="23">
        <v>2100</v>
      </c>
      <c r="O48" s="292">
        <v>25</v>
      </c>
      <c r="P48" s="293">
        <v>2700</v>
      </c>
      <c r="Q48" s="294">
        <v>1</v>
      </c>
      <c r="R48" s="23"/>
      <c r="S48" s="148">
        <f t="shared" si="5"/>
        <v>4050</v>
      </c>
      <c r="T48" s="148">
        <f ca="1">IF(S48=0,"",S48*(OFFSET(cod_desembolso!$A$1,Q48,23)))</f>
        <v>4208.8834623923722</v>
      </c>
      <c r="U48" s="149">
        <f>(constantes!$B$3*(1+constantes!$B$3)^(O48))/((1+constantes!$B$3)^(O48)-1)</f>
        <v>9.3678779051968114E-2</v>
      </c>
      <c r="V48" s="148">
        <f t="shared" ca="1" si="2"/>
        <v>394.28306392893757</v>
      </c>
      <c r="W48" s="148">
        <f ca="1">(IF(S48=0,"",V48/constantes!$B$3))*1</f>
        <v>4928.5382991117194</v>
      </c>
      <c r="X48" s="150">
        <f ca="1">IF(S48=0,"",PV(constantes!$B$3,O48,-V48)*constantes!$B$3)</f>
        <v>336.71067699138979</v>
      </c>
      <c r="Y48" s="85">
        <f t="shared" si="4"/>
        <v>2700</v>
      </c>
      <c r="Z48">
        <v>338</v>
      </c>
    </row>
    <row r="49" spans="1:26">
      <c r="A49" s="290">
        <v>7360</v>
      </c>
      <c r="B49" s="23" t="str">
        <f t="shared" si="0"/>
        <v>AC/RO/Mad-SE_1500__kV_339</v>
      </c>
      <c r="C49" s="23">
        <v>812</v>
      </c>
      <c r="D49" s="142" t="str">
        <f>VLOOKUP(C49,tab_corredor!$A$2:$B$50,2,0)</f>
        <v>AC/RO/Mad-SE</v>
      </c>
      <c r="E49" s="23">
        <v>1500</v>
      </c>
      <c r="F49" s="23" t="s">
        <v>2724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2672</v>
      </c>
      <c r="M49" s="23">
        <v>2015</v>
      </c>
      <c r="N49" s="23">
        <v>2100</v>
      </c>
      <c r="O49" s="292">
        <v>25</v>
      </c>
      <c r="P49" s="293">
        <v>2700</v>
      </c>
      <c r="Q49" s="294">
        <v>1</v>
      </c>
      <c r="R49" s="23"/>
      <c r="S49" s="148">
        <f t="shared" si="5"/>
        <v>4050</v>
      </c>
      <c r="T49" s="148">
        <f ca="1">IF(S49=0,"",S49*(OFFSET(cod_desembolso!$A$1,Q49,23)))</f>
        <v>4208.8834623923722</v>
      </c>
      <c r="U49" s="149">
        <f>(constantes!$B$3*(1+constantes!$B$3)^(O49))/((1+constantes!$B$3)^(O49)-1)</f>
        <v>9.3678779051968114E-2</v>
      </c>
      <c r="V49" s="148">
        <f t="shared" ca="1" si="2"/>
        <v>394.28306392893757</v>
      </c>
      <c r="W49" s="148">
        <f ca="1">(IF(S49=0,"",V49/constantes!$B$3))*1</f>
        <v>4928.5382991117194</v>
      </c>
      <c r="X49" s="150">
        <f ca="1">IF(S49=0,"",PV(constantes!$B$3,O49,-V49)*constantes!$B$3)</f>
        <v>336.71067699138979</v>
      </c>
      <c r="Y49" s="85">
        <f t="shared" ref="Y49:Y80" si="6">(S49/E49*1000)</f>
        <v>2700</v>
      </c>
      <c r="Z49">
        <v>339</v>
      </c>
    </row>
    <row r="50" spans="1:26">
      <c r="A50" s="290">
        <v>7361</v>
      </c>
      <c r="B50" s="23" t="str">
        <f t="shared" si="0"/>
        <v>AC/RO/Mad-SE_1500__kV_340</v>
      </c>
      <c r="C50" s="23">
        <v>812</v>
      </c>
      <c r="D50" s="142" t="str">
        <f>VLOOKUP(C50,tab_corredor!$A$2:$B$50,2,0)</f>
        <v>AC/RO/Mad-SE</v>
      </c>
      <c r="E50" s="23">
        <v>1500</v>
      </c>
      <c r="F50" s="23" t="s">
        <v>2724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2672</v>
      </c>
      <c r="M50" s="23">
        <v>2015</v>
      </c>
      <c r="N50" s="23">
        <v>2100</v>
      </c>
      <c r="O50" s="292">
        <v>25</v>
      </c>
      <c r="P50" s="293">
        <v>2700</v>
      </c>
      <c r="Q50" s="294">
        <v>1</v>
      </c>
      <c r="R50" s="23"/>
      <c r="S50" s="148">
        <f t="shared" si="5"/>
        <v>4050</v>
      </c>
      <c r="T50" s="148">
        <f ca="1">IF(S50=0,"",S50*(OFFSET(cod_desembolso!$A$1,Q50,23)))</f>
        <v>4208.8834623923722</v>
      </c>
      <c r="U50" s="149">
        <f>(constantes!$B$3*(1+constantes!$B$3)^(O50))/((1+constantes!$B$3)^(O50)-1)</f>
        <v>9.3678779051968114E-2</v>
      </c>
      <c r="V50" s="148">
        <f t="shared" ca="1" si="2"/>
        <v>394.28306392893757</v>
      </c>
      <c r="W50" s="148">
        <f ca="1">(IF(S50=0,"",V50/constantes!$B$3))*1</f>
        <v>4928.5382991117194</v>
      </c>
      <c r="X50" s="150">
        <f ca="1">IF(S50=0,"",PV(constantes!$B$3,O50,-V50)*constantes!$B$3)</f>
        <v>336.71067699138979</v>
      </c>
      <c r="Y50" s="85">
        <f t="shared" si="6"/>
        <v>2700</v>
      </c>
      <c r="Z50">
        <v>340</v>
      </c>
    </row>
    <row r="51" spans="1:26">
      <c r="A51" s="290">
        <v>7362</v>
      </c>
      <c r="B51" s="23" t="str">
        <f t="shared" si="0"/>
        <v>AC/RO/Mad-SE_1500__kV_341</v>
      </c>
      <c r="C51" s="23">
        <v>812</v>
      </c>
      <c r="D51" s="142" t="str">
        <f>VLOOKUP(C51,tab_corredor!$A$2:$B$50,2,0)</f>
        <v>AC/RO/Mad-SE</v>
      </c>
      <c r="E51" s="23">
        <v>1500</v>
      </c>
      <c r="F51" s="23" t="s">
        <v>2724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2672</v>
      </c>
      <c r="M51" s="23">
        <v>2015</v>
      </c>
      <c r="N51" s="23">
        <v>2100</v>
      </c>
      <c r="O51" s="292">
        <v>25</v>
      </c>
      <c r="P51" s="293">
        <v>2700</v>
      </c>
      <c r="Q51" s="294">
        <v>1</v>
      </c>
      <c r="R51" s="23"/>
      <c r="S51" s="148">
        <f t="shared" si="5"/>
        <v>4050</v>
      </c>
      <c r="T51" s="148">
        <f ca="1">IF(S51=0,"",S51*(OFFSET(cod_desembolso!$A$1,Q51,23)))</f>
        <v>4208.8834623923722</v>
      </c>
      <c r="U51" s="149">
        <f>(constantes!$B$3*(1+constantes!$B$3)^(O51))/((1+constantes!$B$3)^(O51)-1)</f>
        <v>9.3678779051968114E-2</v>
      </c>
      <c r="V51" s="148">
        <f t="shared" ca="1" si="2"/>
        <v>394.28306392893757</v>
      </c>
      <c r="W51" s="148">
        <f ca="1">(IF(S51=0,"",V51/constantes!$B$3))*1</f>
        <v>4928.5382991117194</v>
      </c>
      <c r="X51" s="150">
        <f ca="1">IF(S51=0,"",PV(constantes!$B$3,O51,-V51)*constantes!$B$3)</f>
        <v>336.71067699138979</v>
      </c>
      <c r="Y51" s="85">
        <f t="shared" si="6"/>
        <v>2700</v>
      </c>
      <c r="Z51">
        <v>341</v>
      </c>
    </row>
    <row r="52" spans="1:26">
      <c r="A52" s="290">
        <v>7363</v>
      </c>
      <c r="B52" s="23" t="str">
        <f t="shared" si="0"/>
        <v>AC/RO/Mad-SE_1500__kV_342</v>
      </c>
      <c r="C52" s="23">
        <v>812</v>
      </c>
      <c r="D52" s="142" t="str">
        <f>VLOOKUP(C52,tab_corredor!$A$2:$B$50,2,0)</f>
        <v>AC/RO/Mad-SE</v>
      </c>
      <c r="E52" s="23">
        <v>1500</v>
      </c>
      <c r="F52" s="23" t="s">
        <v>2724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2672</v>
      </c>
      <c r="M52" s="23">
        <v>2015</v>
      </c>
      <c r="N52" s="23">
        <v>2100</v>
      </c>
      <c r="O52" s="292">
        <v>25</v>
      </c>
      <c r="P52" s="293">
        <v>2700</v>
      </c>
      <c r="Q52" s="294">
        <v>1</v>
      </c>
      <c r="R52" s="23"/>
      <c r="S52" s="148">
        <f t="shared" si="5"/>
        <v>4050</v>
      </c>
      <c r="T52" s="148">
        <f ca="1">IF(S52=0,"",S52*(OFFSET(cod_desembolso!$A$1,Q52,23)))</f>
        <v>4208.8834623923722</v>
      </c>
      <c r="U52" s="149">
        <f>(constantes!$B$3*(1+constantes!$B$3)^(O52))/((1+constantes!$B$3)^(O52)-1)</f>
        <v>9.3678779051968114E-2</v>
      </c>
      <c r="V52" s="148">
        <f t="shared" ca="1" si="2"/>
        <v>394.28306392893757</v>
      </c>
      <c r="W52" s="148">
        <f ca="1">(IF(S52=0,"",V52/constantes!$B$3))*1</f>
        <v>4928.5382991117194</v>
      </c>
      <c r="X52" s="150">
        <f ca="1">IF(S52=0,"",PV(constantes!$B$3,O52,-V52)*constantes!$B$3)</f>
        <v>336.71067699138979</v>
      </c>
      <c r="Y52" s="85">
        <f t="shared" si="6"/>
        <v>2700</v>
      </c>
      <c r="Z52">
        <v>342</v>
      </c>
    </row>
    <row r="53" spans="1:26">
      <c r="A53" s="290">
        <v>7364</v>
      </c>
      <c r="B53" s="23" t="str">
        <f t="shared" si="0"/>
        <v>AC/RO/Mad-SE_1500__kV_343</v>
      </c>
      <c r="C53" s="23">
        <v>812</v>
      </c>
      <c r="D53" s="142" t="str">
        <f>VLOOKUP(C53,tab_corredor!$A$2:$B$50,2,0)</f>
        <v>AC/RO/Mad-SE</v>
      </c>
      <c r="E53" s="23">
        <v>1500</v>
      </c>
      <c r="F53" s="23" t="s">
        <v>2724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2672</v>
      </c>
      <c r="M53" s="23">
        <v>2015</v>
      </c>
      <c r="N53" s="23">
        <v>2100</v>
      </c>
      <c r="O53" s="292">
        <v>25</v>
      </c>
      <c r="P53" s="293">
        <v>2700</v>
      </c>
      <c r="Q53" s="294">
        <v>1</v>
      </c>
      <c r="R53" s="23"/>
      <c r="S53" s="148">
        <f t="shared" si="5"/>
        <v>4050</v>
      </c>
      <c r="T53" s="148">
        <f ca="1">IF(S53=0,"",S53*(OFFSET(cod_desembolso!$A$1,Q53,23)))</f>
        <v>4208.8834623923722</v>
      </c>
      <c r="U53" s="149">
        <f>(constantes!$B$3*(1+constantes!$B$3)^(O53))/((1+constantes!$B$3)^(O53)-1)</f>
        <v>9.3678779051968114E-2</v>
      </c>
      <c r="V53" s="148">
        <f t="shared" ca="1" si="2"/>
        <v>394.28306392893757</v>
      </c>
      <c r="W53" s="148">
        <f ca="1">(IF(S53=0,"",V53/constantes!$B$3))*1</f>
        <v>4928.5382991117194</v>
      </c>
      <c r="X53" s="150">
        <f ca="1">IF(S53=0,"",PV(constantes!$B$3,O53,-V53)*constantes!$B$3)</f>
        <v>336.71067699138979</v>
      </c>
      <c r="Y53" s="85">
        <f t="shared" si="6"/>
        <v>2700</v>
      </c>
      <c r="Z53">
        <v>343</v>
      </c>
    </row>
    <row r="54" spans="1:26">
      <c r="A54" s="290">
        <v>7365</v>
      </c>
      <c r="B54" s="23" t="str">
        <f t="shared" si="0"/>
        <v>AC/RO/Mad-SE_1500__kV_344</v>
      </c>
      <c r="C54" s="23">
        <v>812</v>
      </c>
      <c r="D54" s="142" t="str">
        <f>VLOOKUP(C54,tab_corredor!$A$2:$B$50,2,0)</f>
        <v>AC/RO/Mad-SE</v>
      </c>
      <c r="E54" s="23">
        <v>1500</v>
      </c>
      <c r="F54" s="23" t="s">
        <v>2724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2672</v>
      </c>
      <c r="M54" s="23">
        <v>2015</v>
      </c>
      <c r="N54" s="23">
        <v>2100</v>
      </c>
      <c r="O54" s="292">
        <v>25</v>
      </c>
      <c r="P54" s="293">
        <v>2700</v>
      </c>
      <c r="Q54" s="294">
        <v>1</v>
      </c>
      <c r="R54" s="23"/>
      <c r="S54" s="148">
        <f t="shared" si="5"/>
        <v>4050</v>
      </c>
      <c r="T54" s="148">
        <f ca="1">IF(S54=0,"",S54*(OFFSET(cod_desembolso!$A$1,Q54,23)))</f>
        <v>4208.8834623923722</v>
      </c>
      <c r="U54" s="149">
        <f>(constantes!$B$3*(1+constantes!$B$3)^(O54))/((1+constantes!$B$3)^(O54)-1)</f>
        <v>9.3678779051968114E-2</v>
      </c>
      <c r="V54" s="148">
        <f t="shared" ca="1" si="2"/>
        <v>394.28306392893757</v>
      </c>
      <c r="W54" s="148">
        <f ca="1">(IF(S54=0,"",V54/constantes!$B$3))*1</f>
        <v>4928.5382991117194</v>
      </c>
      <c r="X54" s="150">
        <f ca="1">IF(S54=0,"",PV(constantes!$B$3,O54,-V54)*constantes!$B$3)</f>
        <v>336.71067699138979</v>
      </c>
      <c r="Y54" s="85">
        <f t="shared" si="6"/>
        <v>2700</v>
      </c>
      <c r="Z54">
        <v>344</v>
      </c>
    </row>
    <row r="55" spans="1:26">
      <c r="A55" s="290">
        <v>7366</v>
      </c>
      <c r="B55" s="23" t="str">
        <f t="shared" si="0"/>
        <v>AC/RO/Mad-SE_1500__kV_345</v>
      </c>
      <c r="C55" s="23">
        <v>812</v>
      </c>
      <c r="D55" s="142" t="str">
        <f>VLOOKUP(C55,tab_corredor!$A$2:$B$50,2,0)</f>
        <v>AC/RO/Mad-SE</v>
      </c>
      <c r="E55" s="23">
        <v>1500</v>
      </c>
      <c r="F55" s="23" t="s">
        <v>2724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2672</v>
      </c>
      <c r="M55" s="23">
        <v>2015</v>
      </c>
      <c r="N55" s="23">
        <v>2100</v>
      </c>
      <c r="O55" s="292">
        <v>25</v>
      </c>
      <c r="P55" s="293">
        <v>2700</v>
      </c>
      <c r="Q55" s="294">
        <v>1</v>
      </c>
      <c r="R55" s="23"/>
      <c r="S55" s="148">
        <f t="shared" si="5"/>
        <v>4050</v>
      </c>
      <c r="T55" s="148">
        <f ca="1">IF(S55=0,"",S55*(OFFSET(cod_desembolso!$A$1,Q55,23)))</f>
        <v>4208.8834623923722</v>
      </c>
      <c r="U55" s="149">
        <f>(constantes!$B$3*(1+constantes!$B$3)^(O55))/((1+constantes!$B$3)^(O55)-1)</f>
        <v>9.3678779051968114E-2</v>
      </c>
      <c r="V55" s="148">
        <f t="shared" ca="1" si="2"/>
        <v>394.28306392893757</v>
      </c>
      <c r="W55" s="148">
        <f ca="1">(IF(S55=0,"",V55/constantes!$B$3))*1</f>
        <v>4928.5382991117194</v>
      </c>
      <c r="X55" s="150">
        <f ca="1">IF(S55=0,"",PV(constantes!$B$3,O55,-V55)*constantes!$B$3)</f>
        <v>336.71067699138979</v>
      </c>
      <c r="Y55" s="85">
        <f t="shared" si="6"/>
        <v>2700</v>
      </c>
      <c r="Z55">
        <v>345</v>
      </c>
    </row>
    <row r="56" spans="1:26">
      <c r="A56" s="290">
        <v>7367</v>
      </c>
      <c r="B56" s="23" t="str">
        <f t="shared" si="0"/>
        <v>AC/RO/Mad-SE_1500__kV_346</v>
      </c>
      <c r="C56" s="23">
        <v>812</v>
      </c>
      <c r="D56" s="142" t="str">
        <f>VLOOKUP(C56,tab_corredor!$A$2:$B$50,2,0)</f>
        <v>AC/RO/Mad-SE</v>
      </c>
      <c r="E56" s="23">
        <v>1500</v>
      </c>
      <c r="F56" s="23" t="s">
        <v>2724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2672</v>
      </c>
      <c r="M56" s="23">
        <v>2015</v>
      </c>
      <c r="N56" s="23">
        <v>2100</v>
      </c>
      <c r="O56" s="292">
        <v>25</v>
      </c>
      <c r="P56" s="293">
        <v>2700</v>
      </c>
      <c r="Q56" s="294">
        <v>1</v>
      </c>
      <c r="R56" s="23"/>
      <c r="S56" s="148">
        <f t="shared" si="5"/>
        <v>4050</v>
      </c>
      <c r="T56" s="148">
        <f ca="1">IF(S56=0,"",S56*(OFFSET(cod_desembolso!$A$1,Q56,23)))</f>
        <v>4208.8834623923722</v>
      </c>
      <c r="U56" s="149">
        <f>(constantes!$B$3*(1+constantes!$B$3)^(O56))/((1+constantes!$B$3)^(O56)-1)</f>
        <v>9.3678779051968114E-2</v>
      </c>
      <c r="V56" s="148">
        <f t="shared" ca="1" si="2"/>
        <v>394.28306392893757</v>
      </c>
      <c r="W56" s="148">
        <f ca="1">(IF(S56=0,"",V56/constantes!$B$3))*1</f>
        <v>4928.5382991117194</v>
      </c>
      <c r="X56" s="150">
        <f ca="1">IF(S56=0,"",PV(constantes!$B$3,O56,-V56)*constantes!$B$3)</f>
        <v>336.71067699138979</v>
      </c>
      <c r="Y56" s="85">
        <f t="shared" si="6"/>
        <v>2700</v>
      </c>
      <c r="Z56">
        <v>346</v>
      </c>
    </row>
    <row r="57" spans="1:26">
      <c r="A57" s="290">
        <v>7368</v>
      </c>
      <c r="B57" s="23" t="str">
        <f t="shared" si="0"/>
        <v>AC/RO/Mad-SE_1500__kV_347</v>
      </c>
      <c r="C57" s="23">
        <v>812</v>
      </c>
      <c r="D57" s="142" t="str">
        <f>VLOOKUP(C57,tab_corredor!$A$2:$B$50,2,0)</f>
        <v>AC/RO/Mad-SE</v>
      </c>
      <c r="E57" s="23">
        <v>1500</v>
      </c>
      <c r="F57" s="23" t="s">
        <v>2724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2672</v>
      </c>
      <c r="M57" s="23">
        <v>2015</v>
      </c>
      <c r="N57" s="23">
        <v>2100</v>
      </c>
      <c r="O57" s="292">
        <v>25</v>
      </c>
      <c r="P57" s="293">
        <v>2700</v>
      </c>
      <c r="Q57" s="294">
        <v>1</v>
      </c>
      <c r="R57" s="23"/>
      <c r="S57" s="148">
        <f t="shared" si="5"/>
        <v>4050</v>
      </c>
      <c r="T57" s="148">
        <f ca="1">IF(S57=0,"",S57*(OFFSET(cod_desembolso!$A$1,Q57,23)))</f>
        <v>4208.8834623923722</v>
      </c>
      <c r="U57" s="149">
        <f>(constantes!$B$3*(1+constantes!$B$3)^(O57))/((1+constantes!$B$3)^(O57)-1)</f>
        <v>9.3678779051968114E-2</v>
      </c>
      <c r="V57" s="148">
        <f t="shared" ca="1" si="2"/>
        <v>394.28306392893757</v>
      </c>
      <c r="W57" s="148">
        <f ca="1">(IF(S57=0,"",V57/constantes!$B$3))*1</f>
        <v>4928.5382991117194</v>
      </c>
      <c r="X57" s="150">
        <f ca="1">IF(S57=0,"",PV(constantes!$B$3,O57,-V57)*constantes!$B$3)</f>
        <v>336.71067699138979</v>
      </c>
      <c r="Y57" s="85">
        <f t="shared" si="6"/>
        <v>2700</v>
      </c>
      <c r="Z57">
        <v>347</v>
      </c>
    </row>
    <row r="58" spans="1:26">
      <c r="A58" s="290">
        <v>7369</v>
      </c>
      <c r="B58" s="23" t="str">
        <f t="shared" si="0"/>
        <v>AC/RO/Mad-SE_1500__kV_348</v>
      </c>
      <c r="C58" s="23">
        <v>812</v>
      </c>
      <c r="D58" s="142" t="str">
        <f>VLOOKUP(C58,tab_corredor!$A$2:$B$50,2,0)</f>
        <v>AC/RO/Mad-SE</v>
      </c>
      <c r="E58" s="23">
        <v>1500</v>
      </c>
      <c r="F58" s="23" t="s">
        <v>2724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2672</v>
      </c>
      <c r="M58" s="23">
        <v>2015</v>
      </c>
      <c r="N58" s="23">
        <v>2100</v>
      </c>
      <c r="O58" s="292">
        <v>25</v>
      </c>
      <c r="P58" s="293">
        <v>2700</v>
      </c>
      <c r="Q58" s="294">
        <v>1</v>
      </c>
      <c r="R58" s="23"/>
      <c r="S58" s="148">
        <f t="shared" si="5"/>
        <v>4050</v>
      </c>
      <c r="T58" s="148">
        <f ca="1">IF(S58=0,"",S58*(OFFSET(cod_desembolso!$A$1,Q58,23)))</f>
        <v>4208.8834623923722</v>
      </c>
      <c r="U58" s="149">
        <f>(constantes!$B$3*(1+constantes!$B$3)^(O58))/((1+constantes!$B$3)^(O58)-1)</f>
        <v>9.3678779051968114E-2</v>
      </c>
      <c r="V58" s="148">
        <f t="shared" ca="1" si="2"/>
        <v>394.28306392893757</v>
      </c>
      <c r="W58" s="148">
        <f ca="1">(IF(S58=0,"",V58/constantes!$B$3))*1</f>
        <v>4928.5382991117194</v>
      </c>
      <c r="X58" s="150">
        <f ca="1">IF(S58=0,"",PV(constantes!$B$3,O58,-V58)*constantes!$B$3)</f>
        <v>336.71067699138979</v>
      </c>
      <c r="Y58" s="85">
        <f t="shared" si="6"/>
        <v>2700</v>
      </c>
      <c r="Z58">
        <v>348</v>
      </c>
    </row>
    <row r="59" spans="1:26">
      <c r="A59" s="290">
        <v>7370</v>
      </c>
      <c r="B59" s="23" t="str">
        <f t="shared" si="0"/>
        <v>AC/RO/Mad-SE_1500__kV_349</v>
      </c>
      <c r="C59" s="23">
        <v>812</v>
      </c>
      <c r="D59" s="142" t="str">
        <f>VLOOKUP(C59,tab_corredor!$A$2:$B$50,2,0)</f>
        <v>AC/RO/Mad-SE</v>
      </c>
      <c r="E59" s="23">
        <v>1500</v>
      </c>
      <c r="F59" s="23" t="s">
        <v>2724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2672</v>
      </c>
      <c r="M59" s="23">
        <v>2015</v>
      </c>
      <c r="N59" s="23">
        <v>2100</v>
      </c>
      <c r="O59" s="292">
        <v>25</v>
      </c>
      <c r="P59" s="293">
        <v>2700</v>
      </c>
      <c r="Q59" s="294">
        <v>1</v>
      </c>
      <c r="R59" s="23"/>
      <c r="S59" s="148">
        <f t="shared" ref="S59:S80" si="7">(P59+R59)*1.5</f>
        <v>4050</v>
      </c>
      <c r="T59" s="148">
        <f ca="1">IF(S59=0,"",S59*(OFFSET(cod_desembolso!$A$1,Q59,23)))</f>
        <v>4208.8834623923722</v>
      </c>
      <c r="U59" s="149">
        <f>(constantes!$B$3*(1+constantes!$B$3)^(O59))/((1+constantes!$B$3)^(O59)-1)</f>
        <v>9.3678779051968114E-2</v>
      </c>
      <c r="V59" s="148">
        <f t="shared" ca="1" si="2"/>
        <v>394.28306392893757</v>
      </c>
      <c r="W59" s="148">
        <f ca="1">(IF(S59=0,"",V59/constantes!$B$3))*1</f>
        <v>4928.5382991117194</v>
      </c>
      <c r="X59" s="150">
        <f ca="1">IF(S59=0,"",PV(constantes!$B$3,O59,-V59)*constantes!$B$3)</f>
        <v>336.71067699138979</v>
      </c>
      <c r="Y59" s="85">
        <f t="shared" si="6"/>
        <v>2700</v>
      </c>
      <c r="Z59">
        <v>349</v>
      </c>
    </row>
    <row r="60" spans="1:26">
      <c r="A60" s="290">
        <v>7371</v>
      </c>
      <c r="B60" s="23" t="str">
        <f t="shared" si="0"/>
        <v>AC/RO/Mad-SE_1500__kV_350</v>
      </c>
      <c r="C60" s="23">
        <v>812</v>
      </c>
      <c r="D60" s="142" t="str">
        <f>VLOOKUP(C60,tab_corredor!$A$2:$B$50,2,0)</f>
        <v>AC/RO/Mad-SE</v>
      </c>
      <c r="E60" s="23">
        <v>1500</v>
      </c>
      <c r="F60" s="23" t="s">
        <v>2724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2672</v>
      </c>
      <c r="M60" s="23">
        <v>2015</v>
      </c>
      <c r="N60" s="23">
        <v>2100</v>
      </c>
      <c r="O60" s="292">
        <v>25</v>
      </c>
      <c r="P60" s="293">
        <v>2700</v>
      </c>
      <c r="Q60" s="294">
        <v>1</v>
      </c>
      <c r="R60" s="23"/>
      <c r="S60" s="148">
        <f t="shared" si="7"/>
        <v>4050</v>
      </c>
      <c r="T60" s="148">
        <f ca="1">IF(S60=0,"",S60*(OFFSET(cod_desembolso!$A$1,Q60,23)))</f>
        <v>4208.8834623923722</v>
      </c>
      <c r="U60" s="149">
        <f>(constantes!$B$3*(1+constantes!$B$3)^(O60))/((1+constantes!$B$3)^(O60)-1)</f>
        <v>9.3678779051968114E-2</v>
      </c>
      <c r="V60" s="148">
        <f t="shared" ca="1" si="2"/>
        <v>394.28306392893757</v>
      </c>
      <c r="W60" s="148">
        <f ca="1">(IF(S60=0,"",V60/constantes!$B$3))*1</f>
        <v>4928.5382991117194</v>
      </c>
      <c r="X60" s="150">
        <f ca="1">IF(S60=0,"",PV(constantes!$B$3,O60,-V60)*constantes!$B$3)</f>
        <v>336.71067699138979</v>
      </c>
      <c r="Y60" s="85">
        <f t="shared" si="6"/>
        <v>2700</v>
      </c>
      <c r="Z60">
        <v>350</v>
      </c>
    </row>
    <row r="61" spans="1:26">
      <c r="A61" s="290">
        <v>7372</v>
      </c>
      <c r="B61" s="23" t="str">
        <f t="shared" si="0"/>
        <v>AC/RO/Mad-SE_1500__kV_351</v>
      </c>
      <c r="C61" s="23">
        <v>812</v>
      </c>
      <c r="D61" s="142" t="str">
        <f>VLOOKUP(C61,tab_corredor!$A$2:$B$50,2,0)</f>
        <v>AC/RO/Mad-SE</v>
      </c>
      <c r="E61" s="23">
        <v>1500</v>
      </c>
      <c r="F61" s="23" t="s">
        <v>2724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2672</v>
      </c>
      <c r="M61" s="23">
        <v>2015</v>
      </c>
      <c r="N61" s="23">
        <v>2100</v>
      </c>
      <c r="O61" s="292">
        <v>25</v>
      </c>
      <c r="P61" s="293">
        <v>2700</v>
      </c>
      <c r="Q61" s="294">
        <v>1</v>
      </c>
      <c r="R61" s="23"/>
      <c r="S61" s="148">
        <f t="shared" si="7"/>
        <v>4050</v>
      </c>
      <c r="T61" s="148">
        <f ca="1">IF(S61=0,"",S61*(OFFSET(cod_desembolso!$A$1,Q61,23)))</f>
        <v>4208.8834623923722</v>
      </c>
      <c r="U61" s="149">
        <f>(constantes!$B$3*(1+constantes!$B$3)^(O61))/((1+constantes!$B$3)^(O61)-1)</f>
        <v>9.3678779051968114E-2</v>
      </c>
      <c r="V61" s="148">
        <f t="shared" ca="1" si="2"/>
        <v>394.28306392893757</v>
      </c>
      <c r="W61" s="148">
        <f ca="1">(IF(S61=0,"",V61/constantes!$B$3))*1</f>
        <v>4928.5382991117194</v>
      </c>
      <c r="X61" s="150">
        <f ca="1">IF(S61=0,"",PV(constantes!$B$3,O61,-V61)*constantes!$B$3)</f>
        <v>336.71067699138979</v>
      </c>
      <c r="Y61" s="85">
        <f t="shared" si="6"/>
        <v>2700</v>
      </c>
      <c r="Z61">
        <v>351</v>
      </c>
    </row>
    <row r="62" spans="1:26">
      <c r="A62" s="290">
        <v>7373</v>
      </c>
      <c r="B62" s="23" t="str">
        <f t="shared" si="0"/>
        <v>AC/RO/Mad-SE_1500__kV_352</v>
      </c>
      <c r="C62" s="23">
        <v>812</v>
      </c>
      <c r="D62" s="142" t="str">
        <f>VLOOKUP(C62,tab_corredor!$A$2:$B$50,2,0)</f>
        <v>AC/RO/Mad-SE</v>
      </c>
      <c r="E62" s="23">
        <v>1500</v>
      </c>
      <c r="F62" s="23" t="s">
        <v>2724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2672</v>
      </c>
      <c r="M62" s="23">
        <v>2015</v>
      </c>
      <c r="N62" s="23">
        <v>2100</v>
      </c>
      <c r="O62" s="292">
        <v>25</v>
      </c>
      <c r="P62" s="293">
        <v>2700</v>
      </c>
      <c r="Q62" s="294">
        <v>1</v>
      </c>
      <c r="R62" s="23"/>
      <c r="S62" s="148">
        <f t="shared" si="7"/>
        <v>4050</v>
      </c>
      <c r="T62" s="148">
        <f ca="1">IF(S62=0,"",S62*(OFFSET(cod_desembolso!$A$1,Q62,23)))</f>
        <v>4208.8834623923722</v>
      </c>
      <c r="U62" s="149">
        <f>(constantes!$B$3*(1+constantes!$B$3)^(O62))/((1+constantes!$B$3)^(O62)-1)</f>
        <v>9.3678779051968114E-2</v>
      </c>
      <c r="V62" s="148">
        <f t="shared" ca="1" si="2"/>
        <v>394.28306392893757</v>
      </c>
      <c r="W62" s="148">
        <f ca="1">(IF(S62=0,"",V62/constantes!$B$3))*1</f>
        <v>4928.5382991117194</v>
      </c>
      <c r="X62" s="150">
        <f ca="1">IF(S62=0,"",PV(constantes!$B$3,O62,-V62)*constantes!$B$3)</f>
        <v>336.71067699138979</v>
      </c>
      <c r="Y62" s="85">
        <f t="shared" si="6"/>
        <v>2700</v>
      </c>
      <c r="Z62">
        <v>352</v>
      </c>
    </row>
    <row r="63" spans="1:26">
      <c r="A63" s="290">
        <v>7374</v>
      </c>
      <c r="B63" s="23" t="str">
        <f t="shared" si="0"/>
        <v>AC/RO/Mad-SE_1500__kV_353</v>
      </c>
      <c r="C63" s="23">
        <v>812</v>
      </c>
      <c r="D63" s="142" t="str">
        <f>VLOOKUP(C63,tab_corredor!$A$2:$B$50,2,0)</f>
        <v>AC/RO/Mad-SE</v>
      </c>
      <c r="E63" s="23">
        <v>1500</v>
      </c>
      <c r="F63" s="23" t="s">
        <v>2724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2672</v>
      </c>
      <c r="M63" s="23">
        <v>2015</v>
      </c>
      <c r="N63" s="23">
        <v>2100</v>
      </c>
      <c r="O63" s="292">
        <v>25</v>
      </c>
      <c r="P63" s="293">
        <v>2700</v>
      </c>
      <c r="Q63" s="294">
        <v>1</v>
      </c>
      <c r="R63" s="23"/>
      <c r="S63" s="148">
        <f t="shared" si="7"/>
        <v>4050</v>
      </c>
      <c r="T63" s="148">
        <f ca="1">IF(S63=0,"",S63*(OFFSET(cod_desembolso!$A$1,Q63,23)))</f>
        <v>4208.8834623923722</v>
      </c>
      <c r="U63" s="149">
        <f>(constantes!$B$3*(1+constantes!$B$3)^(O63))/((1+constantes!$B$3)^(O63)-1)</f>
        <v>9.3678779051968114E-2</v>
      </c>
      <c r="V63" s="148">
        <f t="shared" ca="1" si="2"/>
        <v>394.28306392893757</v>
      </c>
      <c r="W63" s="148">
        <f ca="1">(IF(S63=0,"",V63/constantes!$B$3))*1</f>
        <v>4928.5382991117194</v>
      </c>
      <c r="X63" s="150">
        <f ca="1">IF(S63=0,"",PV(constantes!$B$3,O63,-V63)*constantes!$B$3)</f>
        <v>336.71067699138979</v>
      </c>
      <c r="Y63" s="85">
        <f t="shared" si="6"/>
        <v>2700</v>
      </c>
      <c r="Z63">
        <v>353</v>
      </c>
    </row>
    <row r="64" spans="1:26">
      <c r="A64" s="290">
        <v>7375</v>
      </c>
      <c r="B64" s="23" t="str">
        <f t="shared" si="0"/>
        <v>AC/RO/Mad-SE_1500__kV_354</v>
      </c>
      <c r="C64" s="23">
        <v>812</v>
      </c>
      <c r="D64" s="142" t="str">
        <f>VLOOKUP(C64,tab_corredor!$A$2:$B$50,2,0)</f>
        <v>AC/RO/Mad-SE</v>
      </c>
      <c r="E64" s="23">
        <v>1500</v>
      </c>
      <c r="F64" s="23" t="s">
        <v>2724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2672</v>
      </c>
      <c r="M64" s="23">
        <v>2015</v>
      </c>
      <c r="N64" s="23">
        <v>2100</v>
      </c>
      <c r="O64" s="292">
        <v>25</v>
      </c>
      <c r="P64" s="293">
        <v>2700</v>
      </c>
      <c r="Q64" s="294">
        <v>1</v>
      </c>
      <c r="R64" s="23"/>
      <c r="S64" s="148">
        <f t="shared" si="7"/>
        <v>4050</v>
      </c>
      <c r="T64" s="148">
        <f ca="1">IF(S64=0,"",S64*(OFFSET(cod_desembolso!$A$1,Q64,23)))</f>
        <v>4208.8834623923722</v>
      </c>
      <c r="U64" s="149">
        <f>(constantes!$B$3*(1+constantes!$B$3)^(O64))/((1+constantes!$B$3)^(O64)-1)</f>
        <v>9.3678779051968114E-2</v>
      </c>
      <c r="V64" s="148">
        <f t="shared" ca="1" si="2"/>
        <v>394.28306392893757</v>
      </c>
      <c r="W64" s="148">
        <f ca="1">(IF(S64=0,"",V64/constantes!$B$3))*1</f>
        <v>4928.5382991117194</v>
      </c>
      <c r="X64" s="150">
        <f ca="1">IF(S64=0,"",PV(constantes!$B$3,O64,-V64)*constantes!$B$3)</f>
        <v>336.71067699138979</v>
      </c>
      <c r="Y64" s="85">
        <f t="shared" si="6"/>
        <v>2700</v>
      </c>
      <c r="Z64">
        <v>354</v>
      </c>
    </row>
    <row r="65" spans="1:26">
      <c r="A65" s="290">
        <v>7376</v>
      </c>
      <c r="B65" s="23" t="str">
        <f t="shared" si="0"/>
        <v>AC/RO/Mad-SE_1500__kV_355</v>
      </c>
      <c r="C65" s="23">
        <v>812</v>
      </c>
      <c r="D65" s="142" t="str">
        <f>VLOOKUP(C65,tab_corredor!$A$2:$B$50,2,0)</f>
        <v>AC/RO/Mad-SE</v>
      </c>
      <c r="E65" s="23">
        <v>1500</v>
      </c>
      <c r="F65" s="23" t="s">
        <v>2724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2672</v>
      </c>
      <c r="M65" s="23">
        <v>2015</v>
      </c>
      <c r="N65" s="23">
        <v>2100</v>
      </c>
      <c r="O65" s="292">
        <v>25</v>
      </c>
      <c r="P65" s="293">
        <v>2700</v>
      </c>
      <c r="Q65" s="294">
        <v>1</v>
      </c>
      <c r="R65" s="23"/>
      <c r="S65" s="148">
        <f t="shared" si="7"/>
        <v>4050</v>
      </c>
      <c r="T65" s="148">
        <f ca="1">IF(S65=0,"",S65*(OFFSET(cod_desembolso!$A$1,Q65,23)))</f>
        <v>4208.8834623923722</v>
      </c>
      <c r="U65" s="149">
        <f>(constantes!$B$3*(1+constantes!$B$3)^(O65))/((1+constantes!$B$3)^(O65)-1)</f>
        <v>9.3678779051968114E-2</v>
      </c>
      <c r="V65" s="148">
        <f t="shared" ca="1" si="2"/>
        <v>394.28306392893757</v>
      </c>
      <c r="W65" s="148">
        <f ca="1">(IF(S65=0,"",V65/constantes!$B$3))*1</f>
        <v>4928.5382991117194</v>
      </c>
      <c r="X65" s="150">
        <f ca="1">IF(S65=0,"",PV(constantes!$B$3,O65,-V65)*constantes!$B$3)</f>
        <v>336.71067699138979</v>
      </c>
      <c r="Y65" s="85">
        <f t="shared" si="6"/>
        <v>2700</v>
      </c>
      <c r="Z65">
        <v>355</v>
      </c>
    </row>
    <row r="66" spans="1:26">
      <c r="A66" s="290">
        <v>7377</v>
      </c>
      <c r="B66" s="23" t="str">
        <f t="shared" ref="B66:B129" si="8">D66&amp;"_"&amp;E66&amp;"_"&amp;F66&amp;IF(F66="DC","","kV")&amp;"_"&amp;Z66</f>
        <v>AC/RO/Mad-SE_1500__kV_356</v>
      </c>
      <c r="C66" s="23">
        <v>812</v>
      </c>
      <c r="D66" s="142" t="str">
        <f>VLOOKUP(C66,tab_corredor!$A$2:$B$50,2,0)</f>
        <v>AC/RO/Mad-SE</v>
      </c>
      <c r="E66" s="23">
        <v>1500</v>
      </c>
      <c r="F66" s="23" t="s">
        <v>2724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2672</v>
      </c>
      <c r="M66" s="23">
        <v>2015</v>
      </c>
      <c r="N66" s="23">
        <v>2100</v>
      </c>
      <c r="O66" s="292">
        <v>25</v>
      </c>
      <c r="P66" s="293">
        <v>2700</v>
      </c>
      <c r="Q66" s="294">
        <v>1</v>
      </c>
      <c r="R66" s="23"/>
      <c r="S66" s="148">
        <f t="shared" si="7"/>
        <v>4050</v>
      </c>
      <c r="T66" s="148">
        <f ca="1">IF(S66=0,"",S66*(OFFSET(cod_desembolso!$A$1,Q66,23)))</f>
        <v>4208.8834623923722</v>
      </c>
      <c r="U66" s="149">
        <f>(constantes!$B$3*(1+constantes!$B$3)^(O66))/((1+constantes!$B$3)^(O66)-1)</f>
        <v>9.3678779051968114E-2</v>
      </c>
      <c r="V66" s="148">
        <f t="shared" ref="V66:V129" ca="1" si="9">IF(S66=0,"",T66*U66)</f>
        <v>394.28306392893757</v>
      </c>
      <c r="W66" s="148">
        <f ca="1">(IF(S66=0,"",V66/constantes!$B$3))*1</f>
        <v>4928.5382991117194</v>
      </c>
      <c r="X66" s="150">
        <f ca="1">IF(S66=0,"",PV(constantes!$B$3,O66,-V66)*constantes!$B$3)</f>
        <v>336.71067699138979</v>
      </c>
      <c r="Y66" s="85">
        <f t="shared" si="6"/>
        <v>2700</v>
      </c>
      <c r="Z66">
        <v>356</v>
      </c>
    </row>
    <row r="67" spans="1:26">
      <c r="A67" s="290">
        <v>7378</v>
      </c>
      <c r="B67" s="23" t="str">
        <f t="shared" si="8"/>
        <v>AC/RO/Mad-SE_1500__kV_357</v>
      </c>
      <c r="C67" s="23">
        <v>812</v>
      </c>
      <c r="D67" s="142" t="str">
        <f>VLOOKUP(C67,tab_corredor!$A$2:$B$50,2,0)</f>
        <v>AC/RO/Mad-SE</v>
      </c>
      <c r="E67" s="23">
        <v>1500</v>
      </c>
      <c r="F67" s="23" t="s">
        <v>2724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2672</v>
      </c>
      <c r="M67" s="23">
        <v>2015</v>
      </c>
      <c r="N67" s="23">
        <v>2100</v>
      </c>
      <c r="O67" s="292">
        <v>25</v>
      </c>
      <c r="P67" s="293">
        <v>2700</v>
      </c>
      <c r="Q67" s="294">
        <v>1</v>
      </c>
      <c r="R67" s="23"/>
      <c r="S67" s="148">
        <f t="shared" si="7"/>
        <v>4050</v>
      </c>
      <c r="T67" s="148">
        <f ca="1">IF(S67=0,"",S67*(OFFSET(cod_desembolso!$A$1,Q67,23)))</f>
        <v>4208.8834623923722</v>
      </c>
      <c r="U67" s="149">
        <f>(constantes!$B$3*(1+constantes!$B$3)^(O67))/((1+constantes!$B$3)^(O67)-1)</f>
        <v>9.3678779051968114E-2</v>
      </c>
      <c r="V67" s="148">
        <f t="shared" ca="1" si="9"/>
        <v>394.28306392893757</v>
      </c>
      <c r="W67" s="148">
        <f ca="1">(IF(S67=0,"",V67/constantes!$B$3))*1</f>
        <v>4928.5382991117194</v>
      </c>
      <c r="X67" s="150">
        <f ca="1">IF(S67=0,"",PV(constantes!$B$3,O67,-V67)*constantes!$B$3)</f>
        <v>336.71067699138979</v>
      </c>
      <c r="Y67" s="85">
        <f t="shared" si="6"/>
        <v>2700</v>
      </c>
      <c r="Z67">
        <v>357</v>
      </c>
    </row>
    <row r="68" spans="1:26">
      <c r="A68" s="290">
        <v>7379</v>
      </c>
      <c r="B68" s="23" t="str">
        <f t="shared" si="8"/>
        <v>AC/RO/Mad-SE_1500__kV_358</v>
      </c>
      <c r="C68" s="23">
        <v>812</v>
      </c>
      <c r="D68" s="142" t="str">
        <f>VLOOKUP(C68,tab_corredor!$A$2:$B$50,2,0)</f>
        <v>AC/RO/Mad-SE</v>
      </c>
      <c r="E68" s="23">
        <v>1500</v>
      </c>
      <c r="F68" s="23" t="s">
        <v>2724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2672</v>
      </c>
      <c r="M68" s="23">
        <v>2015</v>
      </c>
      <c r="N68" s="23">
        <v>2100</v>
      </c>
      <c r="O68" s="292">
        <v>25</v>
      </c>
      <c r="P68" s="293">
        <v>2700</v>
      </c>
      <c r="Q68" s="294">
        <v>1</v>
      </c>
      <c r="R68" s="23"/>
      <c r="S68" s="148">
        <f t="shared" si="7"/>
        <v>4050</v>
      </c>
      <c r="T68" s="148">
        <f ca="1">IF(S68=0,"",S68*(OFFSET(cod_desembolso!$A$1,Q68,23)))</f>
        <v>4208.8834623923722</v>
      </c>
      <c r="U68" s="149">
        <f>(constantes!$B$3*(1+constantes!$B$3)^(O68))/((1+constantes!$B$3)^(O68)-1)</f>
        <v>9.3678779051968114E-2</v>
      </c>
      <c r="V68" s="148">
        <f t="shared" ca="1" si="9"/>
        <v>394.28306392893757</v>
      </c>
      <c r="W68" s="148">
        <f ca="1">(IF(S68=0,"",V68/constantes!$B$3))*1</f>
        <v>4928.5382991117194</v>
      </c>
      <c r="X68" s="150">
        <f ca="1">IF(S68=0,"",PV(constantes!$B$3,O68,-V68)*constantes!$B$3)</f>
        <v>336.71067699138979</v>
      </c>
      <c r="Y68" s="85">
        <f t="shared" si="6"/>
        <v>2700</v>
      </c>
      <c r="Z68">
        <v>358</v>
      </c>
    </row>
    <row r="69" spans="1:26">
      <c r="A69" s="290">
        <v>7380</v>
      </c>
      <c r="B69" s="23" t="str">
        <f t="shared" si="8"/>
        <v>AC/RO/Mad-SE_1500__kV_359</v>
      </c>
      <c r="C69" s="23">
        <v>812</v>
      </c>
      <c r="D69" s="142" t="str">
        <f>VLOOKUP(C69,tab_corredor!$A$2:$B$50,2,0)</f>
        <v>AC/RO/Mad-SE</v>
      </c>
      <c r="E69" s="23">
        <v>1500</v>
      </c>
      <c r="F69" s="23" t="s">
        <v>2724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2672</v>
      </c>
      <c r="M69" s="23">
        <v>2015</v>
      </c>
      <c r="N69" s="23">
        <v>2100</v>
      </c>
      <c r="O69" s="292">
        <v>25</v>
      </c>
      <c r="P69" s="293">
        <v>2700</v>
      </c>
      <c r="Q69" s="294">
        <v>1</v>
      </c>
      <c r="R69" s="23"/>
      <c r="S69" s="148">
        <f t="shared" si="7"/>
        <v>4050</v>
      </c>
      <c r="T69" s="148">
        <f ca="1">IF(S69=0,"",S69*(OFFSET(cod_desembolso!$A$1,Q69,23)))</f>
        <v>4208.8834623923722</v>
      </c>
      <c r="U69" s="149">
        <f>(constantes!$B$3*(1+constantes!$B$3)^(O69))/((1+constantes!$B$3)^(O69)-1)</f>
        <v>9.3678779051968114E-2</v>
      </c>
      <c r="V69" s="148">
        <f t="shared" ca="1" si="9"/>
        <v>394.28306392893757</v>
      </c>
      <c r="W69" s="148">
        <f ca="1">(IF(S69=0,"",V69/constantes!$B$3))*1</f>
        <v>4928.5382991117194</v>
      </c>
      <c r="X69" s="150">
        <f ca="1">IF(S69=0,"",PV(constantes!$B$3,O69,-V69)*constantes!$B$3)</f>
        <v>336.71067699138979</v>
      </c>
      <c r="Y69" s="85">
        <f t="shared" si="6"/>
        <v>2700</v>
      </c>
      <c r="Z69">
        <v>359</v>
      </c>
    </row>
    <row r="70" spans="1:26">
      <c r="A70" s="290">
        <v>7381</v>
      </c>
      <c r="B70" s="23" t="str">
        <f t="shared" si="8"/>
        <v>AC/RO/Mad-SE_1500__kV_360</v>
      </c>
      <c r="C70" s="23">
        <v>812</v>
      </c>
      <c r="D70" s="142" t="str">
        <f>VLOOKUP(C70,tab_corredor!$A$2:$B$50,2,0)</f>
        <v>AC/RO/Mad-SE</v>
      </c>
      <c r="E70" s="23">
        <v>1500</v>
      </c>
      <c r="F70" s="23" t="s">
        <v>2724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2672</v>
      </c>
      <c r="M70" s="23">
        <v>2015</v>
      </c>
      <c r="N70" s="23">
        <v>2100</v>
      </c>
      <c r="O70" s="292">
        <v>25</v>
      </c>
      <c r="P70" s="293">
        <v>2700</v>
      </c>
      <c r="Q70" s="294">
        <v>1</v>
      </c>
      <c r="R70" s="23"/>
      <c r="S70" s="148">
        <f t="shared" si="7"/>
        <v>4050</v>
      </c>
      <c r="T70" s="148">
        <f ca="1">IF(S70=0,"",S70*(OFFSET(cod_desembolso!$A$1,Q70,23)))</f>
        <v>4208.8834623923722</v>
      </c>
      <c r="U70" s="149">
        <f>(constantes!$B$3*(1+constantes!$B$3)^(O70))/((1+constantes!$B$3)^(O70)-1)</f>
        <v>9.3678779051968114E-2</v>
      </c>
      <c r="V70" s="148">
        <f t="shared" ca="1" si="9"/>
        <v>394.28306392893757</v>
      </c>
      <c r="W70" s="148">
        <f ca="1">(IF(S70=0,"",V70/constantes!$B$3))*1</f>
        <v>4928.5382991117194</v>
      </c>
      <c r="X70" s="150">
        <f ca="1">IF(S70=0,"",PV(constantes!$B$3,O70,-V70)*constantes!$B$3)</f>
        <v>336.71067699138979</v>
      </c>
      <c r="Y70" s="85">
        <f t="shared" si="6"/>
        <v>2700</v>
      </c>
      <c r="Z70">
        <v>360</v>
      </c>
    </row>
    <row r="71" spans="1:26">
      <c r="A71" s="290">
        <v>7382</v>
      </c>
      <c r="B71" s="23" t="str">
        <f t="shared" si="8"/>
        <v>AC/RO/Mad-SE_1500__kV_361</v>
      </c>
      <c r="C71" s="23">
        <v>812</v>
      </c>
      <c r="D71" s="142" t="str">
        <f>VLOOKUP(C71,tab_corredor!$A$2:$B$50,2,0)</f>
        <v>AC/RO/Mad-SE</v>
      </c>
      <c r="E71" s="23">
        <v>1500</v>
      </c>
      <c r="F71" s="23" t="s">
        <v>2724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2672</v>
      </c>
      <c r="M71" s="23">
        <v>2015</v>
      </c>
      <c r="N71" s="23">
        <v>2100</v>
      </c>
      <c r="O71" s="292">
        <v>25</v>
      </c>
      <c r="P71" s="293">
        <v>2700</v>
      </c>
      <c r="Q71" s="294">
        <v>1</v>
      </c>
      <c r="R71" s="23"/>
      <c r="S71" s="148">
        <f t="shared" si="7"/>
        <v>4050</v>
      </c>
      <c r="T71" s="148">
        <f ca="1">IF(S71=0,"",S71*(OFFSET(cod_desembolso!$A$1,Q71,23)))</f>
        <v>4208.8834623923722</v>
      </c>
      <c r="U71" s="149">
        <f>(constantes!$B$3*(1+constantes!$B$3)^(O71))/((1+constantes!$B$3)^(O71)-1)</f>
        <v>9.3678779051968114E-2</v>
      </c>
      <c r="V71" s="148">
        <f t="shared" ca="1" si="9"/>
        <v>394.28306392893757</v>
      </c>
      <c r="W71" s="148">
        <f ca="1">(IF(S71=0,"",V71/constantes!$B$3))*1</f>
        <v>4928.5382991117194</v>
      </c>
      <c r="X71" s="150">
        <f ca="1">IF(S71=0,"",PV(constantes!$B$3,O71,-V71)*constantes!$B$3)</f>
        <v>336.71067699138979</v>
      </c>
      <c r="Y71" s="85">
        <f t="shared" si="6"/>
        <v>2700</v>
      </c>
      <c r="Z71">
        <v>361</v>
      </c>
    </row>
    <row r="72" spans="1:26">
      <c r="A72" s="290">
        <v>7383</v>
      </c>
      <c r="B72" s="23" t="str">
        <f t="shared" si="8"/>
        <v>AC/RO/Mad-SE_1500__kV_362</v>
      </c>
      <c r="C72" s="23">
        <v>812</v>
      </c>
      <c r="D72" s="142" t="str">
        <f>VLOOKUP(C72,tab_corredor!$A$2:$B$50,2,0)</f>
        <v>AC/RO/Mad-SE</v>
      </c>
      <c r="E72" s="23">
        <v>1500</v>
      </c>
      <c r="F72" s="23" t="s">
        <v>2724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2672</v>
      </c>
      <c r="M72" s="23">
        <v>2015</v>
      </c>
      <c r="N72" s="23">
        <v>2100</v>
      </c>
      <c r="O72" s="292">
        <v>25</v>
      </c>
      <c r="P72" s="293">
        <v>2700</v>
      </c>
      <c r="Q72" s="294">
        <v>1</v>
      </c>
      <c r="R72" s="23"/>
      <c r="S72" s="148">
        <f t="shared" si="7"/>
        <v>4050</v>
      </c>
      <c r="T72" s="148">
        <f ca="1">IF(S72=0,"",S72*(OFFSET(cod_desembolso!$A$1,Q72,23)))</f>
        <v>4208.8834623923722</v>
      </c>
      <c r="U72" s="149">
        <f>(constantes!$B$3*(1+constantes!$B$3)^(O72))/((1+constantes!$B$3)^(O72)-1)</f>
        <v>9.3678779051968114E-2</v>
      </c>
      <c r="V72" s="148">
        <f t="shared" ca="1" si="9"/>
        <v>394.28306392893757</v>
      </c>
      <c r="W72" s="148">
        <f ca="1">(IF(S72=0,"",V72/constantes!$B$3))*1</f>
        <v>4928.5382991117194</v>
      </c>
      <c r="X72" s="150">
        <f ca="1">IF(S72=0,"",PV(constantes!$B$3,O72,-V72)*constantes!$B$3)</f>
        <v>336.71067699138979</v>
      </c>
      <c r="Y72" s="85">
        <f t="shared" si="6"/>
        <v>2700</v>
      </c>
      <c r="Z72">
        <v>362</v>
      </c>
    </row>
    <row r="73" spans="1:26">
      <c r="A73" s="290">
        <v>7384</v>
      </c>
      <c r="B73" s="23" t="str">
        <f t="shared" si="8"/>
        <v>AC/RO/Mad-SE_1500__kV_363</v>
      </c>
      <c r="C73" s="23">
        <v>812</v>
      </c>
      <c r="D73" s="142" t="str">
        <f>VLOOKUP(C73,tab_corredor!$A$2:$B$50,2,0)</f>
        <v>AC/RO/Mad-SE</v>
      </c>
      <c r="E73" s="23">
        <v>1500</v>
      </c>
      <c r="F73" s="23" t="s">
        <v>2724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2672</v>
      </c>
      <c r="M73" s="23">
        <v>2015</v>
      </c>
      <c r="N73" s="23">
        <v>2100</v>
      </c>
      <c r="O73" s="292">
        <v>25</v>
      </c>
      <c r="P73" s="293">
        <v>2700</v>
      </c>
      <c r="Q73" s="294">
        <v>1</v>
      </c>
      <c r="R73" s="23"/>
      <c r="S73" s="148">
        <f t="shared" si="7"/>
        <v>4050</v>
      </c>
      <c r="T73" s="148">
        <f ca="1">IF(S73=0,"",S73*(OFFSET(cod_desembolso!$A$1,Q73,23)))</f>
        <v>4208.8834623923722</v>
      </c>
      <c r="U73" s="149">
        <f>(constantes!$B$3*(1+constantes!$B$3)^(O73))/((1+constantes!$B$3)^(O73)-1)</f>
        <v>9.3678779051968114E-2</v>
      </c>
      <c r="V73" s="148">
        <f t="shared" ca="1" si="9"/>
        <v>394.28306392893757</v>
      </c>
      <c r="W73" s="148">
        <f ca="1">(IF(S73=0,"",V73/constantes!$B$3))*1</f>
        <v>4928.5382991117194</v>
      </c>
      <c r="X73" s="150">
        <f ca="1">IF(S73=0,"",PV(constantes!$B$3,O73,-V73)*constantes!$B$3)</f>
        <v>336.71067699138979</v>
      </c>
      <c r="Y73" s="85">
        <f t="shared" si="6"/>
        <v>2700</v>
      </c>
      <c r="Z73">
        <v>363</v>
      </c>
    </row>
    <row r="74" spans="1:26">
      <c r="A74" s="290">
        <v>7385</v>
      </c>
      <c r="B74" s="23" t="str">
        <f t="shared" si="8"/>
        <v>AC/RO/Mad-SE_1500__kV_364</v>
      </c>
      <c r="C74" s="23">
        <v>812</v>
      </c>
      <c r="D74" s="142" t="str">
        <f>VLOOKUP(C74,tab_corredor!$A$2:$B$50,2,0)</f>
        <v>AC/RO/Mad-SE</v>
      </c>
      <c r="E74" s="23">
        <v>1500</v>
      </c>
      <c r="F74" s="23" t="s">
        <v>2724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2672</v>
      </c>
      <c r="M74" s="23">
        <v>2015</v>
      </c>
      <c r="N74" s="23">
        <v>2100</v>
      </c>
      <c r="O74" s="292">
        <v>25</v>
      </c>
      <c r="P74" s="293">
        <v>2700</v>
      </c>
      <c r="Q74" s="294">
        <v>1</v>
      </c>
      <c r="R74" s="23"/>
      <c r="S74" s="148">
        <f t="shared" si="7"/>
        <v>4050</v>
      </c>
      <c r="T74" s="148">
        <f ca="1">IF(S74=0,"",S74*(OFFSET(cod_desembolso!$A$1,Q74,23)))</f>
        <v>4208.8834623923722</v>
      </c>
      <c r="U74" s="149">
        <f>(constantes!$B$3*(1+constantes!$B$3)^(O74))/((1+constantes!$B$3)^(O74)-1)</f>
        <v>9.3678779051968114E-2</v>
      </c>
      <c r="V74" s="148">
        <f t="shared" ca="1" si="9"/>
        <v>394.28306392893757</v>
      </c>
      <c r="W74" s="148">
        <f ca="1">(IF(S74=0,"",V74/constantes!$B$3))*1</f>
        <v>4928.5382991117194</v>
      </c>
      <c r="X74" s="150">
        <f ca="1">IF(S74=0,"",PV(constantes!$B$3,O74,-V74)*constantes!$B$3)</f>
        <v>336.71067699138979</v>
      </c>
      <c r="Y74" s="85">
        <f t="shared" si="6"/>
        <v>2700</v>
      </c>
      <c r="Z74">
        <v>364</v>
      </c>
    </row>
    <row r="75" spans="1:26">
      <c r="A75" s="290">
        <v>7386</v>
      </c>
      <c r="B75" s="23" t="str">
        <f t="shared" si="8"/>
        <v>AC/RO/Mad-SE_1500__kV_365</v>
      </c>
      <c r="C75" s="23">
        <v>812</v>
      </c>
      <c r="D75" s="142" t="str">
        <f>VLOOKUP(C75,tab_corredor!$A$2:$B$50,2,0)</f>
        <v>AC/RO/Mad-SE</v>
      </c>
      <c r="E75" s="23">
        <v>1500</v>
      </c>
      <c r="F75" s="23" t="s">
        <v>2724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2672</v>
      </c>
      <c r="M75" s="23">
        <v>2015</v>
      </c>
      <c r="N75" s="23">
        <v>2100</v>
      </c>
      <c r="O75" s="292">
        <v>25</v>
      </c>
      <c r="P75" s="293">
        <v>2700</v>
      </c>
      <c r="Q75" s="294">
        <v>1</v>
      </c>
      <c r="R75" s="23"/>
      <c r="S75" s="148">
        <f t="shared" si="7"/>
        <v>4050</v>
      </c>
      <c r="T75" s="148">
        <f ca="1">IF(S75=0,"",S75*(OFFSET(cod_desembolso!$A$1,Q75,23)))</f>
        <v>4208.8834623923722</v>
      </c>
      <c r="U75" s="149">
        <f>(constantes!$B$3*(1+constantes!$B$3)^(O75))/((1+constantes!$B$3)^(O75)-1)</f>
        <v>9.3678779051968114E-2</v>
      </c>
      <c r="V75" s="148">
        <f t="shared" ca="1" si="9"/>
        <v>394.28306392893757</v>
      </c>
      <c r="W75" s="148">
        <f ca="1">(IF(S75=0,"",V75/constantes!$B$3))*1</f>
        <v>4928.5382991117194</v>
      </c>
      <c r="X75" s="150">
        <f ca="1">IF(S75=0,"",PV(constantes!$B$3,O75,-V75)*constantes!$B$3)</f>
        <v>336.71067699138979</v>
      </c>
      <c r="Y75" s="85">
        <f t="shared" si="6"/>
        <v>2700</v>
      </c>
      <c r="Z75">
        <v>365</v>
      </c>
    </row>
    <row r="76" spans="1:26">
      <c r="A76" s="290">
        <v>7387</v>
      </c>
      <c r="B76" s="23" t="str">
        <f t="shared" si="8"/>
        <v>AC/RO/Mad-SE_1500__kV_366</v>
      </c>
      <c r="C76" s="23">
        <v>812</v>
      </c>
      <c r="D76" s="142" t="str">
        <f>VLOOKUP(C76,tab_corredor!$A$2:$B$50,2,0)</f>
        <v>AC/RO/Mad-SE</v>
      </c>
      <c r="E76" s="23">
        <v>1500</v>
      </c>
      <c r="F76" s="23" t="s">
        <v>2724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2672</v>
      </c>
      <c r="M76" s="23">
        <v>2015</v>
      </c>
      <c r="N76" s="23">
        <v>2100</v>
      </c>
      <c r="O76" s="292">
        <v>25</v>
      </c>
      <c r="P76" s="293">
        <v>2700</v>
      </c>
      <c r="Q76" s="294">
        <v>1</v>
      </c>
      <c r="R76" s="23"/>
      <c r="S76" s="148">
        <f t="shared" si="7"/>
        <v>4050</v>
      </c>
      <c r="T76" s="148">
        <f ca="1">IF(S76=0,"",S76*(OFFSET(cod_desembolso!$A$1,Q76,23)))</f>
        <v>4208.8834623923722</v>
      </c>
      <c r="U76" s="149">
        <f>(constantes!$B$3*(1+constantes!$B$3)^(O76))/((1+constantes!$B$3)^(O76)-1)</f>
        <v>9.3678779051968114E-2</v>
      </c>
      <c r="V76" s="148">
        <f t="shared" ca="1" si="9"/>
        <v>394.28306392893757</v>
      </c>
      <c r="W76" s="148">
        <f ca="1">(IF(S76=0,"",V76/constantes!$B$3))*1</f>
        <v>4928.5382991117194</v>
      </c>
      <c r="X76" s="150">
        <f ca="1">IF(S76=0,"",PV(constantes!$B$3,O76,-V76)*constantes!$B$3)</f>
        <v>336.71067699138979</v>
      </c>
      <c r="Y76" s="85">
        <f t="shared" si="6"/>
        <v>2700</v>
      </c>
      <c r="Z76">
        <v>366</v>
      </c>
    </row>
    <row r="77" spans="1:26">
      <c r="A77" s="290">
        <v>7388</v>
      </c>
      <c r="B77" s="23" t="str">
        <f t="shared" si="8"/>
        <v>AC/RO/Mad-SE_1500__kV_367</v>
      </c>
      <c r="C77" s="23">
        <v>812</v>
      </c>
      <c r="D77" s="142" t="str">
        <f>VLOOKUP(C77,tab_corredor!$A$2:$B$50,2,0)</f>
        <v>AC/RO/Mad-SE</v>
      </c>
      <c r="E77" s="23">
        <v>1500</v>
      </c>
      <c r="F77" s="23" t="s">
        <v>2724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2672</v>
      </c>
      <c r="M77" s="23">
        <v>2015</v>
      </c>
      <c r="N77" s="23">
        <v>2100</v>
      </c>
      <c r="O77" s="292">
        <v>25</v>
      </c>
      <c r="P77" s="293">
        <v>2700</v>
      </c>
      <c r="Q77" s="294">
        <v>1</v>
      </c>
      <c r="R77" s="23"/>
      <c r="S77" s="148">
        <f t="shared" si="7"/>
        <v>4050</v>
      </c>
      <c r="T77" s="148">
        <f ca="1">IF(S77=0,"",S77*(OFFSET(cod_desembolso!$A$1,Q77,23)))</f>
        <v>4208.8834623923722</v>
      </c>
      <c r="U77" s="149">
        <f>(constantes!$B$3*(1+constantes!$B$3)^(O77))/((1+constantes!$B$3)^(O77)-1)</f>
        <v>9.3678779051968114E-2</v>
      </c>
      <c r="V77" s="148">
        <f t="shared" ca="1" si="9"/>
        <v>394.28306392893757</v>
      </c>
      <c r="W77" s="148">
        <f ca="1">(IF(S77=0,"",V77/constantes!$B$3))*1</f>
        <v>4928.5382991117194</v>
      </c>
      <c r="X77" s="150">
        <f ca="1">IF(S77=0,"",PV(constantes!$B$3,O77,-V77)*constantes!$B$3)</f>
        <v>336.71067699138979</v>
      </c>
      <c r="Y77" s="85">
        <f t="shared" si="6"/>
        <v>2700</v>
      </c>
      <c r="Z77">
        <v>367</v>
      </c>
    </row>
    <row r="78" spans="1:26">
      <c r="A78" s="290">
        <v>7389</v>
      </c>
      <c r="B78" s="23" t="str">
        <f t="shared" si="8"/>
        <v>AC/RO/Mad-SE_1500__kV_368</v>
      </c>
      <c r="C78" s="23">
        <v>812</v>
      </c>
      <c r="D78" s="142" t="str">
        <f>VLOOKUP(C78,tab_corredor!$A$2:$B$50,2,0)</f>
        <v>AC/RO/Mad-SE</v>
      </c>
      <c r="E78" s="23">
        <v>1500</v>
      </c>
      <c r="F78" s="23" t="s">
        <v>2724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2672</v>
      </c>
      <c r="M78" s="23">
        <v>2015</v>
      </c>
      <c r="N78" s="23">
        <v>2100</v>
      </c>
      <c r="O78" s="292">
        <v>25</v>
      </c>
      <c r="P78" s="293">
        <v>2700</v>
      </c>
      <c r="Q78" s="294">
        <v>1</v>
      </c>
      <c r="R78" s="23"/>
      <c r="S78" s="148">
        <f t="shared" si="7"/>
        <v>4050</v>
      </c>
      <c r="T78" s="148">
        <f ca="1">IF(S78=0,"",S78*(OFFSET(cod_desembolso!$A$1,Q78,23)))</f>
        <v>4208.8834623923722</v>
      </c>
      <c r="U78" s="149">
        <f>(constantes!$B$3*(1+constantes!$B$3)^(O78))/((1+constantes!$B$3)^(O78)-1)</f>
        <v>9.3678779051968114E-2</v>
      </c>
      <c r="V78" s="148">
        <f t="shared" ca="1" si="9"/>
        <v>394.28306392893757</v>
      </c>
      <c r="W78" s="148">
        <f ca="1">(IF(S78=0,"",V78/constantes!$B$3))*1</f>
        <v>4928.5382991117194</v>
      </c>
      <c r="X78" s="150">
        <f ca="1">IF(S78=0,"",PV(constantes!$B$3,O78,-V78)*constantes!$B$3)</f>
        <v>336.71067699138979</v>
      </c>
      <c r="Y78" s="85">
        <f t="shared" si="6"/>
        <v>2700</v>
      </c>
      <c r="Z78">
        <v>368</v>
      </c>
    </row>
    <row r="79" spans="1:26">
      <c r="A79" s="290">
        <v>7390</v>
      </c>
      <c r="B79" s="23" t="str">
        <f t="shared" si="8"/>
        <v>AC/RO/Mad-SE_1500__kV_369</v>
      </c>
      <c r="C79" s="23">
        <v>812</v>
      </c>
      <c r="D79" s="142" t="str">
        <f>VLOOKUP(C79,tab_corredor!$A$2:$B$50,2,0)</f>
        <v>AC/RO/Mad-SE</v>
      </c>
      <c r="E79" s="23">
        <v>1500</v>
      </c>
      <c r="F79" s="23" t="s">
        <v>2724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2672</v>
      </c>
      <c r="M79" s="23">
        <v>2015</v>
      </c>
      <c r="N79" s="23">
        <v>2100</v>
      </c>
      <c r="O79" s="292">
        <v>25</v>
      </c>
      <c r="P79" s="293">
        <v>2700</v>
      </c>
      <c r="Q79" s="294">
        <v>1</v>
      </c>
      <c r="R79" s="23"/>
      <c r="S79" s="148">
        <f t="shared" si="7"/>
        <v>4050</v>
      </c>
      <c r="T79" s="148">
        <f ca="1">IF(S79=0,"",S79*(OFFSET(cod_desembolso!$A$1,Q79,23)))</f>
        <v>4208.8834623923722</v>
      </c>
      <c r="U79" s="149">
        <f>(constantes!$B$3*(1+constantes!$B$3)^(O79))/((1+constantes!$B$3)^(O79)-1)</f>
        <v>9.3678779051968114E-2</v>
      </c>
      <c r="V79" s="148">
        <f t="shared" ca="1" si="9"/>
        <v>394.28306392893757</v>
      </c>
      <c r="W79" s="148">
        <f ca="1">(IF(S79=0,"",V79/constantes!$B$3))*1</f>
        <v>4928.5382991117194</v>
      </c>
      <c r="X79" s="150">
        <f ca="1">IF(S79=0,"",PV(constantes!$B$3,O79,-V79)*constantes!$B$3)</f>
        <v>336.71067699138979</v>
      </c>
      <c r="Y79" s="85">
        <f t="shared" si="6"/>
        <v>2700</v>
      </c>
      <c r="Z79">
        <v>369</v>
      </c>
    </row>
    <row r="80" spans="1:26">
      <c r="A80" s="290">
        <v>7391</v>
      </c>
      <c r="B80" s="23" t="str">
        <f t="shared" si="8"/>
        <v>AC/RO/Mad-SE_1500__kV_370</v>
      </c>
      <c r="C80" s="23">
        <v>812</v>
      </c>
      <c r="D80" s="142" t="str">
        <f>VLOOKUP(C80,tab_corredor!$A$2:$B$50,2,0)</f>
        <v>AC/RO/Mad-SE</v>
      </c>
      <c r="E80" s="23">
        <v>1500</v>
      </c>
      <c r="F80" s="23" t="s">
        <v>2724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2672</v>
      </c>
      <c r="M80" s="23">
        <v>2015</v>
      </c>
      <c r="N80" s="23">
        <v>2100</v>
      </c>
      <c r="O80" s="292">
        <v>25</v>
      </c>
      <c r="P80" s="293">
        <v>2700</v>
      </c>
      <c r="Q80" s="294">
        <v>1</v>
      </c>
      <c r="R80" s="23"/>
      <c r="S80" s="148">
        <f t="shared" si="7"/>
        <v>4050</v>
      </c>
      <c r="T80" s="148">
        <f ca="1">IF(S80=0,"",S80*(OFFSET(cod_desembolso!$A$1,Q80,23)))</f>
        <v>4208.8834623923722</v>
      </c>
      <c r="U80" s="149">
        <f>(constantes!$B$3*(1+constantes!$B$3)^(O80))/((1+constantes!$B$3)^(O80)-1)</f>
        <v>9.3678779051968114E-2</v>
      </c>
      <c r="V80" s="148">
        <f t="shared" ca="1" si="9"/>
        <v>394.28306392893757</v>
      </c>
      <c r="W80" s="148">
        <f ca="1">(IF(S80=0,"",V80/constantes!$B$3))*1</f>
        <v>4928.5382991117194</v>
      </c>
      <c r="X80" s="150">
        <f ca="1">IF(S80=0,"",PV(constantes!$B$3,O80,-V80)*constantes!$B$3)</f>
        <v>336.71067699138979</v>
      </c>
      <c r="Y80" s="85">
        <f t="shared" si="6"/>
        <v>2700</v>
      </c>
      <c r="Z80">
        <v>370</v>
      </c>
    </row>
    <row r="81" spans="1:29">
      <c r="A81" s="290">
        <v>7215</v>
      </c>
      <c r="B81" s="405" t="str">
        <f t="shared" si="8"/>
        <v>Manaus-AC/RO/Mad_1500__kV_215</v>
      </c>
      <c r="C81" s="405">
        <v>813</v>
      </c>
      <c r="D81" s="406" t="str">
        <f>VLOOKUP(C81,tab_corredor!$A$2:$B$50,2,0)</f>
        <v>Manaus-AC/RO/Mad</v>
      </c>
      <c r="E81" s="405">
        <v>1500</v>
      </c>
      <c r="F81" s="23" t="s">
        <v>2724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405">
        <v>1</v>
      </c>
      <c r="L81" s="405" t="s">
        <v>2672</v>
      </c>
      <c r="M81" s="23">
        <v>2015</v>
      </c>
      <c r="N81" s="405">
        <v>2100</v>
      </c>
      <c r="O81" s="292">
        <v>25</v>
      </c>
      <c r="P81" s="407">
        <v>2700</v>
      </c>
      <c r="Q81" s="408">
        <v>1</v>
      </c>
      <c r="R81" s="405"/>
      <c r="S81" s="409">
        <f t="shared" ref="S81:S144" si="10">P81+R81</f>
        <v>2700</v>
      </c>
      <c r="T81" s="148">
        <f ca="1">IF(S81=0,"",S81*(OFFSET(cod_desembolso!$A$1,Q81,23)))</f>
        <v>2805.9223082615817</v>
      </c>
      <c r="U81" s="410">
        <f>(constantes!$B$3*(1+constantes!$B$3)^(O81))/((1+constantes!$B$3)^(O81)-1)</f>
        <v>9.3678779051968114E-2</v>
      </c>
      <c r="V81" s="409">
        <f t="shared" ca="1" si="9"/>
        <v>262.85537595262508</v>
      </c>
      <c r="W81" s="409">
        <f ca="1">(IF(S81=0,"",V81/constantes!$B$3))*1</f>
        <v>3285.6921994078134</v>
      </c>
      <c r="X81" s="411">
        <f ca="1">IF(S81=0,"",PV(constantes!$B$3,O81,-V81)*constantes!$B$3)</f>
        <v>224.47378466092658</v>
      </c>
      <c r="Y81" s="412">
        <f t="shared" ref="Y81:Y144" si="11">S81/E81*1000</f>
        <v>1800</v>
      </c>
      <c r="Z81">
        <v>215</v>
      </c>
    </row>
    <row r="82" spans="1:29">
      <c r="A82" s="290">
        <v>7216</v>
      </c>
      <c r="B82" s="405" t="str">
        <f t="shared" si="8"/>
        <v>Manaus-AC/RO/Mad_1500__kV_216</v>
      </c>
      <c r="C82" s="405">
        <v>813</v>
      </c>
      <c r="D82" s="406" t="str">
        <f>VLOOKUP(C82,tab_corredor!$A$2:$B$50,2,0)</f>
        <v>Manaus-AC/RO/Mad</v>
      </c>
      <c r="E82" s="405">
        <v>1500</v>
      </c>
      <c r="F82" s="23" t="s">
        <v>2724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405">
        <v>1</v>
      </c>
      <c r="L82" s="405" t="s">
        <v>2672</v>
      </c>
      <c r="M82" s="23">
        <v>2015</v>
      </c>
      <c r="N82" s="405">
        <v>2100</v>
      </c>
      <c r="O82" s="292">
        <v>25</v>
      </c>
      <c r="P82" s="407">
        <v>2700</v>
      </c>
      <c r="Q82" s="408">
        <v>1</v>
      </c>
      <c r="R82" s="405"/>
      <c r="S82" s="409">
        <f t="shared" si="10"/>
        <v>2700</v>
      </c>
      <c r="T82" s="148">
        <f ca="1">IF(S82=0,"",S82*(OFFSET(cod_desembolso!$A$1,Q82,23)))</f>
        <v>2805.9223082615817</v>
      </c>
      <c r="U82" s="410">
        <f>(constantes!$B$3*(1+constantes!$B$3)^(O82))/((1+constantes!$B$3)^(O82)-1)</f>
        <v>9.3678779051968114E-2</v>
      </c>
      <c r="V82" s="409">
        <f t="shared" ca="1" si="9"/>
        <v>262.85537595262508</v>
      </c>
      <c r="W82" s="409">
        <f ca="1">(IF(S82=0,"",V82/constantes!$B$3))*1</f>
        <v>3285.6921994078134</v>
      </c>
      <c r="X82" s="411">
        <f ca="1">IF(S82=0,"",PV(constantes!$B$3,O82,-V82)*constantes!$B$3)</f>
        <v>224.47378466092658</v>
      </c>
      <c r="Y82" s="412">
        <f t="shared" si="11"/>
        <v>1800</v>
      </c>
      <c r="Z82">
        <v>216</v>
      </c>
    </row>
    <row r="83" spans="1:29">
      <c r="A83" s="290">
        <v>7217</v>
      </c>
      <c r="B83" s="405" t="str">
        <f t="shared" si="8"/>
        <v>Manaus-AC/RO/Mad_1500__kV_217</v>
      </c>
      <c r="C83" s="405">
        <v>813</v>
      </c>
      <c r="D83" s="406" t="str">
        <f>VLOOKUP(C83,tab_corredor!$A$2:$B$50,2,0)</f>
        <v>Manaus-AC/RO/Mad</v>
      </c>
      <c r="E83" s="405">
        <v>1500</v>
      </c>
      <c r="F83" s="23" t="s">
        <v>2724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405">
        <v>1</v>
      </c>
      <c r="L83" s="405" t="s">
        <v>2672</v>
      </c>
      <c r="M83" s="23">
        <v>2015</v>
      </c>
      <c r="N83" s="405">
        <v>2100</v>
      </c>
      <c r="O83" s="292">
        <v>25</v>
      </c>
      <c r="P83" s="407">
        <v>2700</v>
      </c>
      <c r="Q83" s="408">
        <v>1</v>
      </c>
      <c r="R83" s="405"/>
      <c r="S83" s="409">
        <f t="shared" si="10"/>
        <v>2700</v>
      </c>
      <c r="T83" s="148">
        <f ca="1">IF(S83=0,"",S83*(OFFSET(cod_desembolso!$A$1,Q83,23)))</f>
        <v>2805.9223082615817</v>
      </c>
      <c r="U83" s="410">
        <f>(constantes!$B$3*(1+constantes!$B$3)^(O83))/((1+constantes!$B$3)^(O83)-1)</f>
        <v>9.3678779051968114E-2</v>
      </c>
      <c r="V83" s="409">
        <f t="shared" ca="1" si="9"/>
        <v>262.85537595262508</v>
      </c>
      <c r="W83" s="409">
        <f ca="1">(IF(S83=0,"",V83/constantes!$B$3))*1</f>
        <v>3285.6921994078134</v>
      </c>
      <c r="X83" s="411">
        <f ca="1">IF(S83=0,"",PV(constantes!$B$3,O83,-V83)*constantes!$B$3)</f>
        <v>224.47378466092658</v>
      </c>
      <c r="Y83" s="412">
        <f t="shared" si="11"/>
        <v>1800</v>
      </c>
      <c r="Z83">
        <v>217</v>
      </c>
    </row>
    <row r="84" spans="1:29">
      <c r="A84" s="290">
        <v>7218</v>
      </c>
      <c r="B84" s="405" t="str">
        <f t="shared" si="8"/>
        <v>Manaus-AC/RO/Mad_1500__kV_218</v>
      </c>
      <c r="C84" s="405">
        <v>813</v>
      </c>
      <c r="D84" s="406" t="str">
        <f>VLOOKUP(C84,tab_corredor!$A$2:$B$50,2,0)</f>
        <v>Manaus-AC/RO/Mad</v>
      </c>
      <c r="E84" s="23">
        <v>1500</v>
      </c>
      <c r="F84" s="23" t="s">
        <v>2724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405">
        <v>1</v>
      </c>
      <c r="L84" s="405" t="s">
        <v>2672</v>
      </c>
      <c r="M84" s="23">
        <v>2015</v>
      </c>
      <c r="N84" s="405">
        <v>2100</v>
      </c>
      <c r="O84" s="292">
        <v>25</v>
      </c>
      <c r="P84" s="407">
        <v>2700</v>
      </c>
      <c r="Q84" s="408">
        <v>1</v>
      </c>
      <c r="R84" s="405"/>
      <c r="S84" s="409">
        <f t="shared" si="10"/>
        <v>2700</v>
      </c>
      <c r="T84" s="148">
        <f ca="1">IF(S84=0,"",S84*(OFFSET(cod_desembolso!$A$1,Q84,23)))</f>
        <v>2805.9223082615817</v>
      </c>
      <c r="U84" s="410">
        <f>(constantes!$B$3*(1+constantes!$B$3)^(O84))/((1+constantes!$B$3)^(O84)-1)</f>
        <v>9.3678779051968114E-2</v>
      </c>
      <c r="V84" s="409">
        <f t="shared" ca="1" si="9"/>
        <v>262.85537595262508</v>
      </c>
      <c r="W84" s="409">
        <f ca="1">(IF(S84=0,"",V84/constantes!$B$3))*1</f>
        <v>3285.6921994078134</v>
      </c>
      <c r="X84" s="411">
        <f ca="1">IF(S84=0,"",PV(constantes!$B$3,O84,-V84)*constantes!$B$3)</f>
        <v>224.47378466092658</v>
      </c>
      <c r="Y84" s="412">
        <f t="shared" si="11"/>
        <v>1800</v>
      </c>
      <c r="Z84">
        <v>218</v>
      </c>
    </row>
    <row r="85" spans="1:29">
      <c r="A85" s="290">
        <v>7219</v>
      </c>
      <c r="B85" s="405" t="str">
        <f t="shared" si="8"/>
        <v>Manaus-AC/RO/Mad_1500__kV_219</v>
      </c>
      <c r="C85" s="405">
        <v>813</v>
      </c>
      <c r="D85" s="406" t="str">
        <f>VLOOKUP(C85,tab_corredor!$A$2:$B$50,2,0)</f>
        <v>Manaus-AC/RO/Mad</v>
      </c>
      <c r="E85" s="23">
        <v>1500</v>
      </c>
      <c r="F85" s="23" t="s">
        <v>2724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405">
        <v>1</v>
      </c>
      <c r="L85" s="405" t="s">
        <v>2672</v>
      </c>
      <c r="M85" s="23">
        <v>2015</v>
      </c>
      <c r="N85" s="405">
        <v>2100</v>
      </c>
      <c r="O85" s="292">
        <v>25</v>
      </c>
      <c r="P85" s="407">
        <v>2700</v>
      </c>
      <c r="Q85" s="408">
        <v>1</v>
      </c>
      <c r="R85" s="405"/>
      <c r="S85" s="409">
        <f t="shared" si="10"/>
        <v>2700</v>
      </c>
      <c r="T85" s="148">
        <f ca="1">IF(S85=0,"",S85*(OFFSET(cod_desembolso!$A$1,Q85,23)))</f>
        <v>2805.9223082615817</v>
      </c>
      <c r="U85" s="410">
        <f>(constantes!$B$3*(1+constantes!$B$3)^(O85))/((1+constantes!$B$3)^(O85)-1)</f>
        <v>9.3678779051968114E-2</v>
      </c>
      <c r="V85" s="409">
        <f t="shared" ca="1" si="9"/>
        <v>262.85537595262508</v>
      </c>
      <c r="W85" s="409">
        <f ca="1">(IF(S85=0,"",V85/constantes!$B$3))*1</f>
        <v>3285.6921994078134</v>
      </c>
      <c r="X85" s="411">
        <f ca="1">IF(S85=0,"",PV(constantes!$B$3,O85,-V85)*constantes!$B$3)</f>
        <v>224.47378466092658</v>
      </c>
      <c r="Y85" s="412">
        <f t="shared" si="11"/>
        <v>1800</v>
      </c>
      <c r="Z85">
        <v>219</v>
      </c>
    </row>
    <row r="86" spans="1:29">
      <c r="A86" s="290">
        <v>7220</v>
      </c>
      <c r="B86" s="405" t="str">
        <f t="shared" si="8"/>
        <v>Manaus-AC/RO/Mad_1500__kV_220</v>
      </c>
      <c r="C86" s="405">
        <v>813</v>
      </c>
      <c r="D86" s="406" t="str">
        <f>VLOOKUP(C86,tab_corredor!$A$2:$B$50,2,0)</f>
        <v>Manaus-AC/RO/Mad</v>
      </c>
      <c r="E86" s="23">
        <v>1500</v>
      </c>
      <c r="F86" s="23" t="s">
        <v>2724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405">
        <v>1</v>
      </c>
      <c r="L86" s="405" t="s">
        <v>2672</v>
      </c>
      <c r="M86" s="23">
        <v>2015</v>
      </c>
      <c r="N86" s="405">
        <v>2100</v>
      </c>
      <c r="O86" s="292">
        <v>25</v>
      </c>
      <c r="P86" s="407">
        <v>2700</v>
      </c>
      <c r="Q86" s="408">
        <v>1</v>
      </c>
      <c r="R86" s="405"/>
      <c r="S86" s="409">
        <f t="shared" si="10"/>
        <v>2700</v>
      </c>
      <c r="T86" s="148">
        <f ca="1">IF(S86=0,"",S86*(OFFSET(cod_desembolso!$A$1,Q86,23)))</f>
        <v>2805.9223082615817</v>
      </c>
      <c r="U86" s="410">
        <f>(constantes!$B$3*(1+constantes!$B$3)^(O86))/((1+constantes!$B$3)^(O86)-1)</f>
        <v>9.3678779051968114E-2</v>
      </c>
      <c r="V86" s="409">
        <f t="shared" ca="1" si="9"/>
        <v>262.85537595262508</v>
      </c>
      <c r="W86" s="409">
        <f ca="1">(IF(S86=0,"",V86/constantes!$B$3))*1</f>
        <v>3285.6921994078134</v>
      </c>
      <c r="X86" s="411">
        <f ca="1">IF(S86=0,"",PV(constantes!$B$3,O86,-V86)*constantes!$B$3)</f>
        <v>224.47378466092658</v>
      </c>
      <c r="Y86" s="412">
        <f t="shared" si="11"/>
        <v>1800</v>
      </c>
      <c r="Z86">
        <v>220</v>
      </c>
    </row>
    <row r="87" spans="1:29">
      <c r="A87" s="290">
        <v>7221</v>
      </c>
      <c r="B87" s="413" t="str">
        <f t="shared" si="8"/>
        <v>Manaus-AC/RO/Mad_1500__kV_221</v>
      </c>
      <c r="C87" s="413">
        <v>813</v>
      </c>
      <c r="D87" s="414" t="str">
        <f>VLOOKUP(C87,tab_corredor!$A$2:$B$50,2,0)</f>
        <v>Manaus-AC/RO/Mad</v>
      </c>
      <c r="E87" s="23">
        <v>1500</v>
      </c>
      <c r="F87" s="23" t="s">
        <v>2724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413">
        <v>1</v>
      </c>
      <c r="L87" s="413" t="s">
        <v>2672</v>
      </c>
      <c r="M87" s="23">
        <v>2015</v>
      </c>
      <c r="N87" s="413">
        <v>2100</v>
      </c>
      <c r="O87" s="292">
        <v>25</v>
      </c>
      <c r="P87" s="415">
        <v>2700</v>
      </c>
      <c r="Q87" s="416">
        <v>1</v>
      </c>
      <c r="R87" s="413"/>
      <c r="S87" s="409">
        <f t="shared" si="10"/>
        <v>2700</v>
      </c>
      <c r="T87" s="148">
        <f ca="1">IF(S87=0,"",S87*(OFFSET(cod_desembolso!$A$1,Q87,23)))</f>
        <v>2805.9223082615817</v>
      </c>
      <c r="U87" s="418">
        <f>(constantes!$B$3*(1+constantes!$B$3)^(O87))/((1+constantes!$B$3)^(O87)-1)</f>
        <v>9.3678779051968114E-2</v>
      </c>
      <c r="V87" s="417">
        <f t="shared" ca="1" si="9"/>
        <v>262.85537595262508</v>
      </c>
      <c r="W87" s="417">
        <f ca="1">(IF(S87=0,"",V87/constantes!$B$3))*1</f>
        <v>3285.6921994078134</v>
      </c>
      <c r="X87" s="419">
        <f ca="1">IF(S87=0,"",PV(constantes!$B$3,O87,-V87)*constantes!$B$3)</f>
        <v>224.47378466092658</v>
      </c>
      <c r="Y87" s="420">
        <f t="shared" si="11"/>
        <v>1800</v>
      </c>
      <c r="Z87">
        <v>221</v>
      </c>
      <c r="AA87" s="396"/>
      <c r="AB87" s="396"/>
      <c r="AC87" s="396"/>
    </row>
    <row r="88" spans="1:29">
      <c r="A88" s="290">
        <v>7222</v>
      </c>
      <c r="B88" s="405" t="str">
        <f t="shared" si="8"/>
        <v>Manaus-AC/RO/Mad_1500__kV_222</v>
      </c>
      <c r="C88" s="405">
        <v>813</v>
      </c>
      <c r="D88" s="406" t="str">
        <f>VLOOKUP(C88,tab_corredor!$A$2:$B$50,2,0)</f>
        <v>Manaus-AC/RO/Mad</v>
      </c>
      <c r="E88" s="23">
        <v>1500</v>
      </c>
      <c r="F88" s="23" t="s">
        <v>2724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405">
        <v>1</v>
      </c>
      <c r="L88" s="405" t="s">
        <v>2672</v>
      </c>
      <c r="M88" s="23">
        <v>2015</v>
      </c>
      <c r="N88" s="405">
        <v>2100</v>
      </c>
      <c r="O88" s="292">
        <v>25</v>
      </c>
      <c r="P88" s="407">
        <v>2700</v>
      </c>
      <c r="Q88" s="408">
        <v>1</v>
      </c>
      <c r="R88" s="405"/>
      <c r="S88" s="409">
        <f t="shared" si="10"/>
        <v>2700</v>
      </c>
      <c r="T88" s="148">
        <f ca="1">IF(S88=0,"",S88*(OFFSET(cod_desembolso!$A$1,Q88,23)))</f>
        <v>2805.9223082615817</v>
      </c>
      <c r="U88" s="410">
        <f>(constantes!$B$3*(1+constantes!$B$3)^(O88))/((1+constantes!$B$3)^(O88)-1)</f>
        <v>9.3678779051968114E-2</v>
      </c>
      <c r="V88" s="409">
        <f t="shared" ca="1" si="9"/>
        <v>262.85537595262508</v>
      </c>
      <c r="W88" s="409">
        <f ca="1">(IF(S88=0,"",V88/constantes!$B$3))*1</f>
        <v>3285.6921994078134</v>
      </c>
      <c r="X88" s="411">
        <f ca="1">IF(S88=0,"",PV(constantes!$B$3,O88,-V88)*constantes!$B$3)</f>
        <v>224.47378466092658</v>
      </c>
      <c r="Y88" s="412">
        <f t="shared" si="11"/>
        <v>1800</v>
      </c>
      <c r="Z88">
        <v>222</v>
      </c>
      <c r="AA88" s="396"/>
      <c r="AB88" s="396"/>
      <c r="AC88" s="396"/>
    </row>
    <row r="89" spans="1:29">
      <c r="A89" s="290">
        <v>7223</v>
      </c>
      <c r="B89" s="405" t="str">
        <f t="shared" si="8"/>
        <v>Manaus-AC/RO/Mad_1500__kV_223</v>
      </c>
      <c r="C89" s="405">
        <v>813</v>
      </c>
      <c r="D89" s="406" t="str">
        <f>VLOOKUP(C89,tab_corredor!$A$2:$B$50,2,0)</f>
        <v>Manaus-AC/RO/Mad</v>
      </c>
      <c r="E89" s="23">
        <v>1500</v>
      </c>
      <c r="F89" s="23" t="s">
        <v>2724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405">
        <v>1</v>
      </c>
      <c r="L89" s="405" t="s">
        <v>2672</v>
      </c>
      <c r="M89" s="23">
        <v>2015</v>
      </c>
      <c r="N89" s="405">
        <v>2100</v>
      </c>
      <c r="O89" s="292">
        <v>25</v>
      </c>
      <c r="P89" s="407">
        <v>2700</v>
      </c>
      <c r="Q89" s="408">
        <v>1</v>
      </c>
      <c r="R89" s="405"/>
      <c r="S89" s="409">
        <f t="shared" si="10"/>
        <v>2700</v>
      </c>
      <c r="T89" s="148">
        <f ca="1">IF(S89=0,"",S89*(OFFSET(cod_desembolso!$A$1,Q89,23)))</f>
        <v>2805.9223082615817</v>
      </c>
      <c r="U89" s="410">
        <f>(constantes!$B$3*(1+constantes!$B$3)^(O89))/((1+constantes!$B$3)^(O89)-1)</f>
        <v>9.3678779051968114E-2</v>
      </c>
      <c r="V89" s="409">
        <f t="shared" ca="1" si="9"/>
        <v>262.85537595262508</v>
      </c>
      <c r="W89" s="409">
        <f ca="1">(IF(S89=0,"",V89/constantes!$B$3))*1</f>
        <v>3285.6921994078134</v>
      </c>
      <c r="X89" s="411">
        <f ca="1">IF(S89=0,"",PV(constantes!$B$3,O89,-V89)*constantes!$B$3)</f>
        <v>224.47378466092658</v>
      </c>
      <c r="Y89" s="412">
        <f t="shared" si="11"/>
        <v>1800</v>
      </c>
      <c r="Z89">
        <v>223</v>
      </c>
      <c r="AA89" s="396"/>
      <c r="AB89" s="396"/>
      <c r="AC89" s="396"/>
    </row>
    <row r="90" spans="1:29">
      <c r="A90" s="290">
        <v>7224</v>
      </c>
      <c r="B90" s="405" t="str">
        <f t="shared" si="8"/>
        <v>Manaus-AC/RO/Mad_1500__kV_224</v>
      </c>
      <c r="C90" s="405">
        <v>813</v>
      </c>
      <c r="D90" s="406" t="str">
        <f>VLOOKUP(C90,tab_corredor!$A$2:$B$50,2,0)</f>
        <v>Manaus-AC/RO/Mad</v>
      </c>
      <c r="E90" s="23">
        <v>1500</v>
      </c>
      <c r="F90" s="23" t="s">
        <v>2724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405">
        <v>1</v>
      </c>
      <c r="L90" s="405" t="s">
        <v>2672</v>
      </c>
      <c r="M90" s="23">
        <v>2015</v>
      </c>
      <c r="N90" s="405">
        <v>2100</v>
      </c>
      <c r="O90" s="292">
        <v>25</v>
      </c>
      <c r="P90" s="407">
        <v>2700</v>
      </c>
      <c r="Q90" s="408">
        <v>1</v>
      </c>
      <c r="R90" s="405"/>
      <c r="S90" s="409">
        <f t="shared" si="10"/>
        <v>2700</v>
      </c>
      <c r="T90" s="148">
        <f ca="1">IF(S90=0,"",S90*(OFFSET(cod_desembolso!$A$1,Q90,23)))</f>
        <v>2805.9223082615817</v>
      </c>
      <c r="U90" s="410">
        <f>(constantes!$B$3*(1+constantes!$B$3)^(O90))/((1+constantes!$B$3)^(O90)-1)</f>
        <v>9.3678779051968114E-2</v>
      </c>
      <c r="V90" s="409">
        <f t="shared" ca="1" si="9"/>
        <v>262.85537595262508</v>
      </c>
      <c r="W90" s="409">
        <f ca="1">(IF(S90=0,"",V90/constantes!$B$3))*1</f>
        <v>3285.6921994078134</v>
      </c>
      <c r="X90" s="411">
        <f ca="1">IF(S90=0,"",PV(constantes!$B$3,O90,-V90)*constantes!$B$3)</f>
        <v>224.47378466092658</v>
      </c>
      <c r="Y90" s="412">
        <f t="shared" si="11"/>
        <v>1800</v>
      </c>
      <c r="Z90">
        <v>224</v>
      </c>
      <c r="AA90" s="396"/>
      <c r="AB90" s="396"/>
      <c r="AC90" s="396"/>
    </row>
    <row r="91" spans="1:29">
      <c r="A91" s="290">
        <v>7225</v>
      </c>
      <c r="B91" s="405" t="str">
        <f t="shared" si="8"/>
        <v>Manaus-AC/RO/Mad_1500__kV_225</v>
      </c>
      <c r="C91" s="405">
        <v>813</v>
      </c>
      <c r="D91" s="406" t="str">
        <f>VLOOKUP(C91,tab_corredor!$A$2:$B$50,2,0)</f>
        <v>Manaus-AC/RO/Mad</v>
      </c>
      <c r="E91" s="23">
        <v>1500</v>
      </c>
      <c r="F91" s="23" t="s">
        <v>2724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405">
        <v>1</v>
      </c>
      <c r="L91" s="405" t="s">
        <v>2672</v>
      </c>
      <c r="M91" s="23">
        <v>2015</v>
      </c>
      <c r="N91" s="405">
        <v>2100</v>
      </c>
      <c r="O91" s="292">
        <v>25</v>
      </c>
      <c r="P91" s="407">
        <v>2700</v>
      </c>
      <c r="Q91" s="408">
        <v>1</v>
      </c>
      <c r="R91" s="405"/>
      <c r="S91" s="409">
        <f t="shared" si="10"/>
        <v>2700</v>
      </c>
      <c r="T91" s="148">
        <f ca="1">IF(S91=0,"",S91*(OFFSET(cod_desembolso!$A$1,Q91,23)))</f>
        <v>2805.9223082615817</v>
      </c>
      <c r="U91" s="410">
        <f>(constantes!$B$3*(1+constantes!$B$3)^(O91))/((1+constantes!$B$3)^(O91)-1)</f>
        <v>9.3678779051968114E-2</v>
      </c>
      <c r="V91" s="409">
        <f t="shared" ca="1" si="9"/>
        <v>262.85537595262508</v>
      </c>
      <c r="W91" s="409">
        <f ca="1">(IF(S91=0,"",V91/constantes!$B$3))*1</f>
        <v>3285.6921994078134</v>
      </c>
      <c r="X91" s="411">
        <f ca="1">IF(S91=0,"",PV(constantes!$B$3,O91,-V91)*constantes!$B$3)</f>
        <v>224.47378466092658</v>
      </c>
      <c r="Y91" s="412">
        <f t="shared" si="11"/>
        <v>1800</v>
      </c>
      <c r="Z91">
        <v>225</v>
      </c>
      <c r="AA91" s="421"/>
      <c r="AB91" s="421"/>
      <c r="AC91" s="421"/>
    </row>
    <row r="92" spans="1:29">
      <c r="A92" s="290">
        <v>7226</v>
      </c>
      <c r="B92" s="405" t="str">
        <f t="shared" si="8"/>
        <v>Manaus-AC/RO/Mad_1500__kV_226</v>
      </c>
      <c r="C92" s="405">
        <v>813</v>
      </c>
      <c r="D92" s="406" t="str">
        <f>VLOOKUP(C92,tab_corredor!$A$2:$B$50,2,0)</f>
        <v>Manaus-AC/RO/Mad</v>
      </c>
      <c r="E92" s="23">
        <v>1500</v>
      </c>
      <c r="F92" s="23" t="s">
        <v>2724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405">
        <v>1</v>
      </c>
      <c r="L92" s="405" t="s">
        <v>2672</v>
      </c>
      <c r="M92" s="23">
        <v>2015</v>
      </c>
      <c r="N92" s="405">
        <v>2100</v>
      </c>
      <c r="O92" s="292">
        <v>25</v>
      </c>
      <c r="P92" s="407">
        <v>2700</v>
      </c>
      <c r="Q92" s="408">
        <v>1</v>
      </c>
      <c r="R92" s="405"/>
      <c r="S92" s="409">
        <f t="shared" si="10"/>
        <v>2700</v>
      </c>
      <c r="T92" s="148">
        <f ca="1">IF(S92=0,"",S92*(OFFSET(cod_desembolso!$A$1,Q92,23)))</f>
        <v>2805.9223082615817</v>
      </c>
      <c r="U92" s="410">
        <f>(constantes!$B$3*(1+constantes!$B$3)^(O92))/((1+constantes!$B$3)^(O92)-1)</f>
        <v>9.3678779051968114E-2</v>
      </c>
      <c r="V92" s="409">
        <f t="shared" ca="1" si="9"/>
        <v>262.85537595262508</v>
      </c>
      <c r="W92" s="409">
        <f ca="1">(IF(S92=0,"",V92/constantes!$B$3))*1</f>
        <v>3285.6921994078134</v>
      </c>
      <c r="X92" s="411">
        <f ca="1">IF(S92=0,"",PV(constantes!$B$3,O92,-V92)*constantes!$B$3)</f>
        <v>224.47378466092658</v>
      </c>
      <c r="Y92" s="412">
        <f t="shared" si="11"/>
        <v>1800</v>
      </c>
      <c r="Z92">
        <v>226</v>
      </c>
      <c r="AA92" s="396"/>
      <c r="AB92" s="396"/>
      <c r="AC92" s="396"/>
    </row>
    <row r="93" spans="1:29">
      <c r="A93" s="290">
        <v>7144</v>
      </c>
      <c r="B93" s="23" t="str">
        <f t="shared" si="8"/>
        <v>NE-Imp_1500__kV_144</v>
      </c>
      <c r="C93" s="23">
        <v>808</v>
      </c>
      <c r="D93" s="142" t="str">
        <f>VLOOKUP(C93,tab_corredor!$A$2:$B$50,2,0)</f>
        <v>NE-Imp</v>
      </c>
      <c r="E93" s="23">
        <v>1500</v>
      </c>
      <c r="F93" s="23" t="s">
        <v>2724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2672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10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9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11"/>
        <v>1400</v>
      </c>
      <c r="Z93">
        <v>144</v>
      </c>
    </row>
    <row r="94" spans="1:29">
      <c r="A94" s="290">
        <v>7145</v>
      </c>
      <c r="B94" s="23" t="str">
        <f t="shared" si="8"/>
        <v>NE-Imp_1500__kV_145</v>
      </c>
      <c r="C94" s="23">
        <v>808</v>
      </c>
      <c r="D94" s="142" t="str">
        <f>VLOOKUP(C94,tab_corredor!$A$2:$B$50,2,0)</f>
        <v>NE-Imp</v>
      </c>
      <c r="E94" s="23">
        <v>1500</v>
      </c>
      <c r="F94" s="23" t="s">
        <v>2724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2672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10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9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11"/>
        <v>1400</v>
      </c>
      <c r="Z94">
        <v>145</v>
      </c>
    </row>
    <row r="95" spans="1:29">
      <c r="A95" s="290">
        <v>7146</v>
      </c>
      <c r="B95" s="23" t="str">
        <f t="shared" si="8"/>
        <v>NE-Imp_1500__kV_146</v>
      </c>
      <c r="C95" s="23">
        <v>808</v>
      </c>
      <c r="D95" s="142" t="str">
        <f>VLOOKUP(C95,tab_corredor!$A$2:$B$50,2,0)</f>
        <v>NE-Imp</v>
      </c>
      <c r="E95" s="23">
        <v>1500</v>
      </c>
      <c r="F95" s="23" t="s">
        <v>2724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2672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10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9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11"/>
        <v>1400</v>
      </c>
      <c r="Z95">
        <v>146</v>
      </c>
    </row>
    <row r="96" spans="1:29">
      <c r="A96" s="290">
        <v>7147</v>
      </c>
      <c r="B96" s="23" t="str">
        <f t="shared" si="8"/>
        <v>NE-Imp_1500__kV_147</v>
      </c>
      <c r="C96" s="23">
        <v>808</v>
      </c>
      <c r="D96" s="142" t="str">
        <f>VLOOKUP(C96,tab_corredor!$A$2:$B$50,2,0)</f>
        <v>NE-Imp</v>
      </c>
      <c r="E96" s="23">
        <v>1500</v>
      </c>
      <c r="F96" s="23" t="s">
        <v>2724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2672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10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9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11"/>
        <v>1400</v>
      </c>
      <c r="Z96">
        <v>147</v>
      </c>
    </row>
    <row r="97" spans="1:29">
      <c r="A97" s="290">
        <v>7148</v>
      </c>
      <c r="B97" s="23" t="str">
        <f t="shared" si="8"/>
        <v>NE-Imp_1500__kV_148</v>
      </c>
      <c r="C97" s="23">
        <v>808</v>
      </c>
      <c r="D97" s="142" t="str">
        <f>VLOOKUP(C97,tab_corredor!$A$2:$B$50,2,0)</f>
        <v>NE-Imp</v>
      </c>
      <c r="E97" s="23">
        <v>1500</v>
      </c>
      <c r="F97" s="23" t="s">
        <v>2724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2672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10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9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11"/>
        <v>1400</v>
      </c>
      <c r="Z97">
        <v>148</v>
      </c>
    </row>
    <row r="98" spans="1:29">
      <c r="A98" s="290">
        <v>7149</v>
      </c>
      <c r="B98" s="23" t="str">
        <f t="shared" si="8"/>
        <v>NE-Imp_1500__kV_149</v>
      </c>
      <c r="C98" s="23">
        <v>808</v>
      </c>
      <c r="D98" s="142" t="str">
        <f>VLOOKUP(C98,tab_corredor!$A$2:$B$50,2,0)</f>
        <v>NE-Imp</v>
      </c>
      <c r="E98" s="23">
        <v>1500</v>
      </c>
      <c r="F98" s="23" t="s">
        <v>2724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2672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10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9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11"/>
        <v>1400</v>
      </c>
      <c r="Z98">
        <v>149</v>
      </c>
    </row>
    <row r="99" spans="1:29">
      <c r="A99" s="290">
        <v>7150</v>
      </c>
      <c r="B99" s="23" t="str">
        <f t="shared" si="8"/>
        <v>NE-Imp_1500__kV_150</v>
      </c>
      <c r="C99" s="23">
        <v>808</v>
      </c>
      <c r="D99" s="142" t="str">
        <f>VLOOKUP(C99,tab_corredor!$A$2:$B$50,2,0)</f>
        <v>NE-Imp</v>
      </c>
      <c r="E99" s="23">
        <v>1500</v>
      </c>
      <c r="F99" s="23" t="s">
        <v>2724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2672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10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9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11"/>
        <v>1400</v>
      </c>
      <c r="Z99">
        <v>150</v>
      </c>
      <c r="AA99">
        <v>1500</v>
      </c>
      <c r="AB99">
        <f>AA99*1000*AC99/10^6</f>
        <v>1800</v>
      </c>
      <c r="AC99">
        <v>1200</v>
      </c>
    </row>
    <row r="100" spans="1:29">
      <c r="A100" s="290">
        <v>7151</v>
      </c>
      <c r="B100" s="23" t="str">
        <f t="shared" si="8"/>
        <v>NE-Imp_1500__kV_151</v>
      </c>
      <c r="C100" s="23">
        <v>808</v>
      </c>
      <c r="D100" s="142" t="str">
        <f>VLOOKUP(C100,tab_corredor!$A$2:$B$50,2,0)</f>
        <v>NE-Imp</v>
      </c>
      <c r="E100" s="23">
        <v>1500</v>
      </c>
      <c r="F100" s="23" t="s">
        <v>2724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2672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10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9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11"/>
        <v>1400</v>
      </c>
      <c r="Z100">
        <v>151</v>
      </c>
    </row>
    <row r="101" spans="1:29">
      <c r="A101" s="290">
        <v>7152</v>
      </c>
      <c r="B101" s="23" t="str">
        <f t="shared" si="8"/>
        <v>NE-Imp_1500__kV_152</v>
      </c>
      <c r="C101" s="23">
        <v>808</v>
      </c>
      <c r="D101" s="142" t="str">
        <f>VLOOKUP(C101,tab_corredor!$A$2:$B$50,2,0)</f>
        <v>NE-Imp</v>
      </c>
      <c r="E101" s="23">
        <v>1500</v>
      </c>
      <c r="F101" s="23" t="s">
        <v>2724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2672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10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9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11"/>
        <v>1400</v>
      </c>
      <c r="Z101">
        <v>152</v>
      </c>
    </row>
    <row r="102" spans="1:29">
      <c r="A102" s="290">
        <v>7153</v>
      </c>
      <c r="B102" s="23" t="str">
        <f t="shared" si="8"/>
        <v>NE-Imp_1500__kV_153</v>
      </c>
      <c r="C102" s="23">
        <v>808</v>
      </c>
      <c r="D102" s="142" t="str">
        <f>VLOOKUP(C102,tab_corredor!$A$2:$B$50,2,0)</f>
        <v>NE-Imp</v>
      </c>
      <c r="E102" s="23">
        <v>1500</v>
      </c>
      <c r="F102" s="23" t="s">
        <v>2724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2672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10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9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11"/>
        <v>1400</v>
      </c>
      <c r="Z102">
        <v>153</v>
      </c>
    </row>
    <row r="103" spans="1:29">
      <c r="A103" s="290">
        <v>7154</v>
      </c>
      <c r="B103" s="23" t="str">
        <f t="shared" si="8"/>
        <v>NE-Imp_1500__kV_154</v>
      </c>
      <c r="C103" s="23">
        <v>808</v>
      </c>
      <c r="D103" s="142" t="str">
        <f>VLOOKUP(C103,tab_corredor!$A$2:$B$50,2,0)</f>
        <v>NE-Imp</v>
      </c>
      <c r="E103" s="23">
        <v>1500</v>
      </c>
      <c r="F103" s="23" t="s">
        <v>2724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2672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10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9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11"/>
        <v>1400</v>
      </c>
      <c r="Z103">
        <v>154</v>
      </c>
    </row>
    <row r="104" spans="1:29">
      <c r="A104" s="290">
        <v>7155</v>
      </c>
      <c r="B104" s="23" t="str">
        <f t="shared" si="8"/>
        <v>NE-Imp_1500__kV_155</v>
      </c>
      <c r="C104" s="23">
        <v>808</v>
      </c>
      <c r="D104" s="142" t="str">
        <f>VLOOKUP(C104,tab_corredor!$A$2:$B$50,2,0)</f>
        <v>NE-Imp</v>
      </c>
      <c r="E104" s="23">
        <v>1500</v>
      </c>
      <c r="F104" s="23" t="s">
        <v>2724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2672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10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9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11"/>
        <v>1400</v>
      </c>
      <c r="Z104">
        <v>155</v>
      </c>
    </row>
    <row r="105" spans="1:29">
      <c r="A105" s="290">
        <v>7156</v>
      </c>
      <c r="B105" s="23" t="str">
        <f t="shared" si="8"/>
        <v>NE-Imp_1500__kV_156</v>
      </c>
      <c r="C105" s="23">
        <v>808</v>
      </c>
      <c r="D105" s="142" t="str">
        <f>VLOOKUP(C105,tab_corredor!$A$2:$B$50,2,0)</f>
        <v>NE-Imp</v>
      </c>
      <c r="E105" s="23">
        <v>1500</v>
      </c>
      <c r="F105" s="23" t="s">
        <v>2724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2672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10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9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11"/>
        <v>1400</v>
      </c>
      <c r="Z105">
        <v>156</v>
      </c>
    </row>
    <row r="106" spans="1:29">
      <c r="A106" s="290">
        <v>7157</v>
      </c>
      <c r="B106" s="23" t="str">
        <f t="shared" si="8"/>
        <v>NE-Imp_1500__kV_157</v>
      </c>
      <c r="C106" s="23">
        <v>808</v>
      </c>
      <c r="D106" s="142" t="str">
        <f>VLOOKUP(C106,tab_corredor!$A$2:$B$50,2,0)</f>
        <v>NE-Imp</v>
      </c>
      <c r="E106" s="23">
        <v>1500</v>
      </c>
      <c r="F106" s="23" t="s">
        <v>2724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2672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10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9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11"/>
        <v>1400</v>
      </c>
      <c r="Z106">
        <v>157</v>
      </c>
    </row>
    <row r="107" spans="1:29">
      <c r="A107" s="290">
        <v>7158</v>
      </c>
      <c r="B107" s="23" t="str">
        <f t="shared" si="8"/>
        <v>NE-Imp_1500__kV_158</v>
      </c>
      <c r="C107" s="23">
        <v>808</v>
      </c>
      <c r="D107" s="142" t="str">
        <f>VLOOKUP(C107,tab_corredor!$A$2:$B$50,2,0)</f>
        <v>NE-Imp</v>
      </c>
      <c r="E107" s="23">
        <v>1500</v>
      </c>
      <c r="F107" s="23" t="s">
        <v>2724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2672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10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9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11"/>
        <v>1400</v>
      </c>
      <c r="Z107">
        <v>158</v>
      </c>
    </row>
    <row r="108" spans="1:29">
      <c r="A108" s="290">
        <v>7159</v>
      </c>
      <c r="B108" s="23" t="str">
        <f t="shared" si="8"/>
        <v>NE-Imp_1500__kV_159</v>
      </c>
      <c r="C108" s="23">
        <v>808</v>
      </c>
      <c r="D108" s="142" t="str">
        <f>VLOOKUP(C108,tab_corredor!$A$2:$B$50,2,0)</f>
        <v>NE-Imp</v>
      </c>
      <c r="E108" s="23">
        <v>1500</v>
      </c>
      <c r="F108" s="23" t="s">
        <v>2724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2672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10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9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11"/>
        <v>1400</v>
      </c>
      <c r="Z108">
        <v>159</v>
      </c>
    </row>
    <row r="109" spans="1:29">
      <c r="A109" s="290">
        <v>7160</v>
      </c>
      <c r="B109" s="23" t="str">
        <f t="shared" si="8"/>
        <v>NE-Imp_1500__kV_160</v>
      </c>
      <c r="C109" s="23">
        <v>808</v>
      </c>
      <c r="D109" s="142" t="str">
        <f>VLOOKUP(C109,tab_corredor!$A$2:$B$50,2,0)</f>
        <v>NE-Imp</v>
      </c>
      <c r="E109" s="23">
        <v>1500</v>
      </c>
      <c r="F109" s="23" t="s">
        <v>2724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2672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10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9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11"/>
        <v>1400</v>
      </c>
      <c r="Z109">
        <v>160</v>
      </c>
    </row>
    <row r="110" spans="1:29">
      <c r="A110" s="290">
        <v>7161</v>
      </c>
      <c r="B110" s="23" t="str">
        <f t="shared" si="8"/>
        <v>NE-Imp_1500__kV_161</v>
      </c>
      <c r="C110" s="23">
        <v>808</v>
      </c>
      <c r="D110" s="142" t="str">
        <f>VLOOKUP(C110,tab_corredor!$A$2:$B$50,2,0)</f>
        <v>NE-Imp</v>
      </c>
      <c r="E110" s="23">
        <v>1500</v>
      </c>
      <c r="F110" s="23" t="s">
        <v>2724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2672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10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9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11"/>
        <v>1400</v>
      </c>
      <c r="Z110">
        <v>161</v>
      </c>
    </row>
    <row r="111" spans="1:29">
      <c r="A111" s="290">
        <v>7162</v>
      </c>
      <c r="B111" s="23" t="str">
        <f t="shared" si="8"/>
        <v>NE-Imp_1500__kV_162</v>
      </c>
      <c r="C111" s="23">
        <v>808</v>
      </c>
      <c r="D111" s="142" t="str">
        <f>VLOOKUP(C111,tab_corredor!$A$2:$B$50,2,0)</f>
        <v>NE-Imp</v>
      </c>
      <c r="E111" s="23">
        <v>1500</v>
      </c>
      <c r="F111" s="23" t="s">
        <v>2724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2672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10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9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11"/>
        <v>1400</v>
      </c>
      <c r="Z111">
        <v>162</v>
      </c>
    </row>
    <row r="112" spans="1:29">
      <c r="A112" s="290">
        <v>7163</v>
      </c>
      <c r="B112" s="23" t="str">
        <f t="shared" si="8"/>
        <v>NE-Imp_1500__kV_163</v>
      </c>
      <c r="C112" s="23">
        <v>808</v>
      </c>
      <c r="D112" s="142" t="str">
        <f>VLOOKUP(C112,tab_corredor!$A$2:$B$50,2,0)</f>
        <v>NE-Imp</v>
      </c>
      <c r="E112" s="23">
        <v>1500</v>
      </c>
      <c r="F112" s="23" t="s">
        <v>2724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2672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10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9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11"/>
        <v>1400</v>
      </c>
      <c r="Z112">
        <v>163</v>
      </c>
    </row>
    <row r="113" spans="1:29">
      <c r="A113" s="290">
        <v>7278</v>
      </c>
      <c r="B113" s="23" t="str">
        <f t="shared" si="8"/>
        <v>NE-Imp_1500__kV_278</v>
      </c>
      <c r="C113" s="23">
        <v>808</v>
      </c>
      <c r="D113" s="142" t="str">
        <f>VLOOKUP(C113,tab_corredor!$A$2:$B$50,2,0)</f>
        <v>NE-Imp</v>
      </c>
      <c r="E113" s="23">
        <v>1500</v>
      </c>
      <c r="F113" s="23" t="s">
        <v>2724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2672</v>
      </c>
      <c r="M113" s="23">
        <v>2015</v>
      </c>
      <c r="N113" s="23">
        <v>2100</v>
      </c>
      <c r="O113" s="292">
        <v>25</v>
      </c>
      <c r="P113" s="293">
        <v>2100</v>
      </c>
      <c r="Q113" s="294">
        <v>1</v>
      </c>
      <c r="R113" s="23"/>
      <c r="S113" s="148">
        <f t="shared" si="10"/>
        <v>2100</v>
      </c>
      <c r="T113" s="148">
        <f ca="1">IF(S113=0,"",S113*(OFFSET(cod_desembolso!$A$1,Q113,23)))</f>
        <v>2182.3840175367854</v>
      </c>
      <c r="U113" s="149">
        <f>(constantes!$B$3*(1+constantes!$B$3)^(O113))/((1+constantes!$B$3)^(O113)-1)</f>
        <v>9.3678779051968114E-2</v>
      </c>
      <c r="V113" s="148">
        <f t="shared" ca="1" si="9"/>
        <v>204.44307018537503</v>
      </c>
      <c r="W113" s="148">
        <f ca="1">(IF(S113=0,"",V113/constantes!$B$3))*1</f>
        <v>2555.538377317188</v>
      </c>
      <c r="X113" s="150">
        <f ca="1">IF(S113=0,"",PV(constantes!$B$3,O113,-V113)*constantes!$B$3)</f>
        <v>174.59072140294285</v>
      </c>
      <c r="Y113" s="85">
        <f t="shared" si="11"/>
        <v>1400</v>
      </c>
      <c r="Z113">
        <v>278</v>
      </c>
    </row>
    <row r="114" spans="1:29">
      <c r="A114" s="290">
        <v>7279</v>
      </c>
      <c r="B114" s="23" t="str">
        <f t="shared" si="8"/>
        <v>NE-Imp_1500__kV_279</v>
      </c>
      <c r="C114" s="23">
        <v>808</v>
      </c>
      <c r="D114" s="142" t="str">
        <f>VLOOKUP(C114,tab_corredor!$A$2:$B$50,2,0)</f>
        <v>NE-Imp</v>
      </c>
      <c r="E114" s="23">
        <v>1500</v>
      </c>
      <c r="F114" s="23" t="s">
        <v>2724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2672</v>
      </c>
      <c r="M114" s="23">
        <v>2015</v>
      </c>
      <c r="N114" s="23">
        <v>2100</v>
      </c>
      <c r="O114" s="292">
        <v>25</v>
      </c>
      <c r="P114" s="293">
        <v>2100</v>
      </c>
      <c r="Q114" s="294">
        <v>1</v>
      </c>
      <c r="R114" s="23"/>
      <c r="S114" s="148">
        <f t="shared" si="10"/>
        <v>2100</v>
      </c>
      <c r="T114" s="148">
        <f ca="1">IF(S114=0,"",S114*(OFFSET(cod_desembolso!$A$1,Q114,23)))</f>
        <v>2182.3840175367854</v>
      </c>
      <c r="U114" s="149">
        <f>(constantes!$B$3*(1+constantes!$B$3)^(O114))/((1+constantes!$B$3)^(O114)-1)</f>
        <v>9.3678779051968114E-2</v>
      </c>
      <c r="V114" s="148">
        <f t="shared" ca="1" si="9"/>
        <v>204.44307018537503</v>
      </c>
      <c r="W114" s="148">
        <f ca="1">(IF(S114=0,"",V114/constantes!$B$3))*1</f>
        <v>2555.538377317188</v>
      </c>
      <c r="X114" s="150">
        <f ca="1">IF(S114=0,"",PV(constantes!$B$3,O114,-V114)*constantes!$B$3)</f>
        <v>174.59072140294285</v>
      </c>
      <c r="Y114" s="85">
        <f t="shared" si="11"/>
        <v>1400</v>
      </c>
      <c r="Z114">
        <v>279</v>
      </c>
    </row>
    <row r="115" spans="1:29">
      <c r="A115" s="290">
        <v>7280</v>
      </c>
      <c r="B115" s="23" t="str">
        <f t="shared" si="8"/>
        <v>NE-Imp_1500__kV_280</v>
      </c>
      <c r="C115" s="23">
        <v>808</v>
      </c>
      <c r="D115" s="142" t="str">
        <f>VLOOKUP(C115,tab_corredor!$A$2:$B$50,2,0)</f>
        <v>NE-Imp</v>
      </c>
      <c r="E115" s="23">
        <v>1500</v>
      </c>
      <c r="F115" s="23" t="s">
        <v>2724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2672</v>
      </c>
      <c r="M115" s="23">
        <v>2015</v>
      </c>
      <c r="N115" s="23">
        <v>2100</v>
      </c>
      <c r="O115" s="292">
        <v>25</v>
      </c>
      <c r="P115" s="293">
        <v>2100</v>
      </c>
      <c r="Q115" s="294">
        <v>1</v>
      </c>
      <c r="R115" s="23"/>
      <c r="S115" s="148">
        <f t="shared" si="10"/>
        <v>2100</v>
      </c>
      <c r="T115" s="148">
        <f ca="1">IF(S115=0,"",S115*(OFFSET(cod_desembolso!$A$1,Q115,23)))</f>
        <v>2182.3840175367854</v>
      </c>
      <c r="U115" s="149">
        <f>(constantes!$B$3*(1+constantes!$B$3)^(O115))/((1+constantes!$B$3)^(O115)-1)</f>
        <v>9.3678779051968114E-2</v>
      </c>
      <c r="V115" s="148">
        <f t="shared" ca="1" si="9"/>
        <v>204.44307018537503</v>
      </c>
      <c r="W115" s="148">
        <f ca="1">(IF(S115=0,"",V115/constantes!$B$3))*1</f>
        <v>2555.538377317188</v>
      </c>
      <c r="X115" s="150">
        <f ca="1">IF(S115=0,"",PV(constantes!$B$3,O115,-V115)*constantes!$B$3)</f>
        <v>174.59072140294285</v>
      </c>
      <c r="Y115" s="85">
        <f t="shared" si="11"/>
        <v>1400</v>
      </c>
      <c r="Z115">
        <v>280</v>
      </c>
    </row>
    <row r="116" spans="1:29">
      <c r="A116" s="290">
        <v>7281</v>
      </c>
      <c r="B116" s="23" t="str">
        <f t="shared" si="8"/>
        <v>NE-Imp_1500__kV_281</v>
      </c>
      <c r="C116" s="23">
        <v>808</v>
      </c>
      <c r="D116" s="142" t="str">
        <f>VLOOKUP(C116,tab_corredor!$A$2:$B$50,2,0)</f>
        <v>NE-Imp</v>
      </c>
      <c r="E116" s="23">
        <v>1500</v>
      </c>
      <c r="F116" s="23" t="s">
        <v>2724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2672</v>
      </c>
      <c r="M116" s="23">
        <v>2015</v>
      </c>
      <c r="N116" s="23">
        <v>2100</v>
      </c>
      <c r="O116" s="292">
        <v>25</v>
      </c>
      <c r="P116" s="293">
        <v>2100</v>
      </c>
      <c r="Q116" s="294">
        <v>1</v>
      </c>
      <c r="R116" s="23"/>
      <c r="S116" s="148">
        <f t="shared" si="10"/>
        <v>2100</v>
      </c>
      <c r="T116" s="148">
        <f ca="1">IF(S116=0,"",S116*(OFFSET(cod_desembolso!$A$1,Q116,23)))</f>
        <v>2182.3840175367854</v>
      </c>
      <c r="U116" s="149">
        <f>(constantes!$B$3*(1+constantes!$B$3)^(O116))/((1+constantes!$B$3)^(O116)-1)</f>
        <v>9.3678779051968114E-2</v>
      </c>
      <c r="V116" s="148">
        <f t="shared" ca="1" si="9"/>
        <v>204.44307018537503</v>
      </c>
      <c r="W116" s="148">
        <f ca="1">(IF(S116=0,"",V116/constantes!$B$3))*1</f>
        <v>2555.538377317188</v>
      </c>
      <c r="X116" s="150">
        <f ca="1">IF(S116=0,"",PV(constantes!$B$3,O116,-V116)*constantes!$B$3)</f>
        <v>174.59072140294285</v>
      </c>
      <c r="Y116" s="85">
        <f t="shared" si="11"/>
        <v>1400</v>
      </c>
      <c r="Z116">
        <v>281</v>
      </c>
    </row>
    <row r="117" spans="1:29">
      <c r="A117" s="290">
        <v>7282</v>
      </c>
      <c r="B117" s="23" t="str">
        <f t="shared" si="8"/>
        <v>NE-Imp_1500__kV_282</v>
      </c>
      <c r="C117" s="23">
        <v>808</v>
      </c>
      <c r="D117" s="142" t="str">
        <f>VLOOKUP(C117,tab_corredor!$A$2:$B$50,2,0)</f>
        <v>NE-Imp</v>
      </c>
      <c r="E117" s="23">
        <v>1500</v>
      </c>
      <c r="F117" s="23" t="s">
        <v>2724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2672</v>
      </c>
      <c r="M117" s="23">
        <v>2015</v>
      </c>
      <c r="N117" s="23">
        <v>2100</v>
      </c>
      <c r="O117" s="292">
        <v>25</v>
      </c>
      <c r="P117" s="293">
        <v>2100</v>
      </c>
      <c r="Q117" s="294">
        <v>1</v>
      </c>
      <c r="R117" s="23"/>
      <c r="S117" s="148">
        <f t="shared" si="10"/>
        <v>2100</v>
      </c>
      <c r="T117" s="148">
        <f ca="1">IF(S117=0,"",S117*(OFFSET(cod_desembolso!$A$1,Q117,23)))</f>
        <v>2182.3840175367854</v>
      </c>
      <c r="U117" s="149">
        <f>(constantes!$B$3*(1+constantes!$B$3)^(O117))/((1+constantes!$B$3)^(O117)-1)</f>
        <v>9.3678779051968114E-2</v>
      </c>
      <c r="V117" s="148">
        <f t="shared" ca="1" si="9"/>
        <v>204.44307018537503</v>
      </c>
      <c r="W117" s="148">
        <f ca="1">(IF(S117=0,"",V117/constantes!$B$3))*1</f>
        <v>2555.538377317188</v>
      </c>
      <c r="X117" s="150">
        <f ca="1">IF(S117=0,"",PV(constantes!$B$3,O117,-V117)*constantes!$B$3)</f>
        <v>174.59072140294285</v>
      </c>
      <c r="Y117" s="85">
        <f t="shared" si="11"/>
        <v>1400</v>
      </c>
      <c r="Z117">
        <v>282</v>
      </c>
    </row>
    <row r="118" spans="1:29">
      <c r="A118" s="290">
        <v>7283</v>
      </c>
      <c r="B118" s="23" t="str">
        <f t="shared" si="8"/>
        <v>NE-Imp_1500__kV_283</v>
      </c>
      <c r="C118" s="23">
        <v>808</v>
      </c>
      <c r="D118" s="142" t="str">
        <f>VLOOKUP(C118,tab_corredor!$A$2:$B$50,2,0)</f>
        <v>NE-Imp</v>
      </c>
      <c r="E118" s="23">
        <v>1500</v>
      </c>
      <c r="F118" s="23" t="s">
        <v>2724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2672</v>
      </c>
      <c r="M118" s="23">
        <v>2015</v>
      </c>
      <c r="N118" s="23">
        <v>2100</v>
      </c>
      <c r="O118" s="292">
        <v>25</v>
      </c>
      <c r="P118" s="293">
        <v>2100</v>
      </c>
      <c r="Q118" s="294">
        <v>1</v>
      </c>
      <c r="R118" s="23"/>
      <c r="S118" s="148">
        <f t="shared" si="10"/>
        <v>2100</v>
      </c>
      <c r="T118" s="148">
        <f ca="1">IF(S118=0,"",S118*(OFFSET(cod_desembolso!$A$1,Q118,23)))</f>
        <v>2182.3840175367854</v>
      </c>
      <c r="U118" s="149">
        <f>(constantes!$B$3*(1+constantes!$B$3)^(O118))/((1+constantes!$B$3)^(O118)-1)</f>
        <v>9.3678779051968114E-2</v>
      </c>
      <c r="V118" s="148">
        <f t="shared" ca="1" si="9"/>
        <v>204.44307018537503</v>
      </c>
      <c r="W118" s="148">
        <f ca="1">(IF(S118=0,"",V118/constantes!$B$3))*1</f>
        <v>2555.538377317188</v>
      </c>
      <c r="X118" s="150">
        <f ca="1">IF(S118=0,"",PV(constantes!$B$3,O118,-V118)*constantes!$B$3)</f>
        <v>174.59072140294285</v>
      </c>
      <c r="Y118" s="85">
        <f t="shared" si="11"/>
        <v>1400</v>
      </c>
      <c r="Z118">
        <v>283</v>
      </c>
    </row>
    <row r="119" spans="1:29">
      <c r="A119" s="290">
        <v>7284</v>
      </c>
      <c r="B119" s="23" t="str">
        <f t="shared" si="8"/>
        <v>NE-Imp_1500__kV_284</v>
      </c>
      <c r="C119" s="23">
        <v>808</v>
      </c>
      <c r="D119" s="142" t="str">
        <f>VLOOKUP(C119,tab_corredor!$A$2:$B$50,2,0)</f>
        <v>NE-Imp</v>
      </c>
      <c r="E119" s="23">
        <v>1500</v>
      </c>
      <c r="F119" s="23" t="s">
        <v>2724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2672</v>
      </c>
      <c r="M119" s="23">
        <v>2015</v>
      </c>
      <c r="N119" s="23">
        <v>2100</v>
      </c>
      <c r="O119" s="292">
        <v>25</v>
      </c>
      <c r="P119" s="293">
        <v>2100</v>
      </c>
      <c r="Q119" s="294">
        <v>1</v>
      </c>
      <c r="R119" s="23"/>
      <c r="S119" s="148">
        <f t="shared" si="10"/>
        <v>2100</v>
      </c>
      <c r="T119" s="148">
        <f ca="1">IF(S119=0,"",S119*(OFFSET(cod_desembolso!$A$1,Q119,23)))</f>
        <v>2182.3840175367854</v>
      </c>
      <c r="U119" s="149">
        <f>(constantes!$B$3*(1+constantes!$B$3)^(O119))/((1+constantes!$B$3)^(O119)-1)</f>
        <v>9.3678779051968114E-2</v>
      </c>
      <c r="V119" s="148">
        <f t="shared" ca="1" si="9"/>
        <v>204.44307018537503</v>
      </c>
      <c r="W119" s="148">
        <f ca="1">(IF(S119=0,"",V119/constantes!$B$3))*1</f>
        <v>2555.538377317188</v>
      </c>
      <c r="X119" s="150">
        <f ca="1">IF(S119=0,"",PV(constantes!$B$3,O119,-V119)*constantes!$B$3)</f>
        <v>174.59072140294285</v>
      </c>
      <c r="Y119" s="85">
        <f t="shared" si="11"/>
        <v>1400</v>
      </c>
      <c r="Z119">
        <v>284</v>
      </c>
      <c r="AA119">
        <v>1500</v>
      </c>
      <c r="AB119">
        <f>AA119*1000*AC119/10^6</f>
        <v>1800</v>
      </c>
      <c r="AC119">
        <v>1200</v>
      </c>
    </row>
    <row r="120" spans="1:29">
      <c r="A120" s="290">
        <v>7285</v>
      </c>
      <c r="B120" s="23" t="str">
        <f t="shared" si="8"/>
        <v>NE-Imp_1500__kV_285</v>
      </c>
      <c r="C120" s="23">
        <v>808</v>
      </c>
      <c r="D120" s="142" t="str">
        <f>VLOOKUP(C120,tab_corredor!$A$2:$B$50,2,0)</f>
        <v>NE-Imp</v>
      </c>
      <c r="E120" s="23">
        <v>1500</v>
      </c>
      <c r="F120" s="23" t="s">
        <v>2724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2672</v>
      </c>
      <c r="M120" s="23">
        <v>2015</v>
      </c>
      <c r="N120" s="23">
        <v>2100</v>
      </c>
      <c r="O120" s="292">
        <v>25</v>
      </c>
      <c r="P120" s="293">
        <v>2100</v>
      </c>
      <c r="Q120" s="294">
        <v>1</v>
      </c>
      <c r="R120" s="23"/>
      <c r="S120" s="148">
        <f t="shared" si="10"/>
        <v>2100</v>
      </c>
      <c r="T120" s="148">
        <f ca="1">IF(S120=0,"",S120*(OFFSET(cod_desembolso!$A$1,Q120,23)))</f>
        <v>2182.3840175367854</v>
      </c>
      <c r="U120" s="149">
        <f>(constantes!$B$3*(1+constantes!$B$3)^(O120))/((1+constantes!$B$3)^(O120)-1)</f>
        <v>9.3678779051968114E-2</v>
      </c>
      <c r="V120" s="148">
        <f t="shared" ca="1" si="9"/>
        <v>204.44307018537503</v>
      </c>
      <c r="W120" s="148">
        <f ca="1">(IF(S120=0,"",V120/constantes!$B$3))*1</f>
        <v>2555.538377317188</v>
      </c>
      <c r="X120" s="150">
        <f ca="1">IF(S120=0,"",PV(constantes!$B$3,O120,-V120)*constantes!$B$3)</f>
        <v>174.59072140294285</v>
      </c>
      <c r="Y120" s="85">
        <f t="shared" si="11"/>
        <v>1400</v>
      </c>
      <c r="Z120">
        <v>285</v>
      </c>
    </row>
    <row r="121" spans="1:29">
      <c r="A121" s="290">
        <v>7286</v>
      </c>
      <c r="B121" s="23" t="str">
        <f t="shared" si="8"/>
        <v>NE-Imp_1500__kV_286</v>
      </c>
      <c r="C121" s="23">
        <v>808</v>
      </c>
      <c r="D121" s="142" t="str">
        <f>VLOOKUP(C121,tab_corredor!$A$2:$B$50,2,0)</f>
        <v>NE-Imp</v>
      </c>
      <c r="E121" s="23">
        <v>1500</v>
      </c>
      <c r="F121" s="23" t="s">
        <v>2724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2672</v>
      </c>
      <c r="M121" s="23">
        <v>2015</v>
      </c>
      <c r="N121" s="23">
        <v>2100</v>
      </c>
      <c r="O121" s="292">
        <v>25</v>
      </c>
      <c r="P121" s="293">
        <v>2100</v>
      </c>
      <c r="Q121" s="294">
        <v>1</v>
      </c>
      <c r="R121" s="23"/>
      <c r="S121" s="148">
        <f t="shared" si="10"/>
        <v>2100</v>
      </c>
      <c r="T121" s="148">
        <f ca="1">IF(S121=0,"",S121*(OFFSET(cod_desembolso!$A$1,Q121,23)))</f>
        <v>2182.3840175367854</v>
      </c>
      <c r="U121" s="149">
        <f>(constantes!$B$3*(1+constantes!$B$3)^(O121))/((1+constantes!$B$3)^(O121)-1)</f>
        <v>9.3678779051968114E-2</v>
      </c>
      <c r="V121" s="148">
        <f t="shared" ca="1" si="9"/>
        <v>204.44307018537503</v>
      </c>
      <c r="W121" s="148">
        <f ca="1">(IF(S121=0,"",V121/constantes!$B$3))*1</f>
        <v>2555.538377317188</v>
      </c>
      <c r="X121" s="150">
        <f ca="1">IF(S121=0,"",PV(constantes!$B$3,O121,-V121)*constantes!$B$3)</f>
        <v>174.59072140294285</v>
      </c>
      <c r="Y121" s="85">
        <f t="shared" si="11"/>
        <v>1400</v>
      </c>
      <c r="Z121">
        <v>286</v>
      </c>
    </row>
    <row r="122" spans="1:29">
      <c r="A122" s="290">
        <v>7287</v>
      </c>
      <c r="B122" s="23" t="str">
        <f t="shared" si="8"/>
        <v>NE-Imp_1500__kV_287</v>
      </c>
      <c r="C122" s="23">
        <v>808</v>
      </c>
      <c r="D122" s="142" t="str">
        <f>VLOOKUP(C122,tab_corredor!$A$2:$B$50,2,0)</f>
        <v>NE-Imp</v>
      </c>
      <c r="E122" s="23">
        <v>1500</v>
      </c>
      <c r="F122" s="23" t="s">
        <v>2724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2672</v>
      </c>
      <c r="M122" s="23">
        <v>2015</v>
      </c>
      <c r="N122" s="23">
        <v>2100</v>
      </c>
      <c r="O122" s="292">
        <v>25</v>
      </c>
      <c r="P122" s="293">
        <v>2100</v>
      </c>
      <c r="Q122" s="294">
        <v>1</v>
      </c>
      <c r="R122" s="23"/>
      <c r="S122" s="148">
        <f t="shared" si="10"/>
        <v>2100</v>
      </c>
      <c r="T122" s="148">
        <f ca="1">IF(S122=0,"",S122*(OFFSET(cod_desembolso!$A$1,Q122,23)))</f>
        <v>2182.3840175367854</v>
      </c>
      <c r="U122" s="149">
        <f>(constantes!$B$3*(1+constantes!$B$3)^(O122))/((1+constantes!$B$3)^(O122)-1)</f>
        <v>9.3678779051968114E-2</v>
      </c>
      <c r="V122" s="148">
        <f t="shared" ca="1" si="9"/>
        <v>204.44307018537503</v>
      </c>
      <c r="W122" s="148">
        <f ca="1">(IF(S122=0,"",V122/constantes!$B$3))*1</f>
        <v>2555.538377317188</v>
      </c>
      <c r="X122" s="150">
        <f ca="1">IF(S122=0,"",PV(constantes!$B$3,O122,-V122)*constantes!$B$3)</f>
        <v>174.59072140294285</v>
      </c>
      <c r="Y122" s="85">
        <f t="shared" si="11"/>
        <v>1400</v>
      </c>
      <c r="Z122">
        <v>287</v>
      </c>
    </row>
    <row r="123" spans="1:29">
      <c r="A123" s="290">
        <v>7288</v>
      </c>
      <c r="B123" s="23" t="str">
        <f t="shared" si="8"/>
        <v>NE-Imp_1500__kV_288</v>
      </c>
      <c r="C123" s="23">
        <v>808</v>
      </c>
      <c r="D123" s="142" t="str">
        <f>VLOOKUP(C123,tab_corredor!$A$2:$B$50,2,0)</f>
        <v>NE-Imp</v>
      </c>
      <c r="E123" s="23">
        <v>1500</v>
      </c>
      <c r="F123" s="23" t="s">
        <v>2724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2672</v>
      </c>
      <c r="M123" s="23">
        <v>2015</v>
      </c>
      <c r="N123" s="23">
        <v>2100</v>
      </c>
      <c r="O123" s="292">
        <v>25</v>
      </c>
      <c r="P123" s="293">
        <v>2100</v>
      </c>
      <c r="Q123" s="294">
        <v>1</v>
      </c>
      <c r="R123" s="23"/>
      <c r="S123" s="148">
        <f t="shared" si="10"/>
        <v>2100</v>
      </c>
      <c r="T123" s="148">
        <f ca="1">IF(S123=0,"",S123*(OFFSET(cod_desembolso!$A$1,Q123,23)))</f>
        <v>2182.3840175367854</v>
      </c>
      <c r="U123" s="149">
        <f>(constantes!$B$3*(1+constantes!$B$3)^(O123))/((1+constantes!$B$3)^(O123)-1)</f>
        <v>9.3678779051968114E-2</v>
      </c>
      <c r="V123" s="148">
        <f t="shared" ca="1" si="9"/>
        <v>204.44307018537503</v>
      </c>
      <c r="W123" s="148">
        <f ca="1">(IF(S123=0,"",V123/constantes!$B$3))*1</f>
        <v>2555.538377317188</v>
      </c>
      <c r="X123" s="150">
        <f ca="1">IF(S123=0,"",PV(constantes!$B$3,O123,-V123)*constantes!$B$3)</f>
        <v>174.59072140294285</v>
      </c>
      <c r="Y123" s="85">
        <f t="shared" si="11"/>
        <v>1400</v>
      </c>
      <c r="Z123">
        <v>288</v>
      </c>
    </row>
    <row r="124" spans="1:29">
      <c r="A124" s="290">
        <v>7289</v>
      </c>
      <c r="B124" s="23" t="str">
        <f t="shared" si="8"/>
        <v>NE-Imp_1500__kV_289</v>
      </c>
      <c r="C124" s="23">
        <v>808</v>
      </c>
      <c r="D124" s="142" t="str">
        <f>VLOOKUP(C124,tab_corredor!$A$2:$B$50,2,0)</f>
        <v>NE-Imp</v>
      </c>
      <c r="E124" s="23">
        <v>1500</v>
      </c>
      <c r="F124" s="23" t="s">
        <v>2724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2672</v>
      </c>
      <c r="M124" s="23">
        <v>2015</v>
      </c>
      <c r="N124" s="23">
        <v>2100</v>
      </c>
      <c r="O124" s="292">
        <v>25</v>
      </c>
      <c r="P124" s="293">
        <v>2100</v>
      </c>
      <c r="Q124" s="294">
        <v>1</v>
      </c>
      <c r="R124" s="23"/>
      <c r="S124" s="148">
        <f t="shared" si="10"/>
        <v>2100</v>
      </c>
      <c r="T124" s="148">
        <f ca="1">IF(S124=0,"",S124*(OFFSET(cod_desembolso!$A$1,Q124,23)))</f>
        <v>2182.3840175367854</v>
      </c>
      <c r="U124" s="149">
        <f>(constantes!$B$3*(1+constantes!$B$3)^(O124))/((1+constantes!$B$3)^(O124)-1)</f>
        <v>9.3678779051968114E-2</v>
      </c>
      <c r="V124" s="148">
        <f t="shared" ca="1" si="9"/>
        <v>204.44307018537503</v>
      </c>
      <c r="W124" s="148">
        <f ca="1">(IF(S124=0,"",V124/constantes!$B$3))*1</f>
        <v>2555.538377317188</v>
      </c>
      <c r="X124" s="150">
        <f ca="1">IF(S124=0,"",PV(constantes!$B$3,O124,-V124)*constantes!$B$3)</f>
        <v>174.59072140294285</v>
      </c>
      <c r="Y124" s="85">
        <f t="shared" si="11"/>
        <v>1400</v>
      </c>
      <c r="Z124">
        <v>289</v>
      </c>
    </row>
    <row r="125" spans="1:29">
      <c r="A125" s="290">
        <v>7290</v>
      </c>
      <c r="B125" s="23" t="str">
        <f t="shared" si="8"/>
        <v>NE-Imp_1500__kV_290</v>
      </c>
      <c r="C125" s="23">
        <v>808</v>
      </c>
      <c r="D125" s="142" t="str">
        <f>VLOOKUP(C125,tab_corredor!$A$2:$B$50,2,0)</f>
        <v>NE-Imp</v>
      </c>
      <c r="E125" s="23">
        <v>1500</v>
      </c>
      <c r="F125" s="23" t="s">
        <v>2724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2672</v>
      </c>
      <c r="M125" s="23">
        <v>2015</v>
      </c>
      <c r="N125" s="23">
        <v>2100</v>
      </c>
      <c r="O125" s="292">
        <v>25</v>
      </c>
      <c r="P125" s="293">
        <v>2100</v>
      </c>
      <c r="Q125" s="294">
        <v>1</v>
      </c>
      <c r="R125" s="23"/>
      <c r="S125" s="148">
        <f t="shared" si="10"/>
        <v>2100</v>
      </c>
      <c r="T125" s="148">
        <f ca="1">IF(S125=0,"",S125*(OFFSET(cod_desembolso!$A$1,Q125,23)))</f>
        <v>2182.3840175367854</v>
      </c>
      <c r="U125" s="149">
        <f>(constantes!$B$3*(1+constantes!$B$3)^(O125))/((1+constantes!$B$3)^(O125)-1)</f>
        <v>9.3678779051968114E-2</v>
      </c>
      <c r="V125" s="148">
        <f t="shared" ca="1" si="9"/>
        <v>204.44307018537503</v>
      </c>
      <c r="W125" s="148">
        <f ca="1">(IF(S125=0,"",V125/constantes!$B$3))*1</f>
        <v>2555.538377317188</v>
      </c>
      <c r="X125" s="150">
        <f ca="1">IF(S125=0,"",PV(constantes!$B$3,O125,-V125)*constantes!$B$3)</f>
        <v>174.59072140294285</v>
      </c>
      <c r="Y125" s="85">
        <f t="shared" si="11"/>
        <v>1400</v>
      </c>
      <c r="Z125">
        <v>290</v>
      </c>
    </row>
    <row r="126" spans="1:29">
      <c r="A126" s="290">
        <v>7291</v>
      </c>
      <c r="B126" s="23" t="str">
        <f t="shared" si="8"/>
        <v>NE-Imp_1500__kV_291</v>
      </c>
      <c r="C126" s="23">
        <v>808</v>
      </c>
      <c r="D126" s="142" t="str">
        <f>VLOOKUP(C126,tab_corredor!$A$2:$B$50,2,0)</f>
        <v>NE-Imp</v>
      </c>
      <c r="E126" s="23">
        <v>1500</v>
      </c>
      <c r="F126" s="23" t="s">
        <v>2724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2672</v>
      </c>
      <c r="M126" s="23">
        <v>2015</v>
      </c>
      <c r="N126" s="23">
        <v>2100</v>
      </c>
      <c r="O126" s="292">
        <v>25</v>
      </c>
      <c r="P126" s="293">
        <v>2100</v>
      </c>
      <c r="Q126" s="294">
        <v>1</v>
      </c>
      <c r="R126" s="23"/>
      <c r="S126" s="148">
        <f t="shared" si="10"/>
        <v>2100</v>
      </c>
      <c r="T126" s="148">
        <f ca="1">IF(S126=0,"",S126*(OFFSET(cod_desembolso!$A$1,Q126,23)))</f>
        <v>2182.3840175367854</v>
      </c>
      <c r="U126" s="149">
        <f>(constantes!$B$3*(1+constantes!$B$3)^(O126))/((1+constantes!$B$3)^(O126)-1)</f>
        <v>9.3678779051968114E-2</v>
      </c>
      <c r="V126" s="148">
        <f t="shared" ca="1" si="9"/>
        <v>204.44307018537503</v>
      </c>
      <c r="W126" s="148">
        <f ca="1">(IF(S126=0,"",V126/constantes!$B$3))*1</f>
        <v>2555.538377317188</v>
      </c>
      <c r="X126" s="150">
        <f ca="1">IF(S126=0,"",PV(constantes!$B$3,O126,-V126)*constantes!$B$3)</f>
        <v>174.59072140294285</v>
      </c>
      <c r="Y126" s="85">
        <f t="shared" si="11"/>
        <v>1400</v>
      </c>
      <c r="Z126">
        <v>291</v>
      </c>
    </row>
    <row r="127" spans="1:29">
      <c r="A127" s="290">
        <v>7292</v>
      </c>
      <c r="B127" s="23" t="str">
        <f t="shared" si="8"/>
        <v>NE-Imp_1500__kV_292</v>
      </c>
      <c r="C127" s="23">
        <v>808</v>
      </c>
      <c r="D127" s="142" t="str">
        <f>VLOOKUP(C127,tab_corredor!$A$2:$B$50,2,0)</f>
        <v>NE-Imp</v>
      </c>
      <c r="E127" s="23">
        <v>1500</v>
      </c>
      <c r="F127" s="23" t="s">
        <v>2724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2672</v>
      </c>
      <c r="M127" s="23">
        <v>2015</v>
      </c>
      <c r="N127" s="23">
        <v>2100</v>
      </c>
      <c r="O127" s="292">
        <v>25</v>
      </c>
      <c r="P127" s="293">
        <v>2100</v>
      </c>
      <c r="Q127" s="294">
        <v>1</v>
      </c>
      <c r="R127" s="23"/>
      <c r="S127" s="148">
        <f t="shared" si="10"/>
        <v>2100</v>
      </c>
      <c r="T127" s="148">
        <f ca="1">IF(S127=0,"",S127*(OFFSET(cod_desembolso!$A$1,Q127,23)))</f>
        <v>2182.3840175367854</v>
      </c>
      <c r="U127" s="149">
        <f>(constantes!$B$3*(1+constantes!$B$3)^(O127))/((1+constantes!$B$3)^(O127)-1)</f>
        <v>9.3678779051968114E-2</v>
      </c>
      <c r="V127" s="148">
        <f t="shared" ca="1" si="9"/>
        <v>204.44307018537503</v>
      </c>
      <c r="W127" s="148">
        <f ca="1">(IF(S127=0,"",V127/constantes!$B$3))*1</f>
        <v>2555.538377317188</v>
      </c>
      <c r="X127" s="150">
        <f ca="1">IF(S127=0,"",PV(constantes!$B$3,O127,-V127)*constantes!$B$3)</f>
        <v>174.59072140294285</v>
      </c>
      <c r="Y127" s="85">
        <f t="shared" si="11"/>
        <v>1400</v>
      </c>
      <c r="Z127">
        <v>292</v>
      </c>
    </row>
    <row r="128" spans="1:29">
      <c r="A128" s="290">
        <v>7293</v>
      </c>
      <c r="B128" s="23" t="str">
        <f t="shared" si="8"/>
        <v>NE-Imp_1500__kV_293</v>
      </c>
      <c r="C128" s="23">
        <v>808</v>
      </c>
      <c r="D128" s="142" t="str">
        <f>VLOOKUP(C128,tab_corredor!$A$2:$B$50,2,0)</f>
        <v>NE-Imp</v>
      </c>
      <c r="E128" s="23">
        <v>1500</v>
      </c>
      <c r="F128" s="23" t="s">
        <v>2724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2672</v>
      </c>
      <c r="M128" s="23">
        <v>2015</v>
      </c>
      <c r="N128" s="23">
        <v>2100</v>
      </c>
      <c r="O128" s="292">
        <v>25</v>
      </c>
      <c r="P128" s="293">
        <v>2100</v>
      </c>
      <c r="Q128" s="294">
        <v>1</v>
      </c>
      <c r="R128" s="23"/>
      <c r="S128" s="148">
        <f t="shared" si="10"/>
        <v>2100</v>
      </c>
      <c r="T128" s="148">
        <f ca="1">IF(S128=0,"",S128*(OFFSET(cod_desembolso!$A$1,Q128,23)))</f>
        <v>2182.3840175367854</v>
      </c>
      <c r="U128" s="149">
        <f>(constantes!$B$3*(1+constantes!$B$3)^(O128))/((1+constantes!$B$3)^(O128)-1)</f>
        <v>9.3678779051968114E-2</v>
      </c>
      <c r="V128" s="148">
        <f t="shared" ca="1" si="9"/>
        <v>204.44307018537503</v>
      </c>
      <c r="W128" s="148">
        <f ca="1">(IF(S128=0,"",V128/constantes!$B$3))*1</f>
        <v>2555.538377317188</v>
      </c>
      <c r="X128" s="150">
        <f ca="1">IF(S128=0,"",PV(constantes!$B$3,O128,-V128)*constantes!$B$3)</f>
        <v>174.59072140294285</v>
      </c>
      <c r="Y128" s="85">
        <f t="shared" si="11"/>
        <v>1400</v>
      </c>
      <c r="Z128">
        <v>293</v>
      </c>
    </row>
    <row r="129" spans="1:26">
      <c r="A129" s="290">
        <v>7294</v>
      </c>
      <c r="B129" s="23" t="str">
        <f t="shared" si="8"/>
        <v>NE-Imp_1500__kV_294</v>
      </c>
      <c r="C129" s="23">
        <v>808</v>
      </c>
      <c r="D129" s="142" t="str">
        <f>VLOOKUP(C129,tab_corredor!$A$2:$B$50,2,0)</f>
        <v>NE-Imp</v>
      </c>
      <c r="E129" s="23">
        <v>1500</v>
      </c>
      <c r="F129" s="23" t="s">
        <v>2724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2672</v>
      </c>
      <c r="M129" s="23">
        <v>2015</v>
      </c>
      <c r="N129" s="23">
        <v>2100</v>
      </c>
      <c r="O129" s="292">
        <v>25</v>
      </c>
      <c r="P129" s="293">
        <v>2100</v>
      </c>
      <c r="Q129" s="294">
        <v>1</v>
      </c>
      <c r="R129" s="23"/>
      <c r="S129" s="148">
        <f t="shared" si="10"/>
        <v>2100</v>
      </c>
      <c r="T129" s="148">
        <f ca="1">IF(S129=0,"",S129*(OFFSET(cod_desembolso!$A$1,Q129,23)))</f>
        <v>2182.3840175367854</v>
      </c>
      <c r="U129" s="149">
        <f>(constantes!$B$3*(1+constantes!$B$3)^(O129))/((1+constantes!$B$3)^(O129)-1)</f>
        <v>9.3678779051968114E-2</v>
      </c>
      <c r="V129" s="148">
        <f t="shared" ca="1" si="9"/>
        <v>204.44307018537503</v>
      </c>
      <c r="W129" s="148">
        <f ca="1">(IF(S129=0,"",V129/constantes!$B$3))*1</f>
        <v>2555.538377317188</v>
      </c>
      <c r="X129" s="150">
        <f ca="1">IF(S129=0,"",PV(constantes!$B$3,O129,-V129)*constantes!$B$3)</f>
        <v>174.59072140294285</v>
      </c>
      <c r="Y129" s="85">
        <f t="shared" si="11"/>
        <v>1400</v>
      </c>
      <c r="Z129">
        <v>294</v>
      </c>
    </row>
    <row r="130" spans="1:26">
      <c r="A130" s="290">
        <v>7295</v>
      </c>
      <c r="B130" s="23" t="str">
        <f t="shared" ref="B130:B193" si="12">D130&amp;"_"&amp;E130&amp;"_"&amp;F130&amp;IF(F130="DC","","kV")&amp;"_"&amp;Z130</f>
        <v>NE-Imp_1500__kV_295</v>
      </c>
      <c r="C130" s="23">
        <v>808</v>
      </c>
      <c r="D130" s="142" t="str">
        <f>VLOOKUP(C130,tab_corredor!$A$2:$B$50,2,0)</f>
        <v>NE-Imp</v>
      </c>
      <c r="E130" s="23">
        <v>1500</v>
      </c>
      <c r="F130" s="23" t="s">
        <v>2724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2672</v>
      </c>
      <c r="M130" s="23">
        <v>2015</v>
      </c>
      <c r="N130" s="23">
        <v>2100</v>
      </c>
      <c r="O130" s="292">
        <v>25</v>
      </c>
      <c r="P130" s="293">
        <v>2100</v>
      </c>
      <c r="Q130" s="294">
        <v>1</v>
      </c>
      <c r="R130" s="23"/>
      <c r="S130" s="148">
        <f t="shared" si="10"/>
        <v>2100</v>
      </c>
      <c r="T130" s="148">
        <f ca="1">IF(S130=0,"",S130*(OFFSET(cod_desembolso!$A$1,Q130,23)))</f>
        <v>2182.3840175367854</v>
      </c>
      <c r="U130" s="149">
        <f>(constantes!$B$3*(1+constantes!$B$3)^(O130))/((1+constantes!$B$3)^(O130)-1)</f>
        <v>9.3678779051968114E-2</v>
      </c>
      <c r="V130" s="148">
        <f t="shared" ref="V130:V193" ca="1" si="13">IF(S130=0,"",T130*U130)</f>
        <v>204.44307018537503</v>
      </c>
      <c r="W130" s="148">
        <f ca="1">(IF(S130=0,"",V130/constantes!$B$3))*1</f>
        <v>2555.538377317188</v>
      </c>
      <c r="X130" s="150">
        <f ca="1">IF(S130=0,"",PV(constantes!$B$3,O130,-V130)*constantes!$B$3)</f>
        <v>174.59072140294285</v>
      </c>
      <c r="Y130" s="85">
        <f t="shared" si="11"/>
        <v>1400</v>
      </c>
      <c r="Z130">
        <v>295</v>
      </c>
    </row>
    <row r="131" spans="1:26">
      <c r="A131" s="290">
        <v>7296</v>
      </c>
      <c r="B131" s="23" t="str">
        <f t="shared" si="12"/>
        <v>NE-Imp_1500__kV_296</v>
      </c>
      <c r="C131" s="23">
        <v>808</v>
      </c>
      <c r="D131" s="142" t="str">
        <f>VLOOKUP(C131,tab_corredor!$A$2:$B$50,2,0)</f>
        <v>NE-Imp</v>
      </c>
      <c r="E131" s="23">
        <v>1500</v>
      </c>
      <c r="F131" s="23" t="s">
        <v>2724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2672</v>
      </c>
      <c r="M131" s="23">
        <v>2015</v>
      </c>
      <c r="N131" s="23">
        <v>2100</v>
      </c>
      <c r="O131" s="292">
        <v>25</v>
      </c>
      <c r="P131" s="293">
        <v>2100</v>
      </c>
      <c r="Q131" s="294">
        <v>1</v>
      </c>
      <c r="R131" s="23"/>
      <c r="S131" s="148">
        <f t="shared" si="10"/>
        <v>2100</v>
      </c>
      <c r="T131" s="148">
        <f ca="1">IF(S131=0,"",S131*(OFFSET(cod_desembolso!$A$1,Q131,23)))</f>
        <v>2182.3840175367854</v>
      </c>
      <c r="U131" s="149">
        <f>(constantes!$B$3*(1+constantes!$B$3)^(O131))/((1+constantes!$B$3)^(O131)-1)</f>
        <v>9.3678779051968114E-2</v>
      </c>
      <c r="V131" s="148">
        <f t="shared" ca="1" si="13"/>
        <v>204.44307018537503</v>
      </c>
      <c r="W131" s="148">
        <f ca="1">(IF(S131=0,"",V131/constantes!$B$3))*1</f>
        <v>2555.538377317188</v>
      </c>
      <c r="X131" s="150">
        <f ca="1">IF(S131=0,"",PV(constantes!$B$3,O131,-V131)*constantes!$B$3)</f>
        <v>174.59072140294285</v>
      </c>
      <c r="Y131" s="85">
        <f t="shared" si="11"/>
        <v>1400</v>
      </c>
      <c r="Z131">
        <v>296</v>
      </c>
    </row>
    <row r="132" spans="1:26">
      <c r="A132" s="290">
        <v>7297</v>
      </c>
      <c r="B132" s="23" t="str">
        <f t="shared" si="12"/>
        <v>NE-Imp_1500__kV_297</v>
      </c>
      <c r="C132" s="23">
        <v>808</v>
      </c>
      <c r="D132" s="142" t="str">
        <f>VLOOKUP(C132,tab_corredor!$A$2:$B$50,2,0)</f>
        <v>NE-Imp</v>
      </c>
      <c r="E132" s="23">
        <v>1500</v>
      </c>
      <c r="F132" s="23" t="s">
        <v>2724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2672</v>
      </c>
      <c r="M132" s="23">
        <v>2015</v>
      </c>
      <c r="N132" s="23">
        <v>2100</v>
      </c>
      <c r="O132" s="292">
        <v>25</v>
      </c>
      <c r="P132" s="293">
        <v>2100</v>
      </c>
      <c r="Q132" s="294">
        <v>1</v>
      </c>
      <c r="R132" s="23"/>
      <c r="S132" s="148">
        <f t="shared" si="10"/>
        <v>2100</v>
      </c>
      <c r="T132" s="148">
        <f ca="1">IF(S132=0,"",S132*(OFFSET(cod_desembolso!$A$1,Q132,23)))</f>
        <v>2182.3840175367854</v>
      </c>
      <c r="U132" s="149">
        <f>(constantes!$B$3*(1+constantes!$B$3)^(O132))/((1+constantes!$B$3)^(O132)-1)</f>
        <v>9.3678779051968114E-2</v>
      </c>
      <c r="V132" s="148">
        <f t="shared" ca="1" si="13"/>
        <v>204.44307018537503</v>
      </c>
      <c r="W132" s="148">
        <f ca="1">(IF(S132=0,"",V132/constantes!$B$3))*1</f>
        <v>2555.538377317188</v>
      </c>
      <c r="X132" s="150">
        <f ca="1">IF(S132=0,"",PV(constantes!$B$3,O132,-V132)*constantes!$B$3)</f>
        <v>174.59072140294285</v>
      </c>
      <c r="Y132" s="85">
        <f t="shared" si="11"/>
        <v>1400</v>
      </c>
      <c r="Z132">
        <v>297</v>
      </c>
    </row>
    <row r="133" spans="1:26">
      <c r="A133" s="290">
        <v>7182</v>
      </c>
      <c r="B133" s="23" t="str">
        <f t="shared" si="12"/>
        <v>N-Imp_1500__kV_182</v>
      </c>
      <c r="C133" s="23">
        <v>810</v>
      </c>
      <c r="D133" s="142" t="str">
        <f>VLOOKUP(C133,tab_corredor!$A$2:$B$50,2,0)</f>
        <v>N-Imp</v>
      </c>
      <c r="E133" s="23">
        <v>1500</v>
      </c>
      <c r="F133" s="23" t="s">
        <v>2724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2672</v>
      </c>
      <c r="M133" s="23">
        <v>2015</v>
      </c>
      <c r="N133" s="23">
        <v>2100</v>
      </c>
      <c r="O133" s="292">
        <v>25</v>
      </c>
      <c r="P133" s="293">
        <v>2100</v>
      </c>
      <c r="Q133" s="294">
        <v>1</v>
      </c>
      <c r="R133" s="23"/>
      <c r="S133" s="148">
        <f t="shared" si="10"/>
        <v>2100</v>
      </c>
      <c r="T133" s="148">
        <f ca="1">IF(S133=0,"",S133*(OFFSET(cod_desembolso!$A$1,Q133,23)))</f>
        <v>2182.3840175367854</v>
      </c>
      <c r="U133" s="149">
        <f>(constantes!$B$3*(1+constantes!$B$3)^(O133))/((1+constantes!$B$3)^(O133)-1)</f>
        <v>9.3678779051968114E-2</v>
      </c>
      <c r="V133" s="148">
        <f t="shared" ca="1" si="13"/>
        <v>204.44307018537503</v>
      </c>
      <c r="W133" s="148">
        <f ca="1">(IF(S133=0,"",V133/constantes!$B$3))*1</f>
        <v>2555.538377317188</v>
      </c>
      <c r="X133" s="150">
        <f ca="1">IF(S133=0,"",PV(constantes!$B$3,O133,-V133)*constantes!$B$3)</f>
        <v>174.59072140294285</v>
      </c>
      <c r="Y133" s="85">
        <f t="shared" si="11"/>
        <v>1400</v>
      </c>
      <c r="Z133">
        <v>182</v>
      </c>
    </row>
    <row r="134" spans="1:26">
      <c r="A134" s="290">
        <v>7183</v>
      </c>
      <c r="B134" s="23" t="str">
        <f t="shared" si="12"/>
        <v>N-Imp_1500__kV_183</v>
      </c>
      <c r="C134" s="23">
        <v>810</v>
      </c>
      <c r="D134" s="142" t="str">
        <f>VLOOKUP(C134,tab_corredor!$A$2:$B$50,2,0)</f>
        <v>N-Imp</v>
      </c>
      <c r="E134" s="23">
        <v>1500</v>
      </c>
      <c r="F134" s="23" t="s">
        <v>2724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2672</v>
      </c>
      <c r="M134" s="23">
        <v>2015</v>
      </c>
      <c r="N134" s="23">
        <v>2100</v>
      </c>
      <c r="O134" s="292">
        <v>25</v>
      </c>
      <c r="P134" s="293">
        <v>2100</v>
      </c>
      <c r="Q134" s="294">
        <v>1</v>
      </c>
      <c r="R134" s="23"/>
      <c r="S134" s="148">
        <f t="shared" si="10"/>
        <v>2100</v>
      </c>
      <c r="T134" s="148">
        <f ca="1">IF(S134=0,"",S134*(OFFSET(cod_desembolso!$A$1,Q134,23)))</f>
        <v>2182.3840175367854</v>
      </c>
      <c r="U134" s="149">
        <f>(constantes!$B$3*(1+constantes!$B$3)^(O134))/((1+constantes!$B$3)^(O134)-1)</f>
        <v>9.3678779051968114E-2</v>
      </c>
      <c r="V134" s="148">
        <f t="shared" ca="1" si="13"/>
        <v>204.44307018537503</v>
      </c>
      <c r="W134" s="148">
        <f ca="1">(IF(S134=0,"",V134/constantes!$B$3))*1</f>
        <v>2555.538377317188</v>
      </c>
      <c r="X134" s="150">
        <f ca="1">IF(S134=0,"",PV(constantes!$B$3,O134,-V134)*constantes!$B$3)</f>
        <v>174.59072140294285</v>
      </c>
      <c r="Y134" s="85">
        <f t="shared" si="11"/>
        <v>1400</v>
      </c>
      <c r="Z134">
        <v>183</v>
      </c>
    </row>
    <row r="135" spans="1:26">
      <c r="A135" s="290">
        <v>7184</v>
      </c>
      <c r="B135" s="23" t="str">
        <f t="shared" si="12"/>
        <v>N-Imp_1500__kV_184</v>
      </c>
      <c r="C135" s="23">
        <v>810</v>
      </c>
      <c r="D135" s="142" t="str">
        <f>VLOOKUP(C135,tab_corredor!$A$2:$B$50,2,0)</f>
        <v>N-Imp</v>
      </c>
      <c r="E135" s="23">
        <v>1500</v>
      </c>
      <c r="F135" s="23" t="s">
        <v>2724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2672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10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3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184</v>
      </c>
    </row>
    <row r="136" spans="1:26">
      <c r="A136" s="290">
        <v>7185</v>
      </c>
      <c r="B136" s="23" t="str">
        <f t="shared" si="12"/>
        <v>N-Imp_1500__kV_185</v>
      </c>
      <c r="C136" s="23">
        <v>810</v>
      </c>
      <c r="D136" s="142" t="str">
        <f>VLOOKUP(C136,tab_corredor!$A$2:$B$50,2,0)</f>
        <v>N-Imp</v>
      </c>
      <c r="E136" s="23">
        <v>1500</v>
      </c>
      <c r="F136" s="23" t="s">
        <v>2724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2672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10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3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185</v>
      </c>
    </row>
    <row r="137" spans="1:26">
      <c r="A137" s="290">
        <v>7186</v>
      </c>
      <c r="B137" s="23" t="str">
        <f t="shared" si="12"/>
        <v>N-Imp_1500__kV_186</v>
      </c>
      <c r="C137" s="23">
        <v>810</v>
      </c>
      <c r="D137" s="142" t="str">
        <f>VLOOKUP(C137,tab_corredor!$A$2:$B$50,2,0)</f>
        <v>N-Imp</v>
      </c>
      <c r="E137" s="23">
        <v>1500</v>
      </c>
      <c r="F137" s="23" t="s">
        <v>2724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2672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10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3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186</v>
      </c>
    </row>
    <row r="138" spans="1:26">
      <c r="A138" s="290">
        <v>7187</v>
      </c>
      <c r="B138" s="23" t="str">
        <f t="shared" si="12"/>
        <v>N-Imp_1500__kV_187</v>
      </c>
      <c r="C138" s="23">
        <v>810</v>
      </c>
      <c r="D138" s="142" t="str">
        <f>VLOOKUP(C138,tab_corredor!$A$2:$B$50,2,0)</f>
        <v>N-Imp</v>
      </c>
      <c r="E138" s="23">
        <v>1500</v>
      </c>
      <c r="F138" s="23" t="s">
        <v>2724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2672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10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3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187</v>
      </c>
    </row>
    <row r="139" spans="1:26">
      <c r="A139" s="290">
        <v>7188</v>
      </c>
      <c r="B139" s="23" t="str">
        <f t="shared" si="12"/>
        <v>N-Imp_1500__kV_188</v>
      </c>
      <c r="C139" s="23">
        <v>810</v>
      </c>
      <c r="D139" s="142" t="str">
        <f>VLOOKUP(C139,tab_corredor!$A$2:$B$50,2,0)</f>
        <v>N-Imp</v>
      </c>
      <c r="E139" s="23">
        <v>1500</v>
      </c>
      <c r="F139" s="23" t="s">
        <v>2724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2672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10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3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188</v>
      </c>
    </row>
    <row r="140" spans="1:26">
      <c r="A140" s="290">
        <v>7189</v>
      </c>
      <c r="B140" s="23" t="str">
        <f t="shared" si="12"/>
        <v>N-Imp_1500__kV_189</v>
      </c>
      <c r="C140" s="23">
        <v>810</v>
      </c>
      <c r="D140" s="142" t="str">
        <f>VLOOKUP(C140,tab_corredor!$A$2:$B$50,2,0)</f>
        <v>N-Imp</v>
      </c>
      <c r="E140" s="23">
        <v>1500</v>
      </c>
      <c r="F140" s="23" t="s">
        <v>2724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2672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10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3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189</v>
      </c>
    </row>
    <row r="141" spans="1:26">
      <c r="A141" s="290">
        <v>7190</v>
      </c>
      <c r="B141" s="23" t="str">
        <f t="shared" si="12"/>
        <v>N-Imp_1500__kV_190</v>
      </c>
      <c r="C141" s="23">
        <v>810</v>
      </c>
      <c r="D141" s="142" t="str">
        <f>VLOOKUP(C141,tab_corredor!$A$2:$B$50,2,0)</f>
        <v>N-Imp</v>
      </c>
      <c r="E141" s="23">
        <v>1500</v>
      </c>
      <c r="F141" s="23" t="s">
        <v>2724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2672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10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3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190</v>
      </c>
    </row>
    <row r="142" spans="1:26">
      <c r="A142" s="290">
        <v>7191</v>
      </c>
      <c r="B142" s="23" t="str">
        <f t="shared" si="12"/>
        <v>N-Imp_1500__kV_191</v>
      </c>
      <c r="C142" s="23">
        <v>810</v>
      </c>
      <c r="D142" s="142" t="str">
        <f>VLOOKUP(C142,tab_corredor!$A$2:$B$50,2,0)</f>
        <v>N-Imp</v>
      </c>
      <c r="E142" s="23">
        <v>1500</v>
      </c>
      <c r="F142" s="23" t="s">
        <v>2724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2672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10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3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191</v>
      </c>
    </row>
    <row r="143" spans="1:26">
      <c r="A143" s="290">
        <v>7192</v>
      </c>
      <c r="B143" s="23" t="str">
        <f t="shared" si="12"/>
        <v>N-Imp_1500__kV_192</v>
      </c>
      <c r="C143" s="23">
        <v>810</v>
      </c>
      <c r="D143" s="142" t="str">
        <f>VLOOKUP(C143,tab_corredor!$A$2:$B$50,2,0)</f>
        <v>N-Imp</v>
      </c>
      <c r="E143" s="23">
        <v>1500</v>
      </c>
      <c r="F143" s="23" t="s">
        <v>2724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2672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10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3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192</v>
      </c>
    </row>
    <row r="144" spans="1:26">
      <c r="A144" s="290">
        <v>7193</v>
      </c>
      <c r="B144" s="23" t="str">
        <f t="shared" si="12"/>
        <v>N-Imp_1500__kV_193</v>
      </c>
      <c r="C144" s="23">
        <v>810</v>
      </c>
      <c r="D144" s="142" t="str">
        <f>VLOOKUP(C144,tab_corredor!$A$2:$B$50,2,0)</f>
        <v>N-Imp</v>
      </c>
      <c r="E144" s="23">
        <v>1500</v>
      </c>
      <c r="F144" s="23" t="s">
        <v>2724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2672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10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3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193</v>
      </c>
    </row>
    <row r="145" spans="1:29">
      <c r="A145" s="290">
        <v>7194</v>
      </c>
      <c r="B145" s="23" t="str">
        <f t="shared" si="12"/>
        <v>N-Imp_1500__kV_194</v>
      </c>
      <c r="C145" s="23">
        <v>810</v>
      </c>
      <c r="D145" s="142" t="str">
        <f>VLOOKUP(C145,tab_corredor!$A$2:$B$50,2,0)</f>
        <v>N-Imp</v>
      </c>
      <c r="E145" s="23">
        <v>1500</v>
      </c>
      <c r="F145" s="23" t="s">
        <v>2724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2672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ref="S145:S208" si="14">P145+R145</f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3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ref="Y145:Y208" si="15">S145/E145*1000</f>
        <v>1400</v>
      </c>
      <c r="Z145">
        <v>194</v>
      </c>
    </row>
    <row r="146" spans="1:29">
      <c r="A146" s="290">
        <v>7195</v>
      </c>
      <c r="B146" s="23" t="str">
        <f t="shared" si="12"/>
        <v>N-Imp_1500__kV_195</v>
      </c>
      <c r="C146" s="23">
        <v>810</v>
      </c>
      <c r="D146" s="142" t="str">
        <f>VLOOKUP(C146,tab_corredor!$A$2:$B$50,2,0)</f>
        <v>N-Imp</v>
      </c>
      <c r="E146" s="23">
        <v>1500</v>
      </c>
      <c r="F146" s="23" t="s">
        <v>2724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2672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14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3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5"/>
        <v>1400</v>
      </c>
      <c r="Z146">
        <v>195</v>
      </c>
    </row>
    <row r="147" spans="1:29">
      <c r="A147" s="290">
        <v>7196</v>
      </c>
      <c r="B147" s="23" t="str">
        <f t="shared" si="12"/>
        <v>N-Imp_1500__kV_196</v>
      </c>
      <c r="C147" s="23">
        <v>810</v>
      </c>
      <c r="D147" s="142" t="str">
        <f>VLOOKUP(C147,tab_corredor!$A$2:$B$50,2,0)</f>
        <v>N-Imp</v>
      </c>
      <c r="E147" s="23">
        <v>1500</v>
      </c>
      <c r="F147" s="23" t="s">
        <v>2724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2672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14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3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5"/>
        <v>1400</v>
      </c>
      <c r="Z147">
        <v>196</v>
      </c>
    </row>
    <row r="148" spans="1:29">
      <c r="A148" s="290">
        <v>7197</v>
      </c>
      <c r="B148" s="23" t="str">
        <f t="shared" si="12"/>
        <v>N-Imp_1500__kV_197</v>
      </c>
      <c r="C148" s="23">
        <v>810</v>
      </c>
      <c r="D148" s="142" t="str">
        <f>VLOOKUP(C148,tab_corredor!$A$2:$B$50,2,0)</f>
        <v>N-Imp</v>
      </c>
      <c r="E148" s="23">
        <v>1500</v>
      </c>
      <c r="F148" s="23" t="s">
        <v>2724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2672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14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3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5"/>
        <v>1400</v>
      </c>
      <c r="Z148">
        <v>197</v>
      </c>
    </row>
    <row r="149" spans="1:29">
      <c r="A149" s="290">
        <v>7198</v>
      </c>
      <c r="B149" s="23" t="str">
        <f t="shared" si="12"/>
        <v>N-Imp_1500__kV_198</v>
      </c>
      <c r="C149" s="23">
        <v>810</v>
      </c>
      <c r="D149" s="142" t="str">
        <f>VLOOKUP(C149,tab_corredor!$A$2:$B$50,2,0)</f>
        <v>N-Imp</v>
      </c>
      <c r="E149" s="23">
        <v>1500</v>
      </c>
      <c r="F149" s="23" t="s">
        <v>2724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2672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14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3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5"/>
        <v>1400</v>
      </c>
      <c r="Z149">
        <v>198</v>
      </c>
    </row>
    <row r="150" spans="1:29">
      <c r="A150" s="290">
        <v>7199</v>
      </c>
      <c r="B150" s="23" t="str">
        <f t="shared" si="12"/>
        <v>N-Imp_1500__kV_199</v>
      </c>
      <c r="C150" s="23">
        <v>810</v>
      </c>
      <c r="D150" s="142" t="str">
        <f>VLOOKUP(C150,tab_corredor!$A$2:$B$50,2,0)</f>
        <v>N-Imp</v>
      </c>
      <c r="E150" s="23">
        <v>1500</v>
      </c>
      <c r="F150" s="23" t="s">
        <v>2724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2672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14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3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5"/>
        <v>1400</v>
      </c>
      <c r="Z150">
        <v>199</v>
      </c>
    </row>
    <row r="151" spans="1:29">
      <c r="A151" s="290">
        <v>7164</v>
      </c>
      <c r="B151" s="23" t="str">
        <f t="shared" si="12"/>
        <v>N-Manaus_1500__kV_164</v>
      </c>
      <c r="C151" s="23">
        <v>809</v>
      </c>
      <c r="D151" s="142" t="str">
        <f>VLOOKUP(C151,tab_corredor!$A$2:$B$50,2,0)</f>
        <v>N-Manaus</v>
      </c>
      <c r="E151" s="23">
        <v>1500</v>
      </c>
      <c r="F151" s="23" t="s">
        <v>2724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2672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14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3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5"/>
        <v>1400</v>
      </c>
      <c r="Z151">
        <v>164</v>
      </c>
    </row>
    <row r="152" spans="1:29">
      <c r="A152" s="290">
        <v>7165</v>
      </c>
      <c r="B152" s="23" t="str">
        <f t="shared" si="12"/>
        <v>N-Manaus_1500__kV_165</v>
      </c>
      <c r="C152" s="23">
        <v>809</v>
      </c>
      <c r="D152" s="142" t="str">
        <f>VLOOKUP(C152,tab_corredor!$A$2:$B$50,2,0)</f>
        <v>N-Manaus</v>
      </c>
      <c r="E152" s="23">
        <v>1500</v>
      </c>
      <c r="F152" s="23" t="s">
        <v>2724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2672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14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3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5"/>
        <v>1400</v>
      </c>
      <c r="Z152">
        <v>165</v>
      </c>
    </row>
    <row r="153" spans="1:29">
      <c r="A153" s="290">
        <v>7166</v>
      </c>
      <c r="B153" s="23" t="str">
        <f t="shared" si="12"/>
        <v>N-Manaus_1500__kV_166</v>
      </c>
      <c r="C153" s="23">
        <v>809</v>
      </c>
      <c r="D153" s="142" t="str">
        <f>VLOOKUP(C153,tab_corredor!$A$2:$B$50,2,0)</f>
        <v>N-Manaus</v>
      </c>
      <c r="E153" s="23">
        <v>1500</v>
      </c>
      <c r="F153" s="23" t="s">
        <v>2724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2672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14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3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5"/>
        <v>1400</v>
      </c>
      <c r="Z153">
        <v>166</v>
      </c>
    </row>
    <row r="154" spans="1:29">
      <c r="A154" s="290">
        <v>7167</v>
      </c>
      <c r="B154" s="23" t="str">
        <f t="shared" si="12"/>
        <v>N-Manaus_1500__kV_167</v>
      </c>
      <c r="C154" s="23">
        <v>809</v>
      </c>
      <c r="D154" s="142" t="str">
        <f>VLOOKUP(C154,tab_corredor!$A$2:$B$50,2,0)</f>
        <v>N-Manaus</v>
      </c>
      <c r="E154" s="23">
        <v>1500</v>
      </c>
      <c r="F154" s="23" t="s">
        <v>2724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2672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14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3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5"/>
        <v>1400</v>
      </c>
      <c r="Z154">
        <v>167</v>
      </c>
    </row>
    <row r="155" spans="1:29">
      <c r="A155" s="290">
        <v>7168</v>
      </c>
      <c r="B155" s="23" t="str">
        <f t="shared" si="12"/>
        <v>N-Manaus_1500__kV_168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2724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2672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14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3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5"/>
        <v>1400</v>
      </c>
      <c r="Z155">
        <v>168</v>
      </c>
    </row>
    <row r="156" spans="1:29">
      <c r="A156" s="290">
        <v>7169</v>
      </c>
      <c r="B156" s="23" t="str">
        <f t="shared" si="12"/>
        <v>N-Manaus_1500__kV_169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2724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2672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14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3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5"/>
        <v>1400</v>
      </c>
      <c r="Z156">
        <v>169</v>
      </c>
    </row>
    <row r="157" spans="1:29">
      <c r="A157" s="290">
        <v>7170</v>
      </c>
      <c r="B157" s="23" t="str">
        <f t="shared" si="12"/>
        <v>N-Manaus_1500__kV_170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2724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2672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14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3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5"/>
        <v>1400</v>
      </c>
      <c r="Z157">
        <v>170</v>
      </c>
    </row>
    <row r="158" spans="1:29">
      <c r="A158" s="290">
        <v>7171</v>
      </c>
      <c r="B158" s="23" t="str">
        <f t="shared" si="12"/>
        <v>N-Manaus_1500__kV_171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2724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2672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14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3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5"/>
        <v>1400</v>
      </c>
      <c r="Z158">
        <v>171</v>
      </c>
    </row>
    <row r="159" spans="1:29">
      <c r="A159" s="290">
        <v>7172</v>
      </c>
      <c r="B159" s="23" t="str">
        <f t="shared" si="12"/>
        <v>N-Manaus_1500__kV_172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2724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2672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14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3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5"/>
        <v>1400</v>
      </c>
      <c r="Z159">
        <v>172</v>
      </c>
      <c r="AA159" s="396"/>
      <c r="AB159" s="396"/>
      <c r="AC159" s="396"/>
    </row>
    <row r="160" spans="1:29">
      <c r="A160" s="290">
        <v>7173</v>
      </c>
      <c r="B160" s="23" t="str">
        <f t="shared" si="12"/>
        <v>N-Manaus_1500__kV_173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2724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2672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14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3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5"/>
        <v>1400</v>
      </c>
      <c r="Z160">
        <v>173</v>
      </c>
      <c r="AA160" s="396"/>
      <c r="AB160" s="396"/>
      <c r="AC160" s="396"/>
    </row>
    <row r="161" spans="1:29">
      <c r="A161" s="290">
        <v>7174</v>
      </c>
      <c r="B161" s="23" t="str">
        <f t="shared" si="12"/>
        <v>N-Manaus_1500__kV_174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2724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2672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14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3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5"/>
        <v>1400</v>
      </c>
      <c r="Z161">
        <v>174</v>
      </c>
      <c r="AA161" s="396"/>
      <c r="AB161" s="396"/>
      <c r="AC161" s="396"/>
    </row>
    <row r="162" spans="1:29">
      <c r="A162" s="290">
        <v>7175</v>
      </c>
      <c r="B162" s="23" t="str">
        <f t="shared" si="12"/>
        <v>N-Manaus_1500__kV_175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2724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2672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14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3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5"/>
        <v>1400</v>
      </c>
      <c r="Z162">
        <v>175</v>
      </c>
      <c r="AA162" s="396"/>
      <c r="AB162" s="396"/>
      <c r="AC162" s="396"/>
    </row>
    <row r="163" spans="1:29">
      <c r="A163" s="290">
        <v>7176</v>
      </c>
      <c r="B163" s="23" t="str">
        <f t="shared" si="12"/>
        <v>N-Manaus_1500__kV_176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2724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2672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14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3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5"/>
        <v>1400</v>
      </c>
      <c r="Z163">
        <v>176</v>
      </c>
    </row>
    <row r="164" spans="1:29">
      <c r="A164" s="290">
        <v>7177</v>
      </c>
      <c r="B164" s="23" t="str">
        <f t="shared" si="12"/>
        <v>N-Manaus_1500__kV_177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2724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2672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14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3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5"/>
        <v>1400</v>
      </c>
      <c r="Z164">
        <v>177</v>
      </c>
    </row>
    <row r="165" spans="1:29">
      <c r="A165" s="290">
        <v>7178</v>
      </c>
      <c r="B165" s="23" t="str">
        <f t="shared" si="12"/>
        <v>N-Manaus_1500__kV_178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2724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2672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14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3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5"/>
        <v>1400</v>
      </c>
      <c r="Z165">
        <v>178</v>
      </c>
    </row>
    <row r="166" spans="1:29">
      <c r="A166" s="290">
        <v>7179</v>
      </c>
      <c r="B166" s="23" t="str">
        <f t="shared" si="12"/>
        <v>N-Manaus_1500__kV_179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2724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2672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14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3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5"/>
        <v>1400</v>
      </c>
      <c r="Z166">
        <v>179</v>
      </c>
    </row>
    <row r="167" spans="1:29">
      <c r="A167" s="290">
        <v>7180</v>
      </c>
      <c r="B167" s="23" t="str">
        <f t="shared" si="12"/>
        <v>N-Manaus_1500__kV_180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2724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2672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14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3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5"/>
        <v>1400</v>
      </c>
      <c r="Z167">
        <v>180</v>
      </c>
    </row>
    <row r="168" spans="1:29">
      <c r="A168" s="290">
        <v>7181</v>
      </c>
      <c r="B168" s="23" t="str">
        <f t="shared" si="12"/>
        <v>N-Manaus_1500__kV_181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2724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2672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14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3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5"/>
        <v>1400</v>
      </c>
      <c r="Z168">
        <v>181</v>
      </c>
    </row>
    <row r="169" spans="1:29">
      <c r="A169" s="290">
        <v>7112</v>
      </c>
      <c r="B169" s="23" t="str">
        <f t="shared" si="12"/>
        <v>SE-Imp_1500__kV_112</v>
      </c>
      <c r="C169" s="23">
        <v>805</v>
      </c>
      <c r="D169" s="142" t="str">
        <f>VLOOKUP(C169,tab_corredor!$A$2:$B$50,2,0)</f>
        <v>SE-Imp</v>
      </c>
      <c r="E169" s="23">
        <v>1500</v>
      </c>
      <c r="F169" s="23" t="s">
        <v>2724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2672</v>
      </c>
      <c r="M169" s="23">
        <v>2015</v>
      </c>
      <c r="N169" s="23">
        <v>2100</v>
      </c>
      <c r="O169" s="292">
        <v>25</v>
      </c>
      <c r="P169" s="293">
        <v>2700</v>
      </c>
      <c r="Q169" s="294">
        <v>1</v>
      </c>
      <c r="R169" s="23"/>
      <c r="S169" s="148">
        <f t="shared" si="14"/>
        <v>2700</v>
      </c>
      <c r="T169" s="148">
        <f ca="1">IF(S169=0,"",S169*(OFFSET(cod_desembolso!$A$1,Q169,23)))</f>
        <v>2805.9223082615817</v>
      </c>
      <c r="U169" s="149">
        <f>(constantes!$B$3*(1+constantes!$B$3)^(O169))/((1+constantes!$B$3)^(O169)-1)</f>
        <v>9.3678779051968114E-2</v>
      </c>
      <c r="V169" s="148">
        <f t="shared" ca="1" si="13"/>
        <v>262.85537595262508</v>
      </c>
      <c r="W169" s="148">
        <f ca="1">(IF(S169=0,"",V169/constantes!$B$3))*1</f>
        <v>3285.6921994078134</v>
      </c>
      <c r="X169" s="150">
        <f ca="1">IF(S169=0,"",PV(constantes!$B$3,O169,-V169)*constantes!$B$3)</f>
        <v>224.47378466092658</v>
      </c>
      <c r="Y169" s="85">
        <f t="shared" si="15"/>
        <v>1800</v>
      </c>
      <c r="Z169">
        <v>112</v>
      </c>
    </row>
    <row r="170" spans="1:29">
      <c r="A170" s="290">
        <v>7113</v>
      </c>
      <c r="B170" s="23" t="str">
        <f t="shared" si="12"/>
        <v>SE-Imp_1500__kV_113</v>
      </c>
      <c r="C170" s="23">
        <v>805</v>
      </c>
      <c r="D170" s="142" t="str">
        <f>VLOOKUP(C170,tab_corredor!$A$2:$B$50,2,0)</f>
        <v>SE-Imp</v>
      </c>
      <c r="E170" s="23">
        <v>1500</v>
      </c>
      <c r="F170" s="23" t="s">
        <v>2724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2672</v>
      </c>
      <c r="M170" s="23">
        <v>2015</v>
      </c>
      <c r="N170" s="23">
        <v>2100</v>
      </c>
      <c r="O170" s="292">
        <v>25</v>
      </c>
      <c r="P170" s="293">
        <v>2700</v>
      </c>
      <c r="Q170" s="294">
        <v>1</v>
      </c>
      <c r="R170" s="23"/>
      <c r="S170" s="148">
        <f t="shared" si="14"/>
        <v>2700</v>
      </c>
      <c r="T170" s="148">
        <f ca="1">IF(S170=0,"",S170*(OFFSET(cod_desembolso!$A$1,Q170,23)))</f>
        <v>2805.9223082615817</v>
      </c>
      <c r="U170" s="149">
        <f>(constantes!$B$3*(1+constantes!$B$3)^(O170))/((1+constantes!$B$3)^(O170)-1)</f>
        <v>9.3678779051968114E-2</v>
      </c>
      <c r="V170" s="148">
        <f t="shared" ca="1" si="13"/>
        <v>262.85537595262508</v>
      </c>
      <c r="W170" s="148">
        <f ca="1">(IF(S170=0,"",V170/constantes!$B$3))*1</f>
        <v>3285.6921994078134</v>
      </c>
      <c r="X170" s="150">
        <f ca="1">IF(S170=0,"",PV(constantes!$B$3,O170,-V170)*constantes!$B$3)</f>
        <v>224.47378466092658</v>
      </c>
      <c r="Y170" s="85">
        <f t="shared" si="15"/>
        <v>1800</v>
      </c>
      <c r="Z170">
        <v>113</v>
      </c>
    </row>
    <row r="171" spans="1:29">
      <c r="A171" s="290">
        <v>7114</v>
      </c>
      <c r="B171" s="23" t="str">
        <f t="shared" si="12"/>
        <v>SE-Imp_1500__kV_114</v>
      </c>
      <c r="C171" s="23">
        <v>805</v>
      </c>
      <c r="D171" s="142" t="str">
        <f>VLOOKUP(C171,tab_corredor!$A$2:$B$50,2,0)</f>
        <v>SE-Imp</v>
      </c>
      <c r="E171" s="23">
        <v>1500</v>
      </c>
      <c r="F171" s="23" t="s">
        <v>2724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2672</v>
      </c>
      <c r="M171" s="23">
        <v>2015</v>
      </c>
      <c r="N171" s="23">
        <v>2100</v>
      </c>
      <c r="O171" s="292">
        <v>25</v>
      </c>
      <c r="P171" s="293">
        <v>2700</v>
      </c>
      <c r="Q171" s="294">
        <v>1</v>
      </c>
      <c r="R171" s="23"/>
      <c r="S171" s="148">
        <f t="shared" si="14"/>
        <v>2700</v>
      </c>
      <c r="T171" s="148">
        <f ca="1">IF(S171=0,"",S171*(OFFSET(cod_desembolso!$A$1,Q171,23)))</f>
        <v>2805.9223082615817</v>
      </c>
      <c r="U171" s="149">
        <f>(constantes!$B$3*(1+constantes!$B$3)^(O171))/((1+constantes!$B$3)^(O171)-1)</f>
        <v>9.3678779051968114E-2</v>
      </c>
      <c r="V171" s="148">
        <f t="shared" ca="1" si="13"/>
        <v>262.85537595262508</v>
      </c>
      <c r="W171" s="148">
        <f ca="1">(IF(S171=0,"",V171/constantes!$B$3))*1</f>
        <v>3285.6921994078134</v>
      </c>
      <c r="X171" s="150">
        <f ca="1">IF(S171=0,"",PV(constantes!$B$3,O171,-V171)*constantes!$B$3)</f>
        <v>224.47378466092658</v>
      </c>
      <c r="Y171" s="85">
        <f t="shared" si="15"/>
        <v>1800</v>
      </c>
      <c r="Z171">
        <v>114</v>
      </c>
    </row>
    <row r="172" spans="1:29">
      <c r="A172" s="290">
        <v>7115</v>
      </c>
      <c r="B172" s="23" t="str">
        <f t="shared" si="12"/>
        <v>SE-Imp_1500__kV_115</v>
      </c>
      <c r="C172" s="23">
        <v>805</v>
      </c>
      <c r="D172" s="142" t="str">
        <f>VLOOKUP(C172,tab_corredor!$A$2:$B$50,2,0)</f>
        <v>SE-Imp</v>
      </c>
      <c r="E172" s="23">
        <v>1500</v>
      </c>
      <c r="F172" s="23" t="s">
        <v>2724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2672</v>
      </c>
      <c r="M172" s="23">
        <v>2015</v>
      </c>
      <c r="N172" s="23">
        <v>2100</v>
      </c>
      <c r="O172" s="292">
        <v>25</v>
      </c>
      <c r="P172" s="293">
        <v>2700</v>
      </c>
      <c r="Q172" s="294">
        <v>1</v>
      </c>
      <c r="R172" s="23"/>
      <c r="S172" s="148">
        <f t="shared" si="14"/>
        <v>2700</v>
      </c>
      <c r="T172" s="148">
        <f ca="1">IF(S172=0,"",S172*(OFFSET(cod_desembolso!$A$1,Q172,23)))</f>
        <v>2805.9223082615817</v>
      </c>
      <c r="U172" s="149">
        <f>(constantes!$B$3*(1+constantes!$B$3)^(O172))/((1+constantes!$B$3)^(O172)-1)</f>
        <v>9.3678779051968114E-2</v>
      </c>
      <c r="V172" s="148">
        <f t="shared" ca="1" si="13"/>
        <v>262.85537595262508</v>
      </c>
      <c r="W172" s="148">
        <f ca="1">(IF(S172=0,"",V172/constantes!$B$3))*1</f>
        <v>3285.6921994078134</v>
      </c>
      <c r="X172" s="150">
        <f ca="1">IF(S172=0,"",PV(constantes!$B$3,O172,-V172)*constantes!$B$3)</f>
        <v>224.47378466092658</v>
      </c>
      <c r="Y172" s="85">
        <f t="shared" si="15"/>
        <v>1800</v>
      </c>
      <c r="Z172">
        <v>115</v>
      </c>
    </row>
    <row r="173" spans="1:29">
      <c r="A173" s="290">
        <v>7116</v>
      </c>
      <c r="B173" s="23" t="str">
        <f t="shared" si="12"/>
        <v>SE-Imp_1500__kV_116</v>
      </c>
      <c r="C173" s="23">
        <v>805</v>
      </c>
      <c r="D173" s="142" t="str">
        <f>VLOOKUP(C173,tab_corredor!$A$2:$B$50,2,0)</f>
        <v>SE-Imp</v>
      </c>
      <c r="E173" s="23">
        <v>1500</v>
      </c>
      <c r="F173" s="23" t="s">
        <v>2724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2672</v>
      </c>
      <c r="M173" s="23">
        <v>2015</v>
      </c>
      <c r="N173" s="23">
        <v>2100</v>
      </c>
      <c r="O173" s="292">
        <v>25</v>
      </c>
      <c r="P173" s="293">
        <v>2700</v>
      </c>
      <c r="Q173" s="294">
        <v>1</v>
      </c>
      <c r="R173" s="23"/>
      <c r="S173" s="148">
        <f t="shared" si="14"/>
        <v>2700</v>
      </c>
      <c r="T173" s="148">
        <f ca="1">IF(S173=0,"",S173*(OFFSET(cod_desembolso!$A$1,Q173,23)))</f>
        <v>2805.9223082615817</v>
      </c>
      <c r="U173" s="149">
        <f>(constantes!$B$3*(1+constantes!$B$3)^(O173))/((1+constantes!$B$3)^(O173)-1)</f>
        <v>9.3678779051968114E-2</v>
      </c>
      <c r="V173" s="148">
        <f t="shared" ca="1" si="13"/>
        <v>262.85537595262508</v>
      </c>
      <c r="W173" s="148">
        <f ca="1">(IF(S173=0,"",V173/constantes!$B$3))*1</f>
        <v>3285.6921994078134</v>
      </c>
      <c r="X173" s="150">
        <f ca="1">IF(S173=0,"",PV(constantes!$B$3,O173,-V173)*constantes!$B$3)</f>
        <v>224.47378466092658</v>
      </c>
      <c r="Y173" s="85">
        <f t="shared" si="15"/>
        <v>1800</v>
      </c>
      <c r="Z173">
        <v>116</v>
      </c>
    </row>
    <row r="174" spans="1:29">
      <c r="A174" s="290">
        <v>7117</v>
      </c>
      <c r="B174" s="23" t="str">
        <f t="shared" si="12"/>
        <v>SE-Imp_1500__kV_117</v>
      </c>
      <c r="C174" s="23">
        <v>805</v>
      </c>
      <c r="D174" s="142" t="str">
        <f>VLOOKUP(C174,tab_corredor!$A$2:$B$50,2,0)</f>
        <v>SE-Imp</v>
      </c>
      <c r="E174" s="23">
        <v>1500</v>
      </c>
      <c r="F174" s="23" t="s">
        <v>2724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2672</v>
      </c>
      <c r="M174" s="23">
        <v>2015</v>
      </c>
      <c r="N174" s="23">
        <v>2100</v>
      </c>
      <c r="O174" s="292">
        <v>25</v>
      </c>
      <c r="P174" s="293">
        <v>2700</v>
      </c>
      <c r="Q174" s="294">
        <v>1</v>
      </c>
      <c r="R174" s="23"/>
      <c r="S174" s="148">
        <f t="shared" si="14"/>
        <v>2700</v>
      </c>
      <c r="T174" s="148">
        <f ca="1">IF(S174=0,"",S174*(OFFSET(cod_desembolso!$A$1,Q174,23)))</f>
        <v>2805.9223082615817</v>
      </c>
      <c r="U174" s="149">
        <f>(constantes!$B$3*(1+constantes!$B$3)^(O174))/((1+constantes!$B$3)^(O174)-1)</f>
        <v>9.3678779051968114E-2</v>
      </c>
      <c r="V174" s="148">
        <f t="shared" ca="1" si="13"/>
        <v>262.85537595262508</v>
      </c>
      <c r="W174" s="148">
        <f ca="1">(IF(S174=0,"",V174/constantes!$B$3))*1</f>
        <v>3285.6921994078134</v>
      </c>
      <c r="X174" s="150">
        <f ca="1">IF(S174=0,"",PV(constantes!$B$3,O174,-V174)*constantes!$B$3)</f>
        <v>224.47378466092658</v>
      </c>
      <c r="Y174" s="85">
        <f t="shared" si="15"/>
        <v>1800</v>
      </c>
      <c r="Z174">
        <v>117</v>
      </c>
    </row>
    <row r="175" spans="1:29">
      <c r="A175" s="290">
        <v>7118</v>
      </c>
      <c r="B175" s="23" t="str">
        <f t="shared" si="12"/>
        <v>SE-Imp_1500__kV_118</v>
      </c>
      <c r="C175" s="23">
        <v>805</v>
      </c>
      <c r="D175" s="142" t="str">
        <f>VLOOKUP(C175,tab_corredor!$A$2:$B$50,2,0)</f>
        <v>SE-Imp</v>
      </c>
      <c r="E175" s="23">
        <v>1500</v>
      </c>
      <c r="F175" s="23" t="s">
        <v>2724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2672</v>
      </c>
      <c r="M175" s="23">
        <v>2015</v>
      </c>
      <c r="N175" s="23">
        <v>2100</v>
      </c>
      <c r="O175" s="292">
        <v>25</v>
      </c>
      <c r="P175" s="293">
        <v>2700</v>
      </c>
      <c r="Q175" s="294">
        <v>1</v>
      </c>
      <c r="R175" s="23"/>
      <c r="S175" s="148">
        <f t="shared" si="14"/>
        <v>2700</v>
      </c>
      <c r="T175" s="148">
        <f ca="1">IF(S175=0,"",S175*(OFFSET(cod_desembolso!$A$1,Q175,23)))</f>
        <v>2805.9223082615817</v>
      </c>
      <c r="U175" s="149">
        <f>(constantes!$B$3*(1+constantes!$B$3)^(O175))/((1+constantes!$B$3)^(O175)-1)</f>
        <v>9.3678779051968114E-2</v>
      </c>
      <c r="V175" s="148">
        <f t="shared" ca="1" si="13"/>
        <v>262.85537595262508</v>
      </c>
      <c r="W175" s="148">
        <f ca="1">(IF(S175=0,"",V175/constantes!$B$3))*1</f>
        <v>3285.6921994078134</v>
      </c>
      <c r="X175" s="150">
        <f ca="1">IF(S175=0,"",PV(constantes!$B$3,O175,-V175)*constantes!$B$3)</f>
        <v>224.47378466092658</v>
      </c>
      <c r="Y175" s="85">
        <f t="shared" si="15"/>
        <v>1800</v>
      </c>
      <c r="Z175">
        <v>118</v>
      </c>
    </row>
    <row r="176" spans="1:29">
      <c r="A176" s="290">
        <v>7119</v>
      </c>
      <c r="B176" s="23" t="str">
        <f t="shared" si="12"/>
        <v>SE-Imp_1500__kV_119</v>
      </c>
      <c r="C176" s="23">
        <v>805</v>
      </c>
      <c r="D176" s="142" t="str">
        <f>VLOOKUP(C176,tab_corredor!$A$2:$B$50,2,0)</f>
        <v>SE-Imp</v>
      </c>
      <c r="E176" s="23">
        <v>1500</v>
      </c>
      <c r="F176" s="23" t="s">
        <v>2724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2672</v>
      </c>
      <c r="M176" s="23">
        <v>2015</v>
      </c>
      <c r="N176" s="23">
        <v>2100</v>
      </c>
      <c r="O176" s="292">
        <v>25</v>
      </c>
      <c r="P176" s="293">
        <v>2700</v>
      </c>
      <c r="Q176" s="294">
        <v>1</v>
      </c>
      <c r="R176" s="23"/>
      <c r="S176" s="148">
        <f t="shared" si="14"/>
        <v>2700</v>
      </c>
      <c r="T176" s="148">
        <f ca="1">IF(S176=0,"",S176*(OFFSET(cod_desembolso!$A$1,Q176,23)))</f>
        <v>2805.9223082615817</v>
      </c>
      <c r="U176" s="149">
        <f>(constantes!$B$3*(1+constantes!$B$3)^(O176))/((1+constantes!$B$3)^(O176)-1)</f>
        <v>9.3678779051968114E-2</v>
      </c>
      <c r="V176" s="148">
        <f t="shared" ca="1" si="13"/>
        <v>262.85537595262508</v>
      </c>
      <c r="W176" s="148">
        <f ca="1">(IF(S176=0,"",V176/constantes!$B$3))*1</f>
        <v>3285.6921994078134</v>
      </c>
      <c r="X176" s="150">
        <f ca="1">IF(S176=0,"",PV(constantes!$B$3,O176,-V176)*constantes!$B$3)</f>
        <v>224.47378466092658</v>
      </c>
      <c r="Y176" s="85">
        <f t="shared" si="15"/>
        <v>1800</v>
      </c>
      <c r="Z176">
        <v>119</v>
      </c>
    </row>
    <row r="177" spans="1:26">
      <c r="A177" s="290">
        <v>7120</v>
      </c>
      <c r="B177" s="23" t="str">
        <f t="shared" si="12"/>
        <v>SE-Imp_1500__kV_120</v>
      </c>
      <c r="C177" s="23">
        <v>805</v>
      </c>
      <c r="D177" s="142" t="str">
        <f>VLOOKUP(C177,tab_corredor!$A$2:$B$50,2,0)</f>
        <v>SE-Imp</v>
      </c>
      <c r="E177" s="23">
        <v>1500</v>
      </c>
      <c r="F177" s="23" t="s">
        <v>2724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2672</v>
      </c>
      <c r="M177" s="23">
        <v>2015</v>
      </c>
      <c r="N177" s="23">
        <v>2100</v>
      </c>
      <c r="O177" s="292">
        <v>25</v>
      </c>
      <c r="P177" s="293">
        <v>2700</v>
      </c>
      <c r="Q177" s="294">
        <v>1</v>
      </c>
      <c r="R177" s="23"/>
      <c r="S177" s="148">
        <f t="shared" si="14"/>
        <v>2700</v>
      </c>
      <c r="T177" s="148">
        <f ca="1">IF(S177=0,"",S177*(OFFSET(cod_desembolso!$A$1,Q177,23)))</f>
        <v>2805.9223082615817</v>
      </c>
      <c r="U177" s="149">
        <f>(constantes!$B$3*(1+constantes!$B$3)^(O177))/((1+constantes!$B$3)^(O177)-1)</f>
        <v>9.3678779051968114E-2</v>
      </c>
      <c r="V177" s="148">
        <f t="shared" ca="1" si="13"/>
        <v>262.85537595262508</v>
      </c>
      <c r="W177" s="148">
        <f ca="1">(IF(S177=0,"",V177/constantes!$B$3))*1</f>
        <v>3285.6921994078134</v>
      </c>
      <c r="X177" s="150">
        <f ca="1">IF(S177=0,"",PV(constantes!$B$3,O177,-V177)*constantes!$B$3)</f>
        <v>224.47378466092658</v>
      </c>
      <c r="Y177" s="85">
        <f t="shared" si="15"/>
        <v>1800</v>
      </c>
      <c r="Z177">
        <v>120</v>
      </c>
    </row>
    <row r="178" spans="1:26">
      <c r="A178" s="290">
        <v>7121</v>
      </c>
      <c r="B178" s="23" t="str">
        <f t="shared" si="12"/>
        <v>SE-Imp_1500__kV_121</v>
      </c>
      <c r="C178" s="23">
        <v>805</v>
      </c>
      <c r="D178" s="142" t="str">
        <f>VLOOKUP(C178,tab_corredor!$A$2:$B$50,2,0)</f>
        <v>SE-Imp</v>
      </c>
      <c r="E178" s="23">
        <v>1500</v>
      </c>
      <c r="F178" s="23" t="s">
        <v>2724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2672</v>
      </c>
      <c r="M178" s="23">
        <v>2015</v>
      </c>
      <c r="N178" s="23">
        <v>2100</v>
      </c>
      <c r="O178" s="292">
        <v>25</v>
      </c>
      <c r="P178" s="293">
        <v>2700</v>
      </c>
      <c r="Q178" s="294">
        <v>1</v>
      </c>
      <c r="R178" s="23"/>
      <c r="S178" s="148">
        <f t="shared" si="14"/>
        <v>2700</v>
      </c>
      <c r="T178" s="148">
        <f ca="1">IF(S178=0,"",S178*(OFFSET(cod_desembolso!$A$1,Q178,23)))</f>
        <v>2805.9223082615817</v>
      </c>
      <c r="U178" s="149">
        <f>(constantes!$B$3*(1+constantes!$B$3)^(O178))/((1+constantes!$B$3)^(O178)-1)</f>
        <v>9.3678779051968114E-2</v>
      </c>
      <c r="V178" s="148">
        <f t="shared" ca="1" si="13"/>
        <v>262.85537595262508</v>
      </c>
      <c r="W178" s="148">
        <f ca="1">(IF(S178=0,"",V178/constantes!$B$3))*1</f>
        <v>3285.6921994078134</v>
      </c>
      <c r="X178" s="150">
        <f ca="1">IF(S178=0,"",PV(constantes!$B$3,O178,-V178)*constantes!$B$3)</f>
        <v>224.47378466092658</v>
      </c>
      <c r="Y178" s="85">
        <f t="shared" si="15"/>
        <v>1800</v>
      </c>
      <c r="Z178">
        <v>121</v>
      </c>
    </row>
    <row r="179" spans="1:26">
      <c r="A179" s="290">
        <v>7122</v>
      </c>
      <c r="B179" s="23" t="str">
        <f t="shared" si="12"/>
        <v>SE-Imp_1500__kV_122</v>
      </c>
      <c r="C179" s="23">
        <v>805</v>
      </c>
      <c r="D179" s="142" t="str">
        <f>VLOOKUP(C179,tab_corredor!$A$2:$B$50,2,0)</f>
        <v>SE-Imp</v>
      </c>
      <c r="E179" s="23">
        <v>1500</v>
      </c>
      <c r="F179" s="23" t="s">
        <v>2724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2672</v>
      </c>
      <c r="M179" s="23">
        <v>2015</v>
      </c>
      <c r="N179" s="23">
        <v>2100</v>
      </c>
      <c r="O179" s="292">
        <v>25</v>
      </c>
      <c r="P179" s="293">
        <v>2700</v>
      </c>
      <c r="Q179" s="294">
        <v>1</v>
      </c>
      <c r="R179" s="23"/>
      <c r="S179" s="148">
        <f t="shared" si="14"/>
        <v>2700</v>
      </c>
      <c r="T179" s="148">
        <f ca="1">IF(S179=0,"",S179*(OFFSET(cod_desembolso!$A$1,Q179,23)))</f>
        <v>2805.9223082615817</v>
      </c>
      <c r="U179" s="149">
        <f>(constantes!$B$3*(1+constantes!$B$3)^(O179))/((1+constantes!$B$3)^(O179)-1)</f>
        <v>9.3678779051968114E-2</v>
      </c>
      <c r="V179" s="148">
        <f t="shared" ca="1" si="13"/>
        <v>262.85537595262508</v>
      </c>
      <c r="W179" s="148">
        <f ca="1">(IF(S179=0,"",V179/constantes!$B$3))*1</f>
        <v>3285.6921994078134</v>
      </c>
      <c r="X179" s="150">
        <f ca="1">IF(S179=0,"",PV(constantes!$B$3,O179,-V179)*constantes!$B$3)</f>
        <v>224.47378466092658</v>
      </c>
      <c r="Y179" s="85">
        <f t="shared" si="15"/>
        <v>1800</v>
      </c>
      <c r="Z179">
        <v>122</v>
      </c>
    </row>
    <row r="180" spans="1:26">
      <c r="A180" s="290">
        <v>7123</v>
      </c>
      <c r="B180" s="23" t="str">
        <f t="shared" si="12"/>
        <v>SE-Imp_1500__kV_123</v>
      </c>
      <c r="C180" s="23">
        <v>805</v>
      </c>
      <c r="D180" s="142" t="str">
        <f>VLOOKUP(C180,tab_corredor!$A$2:$B$50,2,0)</f>
        <v>SE-Imp</v>
      </c>
      <c r="E180" s="23">
        <v>1500</v>
      </c>
      <c r="F180" s="23" t="s">
        <v>2724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2672</v>
      </c>
      <c r="M180" s="23">
        <v>2015</v>
      </c>
      <c r="N180" s="23">
        <v>2100</v>
      </c>
      <c r="O180" s="292">
        <v>25</v>
      </c>
      <c r="P180" s="293">
        <v>2700</v>
      </c>
      <c r="Q180" s="294">
        <v>1</v>
      </c>
      <c r="R180" s="23"/>
      <c r="S180" s="148">
        <f t="shared" si="14"/>
        <v>2700</v>
      </c>
      <c r="T180" s="148">
        <f ca="1">IF(S180=0,"",S180*(OFFSET(cod_desembolso!$A$1,Q180,23)))</f>
        <v>2805.9223082615817</v>
      </c>
      <c r="U180" s="149">
        <f>(constantes!$B$3*(1+constantes!$B$3)^(O180))/((1+constantes!$B$3)^(O180)-1)</f>
        <v>9.3678779051968114E-2</v>
      </c>
      <c r="V180" s="148">
        <f t="shared" ca="1" si="13"/>
        <v>262.85537595262508</v>
      </c>
      <c r="W180" s="148">
        <f ca="1">(IF(S180=0,"",V180/constantes!$B$3))*1</f>
        <v>3285.6921994078134</v>
      </c>
      <c r="X180" s="150">
        <f ca="1">IF(S180=0,"",PV(constantes!$B$3,O180,-V180)*constantes!$B$3)</f>
        <v>224.47378466092658</v>
      </c>
      <c r="Y180" s="85">
        <f t="shared" si="15"/>
        <v>1800</v>
      </c>
      <c r="Z180">
        <v>123</v>
      </c>
    </row>
    <row r="181" spans="1:26">
      <c r="A181" s="290">
        <v>7124</v>
      </c>
      <c r="B181" s="23" t="str">
        <f t="shared" si="12"/>
        <v>SE-Imp_1500__kV_124</v>
      </c>
      <c r="C181" s="23">
        <v>805</v>
      </c>
      <c r="D181" s="142" t="str">
        <f>VLOOKUP(C181,tab_corredor!$A$2:$B$50,2,0)</f>
        <v>SE-Imp</v>
      </c>
      <c r="E181" s="23">
        <v>1500</v>
      </c>
      <c r="F181" s="23" t="s">
        <v>2724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2672</v>
      </c>
      <c r="M181" s="23">
        <v>2015</v>
      </c>
      <c r="N181" s="23">
        <v>2100</v>
      </c>
      <c r="O181" s="292">
        <v>25</v>
      </c>
      <c r="P181" s="293">
        <v>2700</v>
      </c>
      <c r="Q181" s="294">
        <v>1</v>
      </c>
      <c r="R181" s="23"/>
      <c r="S181" s="148">
        <f t="shared" si="14"/>
        <v>2700</v>
      </c>
      <c r="T181" s="148">
        <f ca="1">IF(S181=0,"",S181*(OFFSET(cod_desembolso!$A$1,Q181,23)))</f>
        <v>2805.9223082615817</v>
      </c>
      <c r="U181" s="149">
        <f>(constantes!$B$3*(1+constantes!$B$3)^(O181))/((1+constantes!$B$3)^(O181)-1)</f>
        <v>9.3678779051968114E-2</v>
      </c>
      <c r="V181" s="148">
        <f t="shared" ca="1" si="13"/>
        <v>262.85537595262508</v>
      </c>
      <c r="W181" s="148">
        <f ca="1">(IF(S181=0,"",V181/constantes!$B$3))*1</f>
        <v>3285.6921994078134</v>
      </c>
      <c r="X181" s="150">
        <f ca="1">IF(S181=0,"",PV(constantes!$B$3,O181,-V181)*constantes!$B$3)</f>
        <v>224.47378466092658</v>
      </c>
      <c r="Y181" s="85">
        <f t="shared" si="15"/>
        <v>1800</v>
      </c>
      <c r="Z181">
        <v>124</v>
      </c>
    </row>
    <row r="182" spans="1:26">
      <c r="A182" s="290">
        <v>7125</v>
      </c>
      <c r="B182" s="23" t="str">
        <f t="shared" si="12"/>
        <v>SE-Imp_1500__kV_125</v>
      </c>
      <c r="C182" s="23">
        <v>805</v>
      </c>
      <c r="D182" s="142" t="str">
        <f>VLOOKUP(C182,tab_corredor!$A$2:$B$50,2,0)</f>
        <v>SE-Imp</v>
      </c>
      <c r="E182" s="23">
        <v>1500</v>
      </c>
      <c r="F182" s="23" t="s">
        <v>2724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2672</v>
      </c>
      <c r="M182" s="23">
        <v>2015</v>
      </c>
      <c r="N182" s="23">
        <v>2100</v>
      </c>
      <c r="O182" s="292">
        <v>25</v>
      </c>
      <c r="P182" s="293">
        <v>2700</v>
      </c>
      <c r="Q182" s="294">
        <v>1</v>
      </c>
      <c r="R182" s="23"/>
      <c r="S182" s="148">
        <f t="shared" si="14"/>
        <v>2700</v>
      </c>
      <c r="T182" s="148">
        <f ca="1">IF(S182=0,"",S182*(OFFSET(cod_desembolso!$A$1,Q182,23)))</f>
        <v>2805.9223082615817</v>
      </c>
      <c r="U182" s="149">
        <f>(constantes!$B$3*(1+constantes!$B$3)^(O182))/((1+constantes!$B$3)^(O182)-1)</f>
        <v>9.3678779051968114E-2</v>
      </c>
      <c r="V182" s="148">
        <f t="shared" ca="1" si="13"/>
        <v>262.85537595262508</v>
      </c>
      <c r="W182" s="148">
        <f ca="1">(IF(S182=0,"",V182/constantes!$B$3))*1</f>
        <v>3285.6921994078134</v>
      </c>
      <c r="X182" s="150">
        <f ca="1">IF(S182=0,"",PV(constantes!$B$3,O182,-V182)*constantes!$B$3)</f>
        <v>224.47378466092658</v>
      </c>
      <c r="Y182" s="85">
        <f t="shared" si="15"/>
        <v>1800</v>
      </c>
      <c r="Z182">
        <v>125</v>
      </c>
    </row>
    <row r="183" spans="1:26">
      <c r="A183" s="290">
        <v>7126</v>
      </c>
      <c r="B183" s="23" t="str">
        <f t="shared" si="12"/>
        <v>SE-Imp_1500__kV_126</v>
      </c>
      <c r="C183" s="23">
        <v>805</v>
      </c>
      <c r="D183" s="142" t="str">
        <f>VLOOKUP(C183,tab_corredor!$A$2:$B$50,2,0)</f>
        <v>SE-Imp</v>
      </c>
      <c r="E183" s="23">
        <v>1500</v>
      </c>
      <c r="F183" s="23" t="s">
        <v>2724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2672</v>
      </c>
      <c r="M183" s="23">
        <v>2015</v>
      </c>
      <c r="N183" s="23">
        <v>2100</v>
      </c>
      <c r="O183" s="292">
        <v>25</v>
      </c>
      <c r="P183" s="293">
        <v>2700</v>
      </c>
      <c r="Q183" s="294">
        <v>1</v>
      </c>
      <c r="R183" s="23"/>
      <c r="S183" s="148">
        <f t="shared" si="14"/>
        <v>2700</v>
      </c>
      <c r="T183" s="148">
        <f ca="1">IF(S183=0,"",S183*(OFFSET(cod_desembolso!$A$1,Q183,23)))</f>
        <v>2805.9223082615817</v>
      </c>
      <c r="U183" s="149">
        <f>(constantes!$B$3*(1+constantes!$B$3)^(O183))/((1+constantes!$B$3)^(O183)-1)</f>
        <v>9.3678779051968114E-2</v>
      </c>
      <c r="V183" s="148">
        <f t="shared" ca="1" si="13"/>
        <v>262.85537595262508</v>
      </c>
      <c r="W183" s="148">
        <f ca="1">(IF(S183=0,"",V183/constantes!$B$3))*1</f>
        <v>3285.6921994078134</v>
      </c>
      <c r="X183" s="150">
        <f ca="1">IF(S183=0,"",PV(constantes!$B$3,O183,-V183)*constantes!$B$3)</f>
        <v>224.47378466092658</v>
      </c>
      <c r="Y183" s="85">
        <f t="shared" si="15"/>
        <v>1800</v>
      </c>
      <c r="Z183">
        <v>126</v>
      </c>
    </row>
    <row r="184" spans="1:26">
      <c r="A184" s="290">
        <v>7127</v>
      </c>
      <c r="B184" s="23" t="str">
        <f t="shared" si="12"/>
        <v>SE-Imp_1500__kV_127</v>
      </c>
      <c r="C184" s="23">
        <v>805</v>
      </c>
      <c r="D184" s="142" t="str">
        <f>VLOOKUP(C184,tab_corredor!$A$2:$B$50,2,0)</f>
        <v>SE-Imp</v>
      </c>
      <c r="E184" s="23">
        <v>1500</v>
      </c>
      <c r="F184" s="23" t="s">
        <v>2724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2672</v>
      </c>
      <c r="M184" s="23">
        <v>2015</v>
      </c>
      <c r="N184" s="23">
        <v>2100</v>
      </c>
      <c r="O184" s="292">
        <v>25</v>
      </c>
      <c r="P184" s="293">
        <v>2700</v>
      </c>
      <c r="Q184" s="294">
        <v>1</v>
      </c>
      <c r="R184" s="23"/>
      <c r="S184" s="148">
        <f t="shared" si="14"/>
        <v>2700</v>
      </c>
      <c r="T184" s="148">
        <f ca="1">IF(S184=0,"",S184*(OFFSET(cod_desembolso!$A$1,Q184,23)))</f>
        <v>2805.9223082615817</v>
      </c>
      <c r="U184" s="149">
        <f>(constantes!$B$3*(1+constantes!$B$3)^(O184))/((1+constantes!$B$3)^(O184)-1)</f>
        <v>9.3678779051968114E-2</v>
      </c>
      <c r="V184" s="148">
        <f t="shared" ca="1" si="13"/>
        <v>262.85537595262508</v>
      </c>
      <c r="W184" s="148">
        <f ca="1">(IF(S184=0,"",V184/constantes!$B$3))*1</f>
        <v>3285.6921994078134</v>
      </c>
      <c r="X184" s="150">
        <f ca="1">IF(S184=0,"",PV(constantes!$B$3,O184,-V184)*constantes!$B$3)</f>
        <v>224.47378466092658</v>
      </c>
      <c r="Y184" s="85">
        <f t="shared" si="15"/>
        <v>1800</v>
      </c>
      <c r="Z184">
        <v>127</v>
      </c>
    </row>
    <row r="185" spans="1:26">
      <c r="A185" s="290">
        <v>7128</v>
      </c>
      <c r="B185" s="23" t="str">
        <f t="shared" si="12"/>
        <v>SE-Imp_1500__kV_128</v>
      </c>
      <c r="C185" s="23">
        <v>805</v>
      </c>
      <c r="D185" s="142" t="str">
        <f>VLOOKUP(C185,tab_corredor!$A$2:$B$50,2,0)</f>
        <v>SE-Imp</v>
      </c>
      <c r="E185" s="23">
        <v>1500</v>
      </c>
      <c r="F185" s="23" t="s">
        <v>2724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2672</v>
      </c>
      <c r="M185" s="23">
        <v>2015</v>
      </c>
      <c r="N185" s="23">
        <v>2100</v>
      </c>
      <c r="O185" s="292">
        <v>25</v>
      </c>
      <c r="P185" s="293">
        <v>2700</v>
      </c>
      <c r="Q185" s="294">
        <v>1</v>
      </c>
      <c r="R185" s="23"/>
      <c r="S185" s="148">
        <f t="shared" si="14"/>
        <v>2700</v>
      </c>
      <c r="T185" s="148">
        <f ca="1">IF(S185=0,"",S185*(OFFSET(cod_desembolso!$A$1,Q185,23)))</f>
        <v>2805.9223082615817</v>
      </c>
      <c r="U185" s="149">
        <f>(constantes!$B$3*(1+constantes!$B$3)^(O185))/((1+constantes!$B$3)^(O185)-1)</f>
        <v>9.3678779051968114E-2</v>
      </c>
      <c r="V185" s="148">
        <f t="shared" ca="1" si="13"/>
        <v>262.85537595262508</v>
      </c>
      <c r="W185" s="148">
        <f ca="1">(IF(S185=0,"",V185/constantes!$B$3))*1</f>
        <v>3285.6921994078134</v>
      </c>
      <c r="X185" s="150">
        <f ca="1">IF(S185=0,"",PV(constantes!$B$3,O185,-V185)*constantes!$B$3)</f>
        <v>224.47378466092658</v>
      </c>
      <c r="Y185" s="85">
        <f t="shared" si="15"/>
        <v>1800</v>
      </c>
      <c r="Z185">
        <v>128</v>
      </c>
    </row>
    <row r="186" spans="1:26">
      <c r="A186" s="290">
        <v>7129</v>
      </c>
      <c r="B186" s="23" t="str">
        <f t="shared" si="12"/>
        <v>SE-Imp_1500__kV_129</v>
      </c>
      <c r="C186" s="23">
        <v>805</v>
      </c>
      <c r="D186" s="142" t="str">
        <f>VLOOKUP(C186,tab_corredor!$A$2:$B$50,2,0)</f>
        <v>SE-Imp</v>
      </c>
      <c r="E186" s="23">
        <v>1500</v>
      </c>
      <c r="F186" s="23" t="s">
        <v>2724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2672</v>
      </c>
      <c r="M186" s="23">
        <v>2015</v>
      </c>
      <c r="N186" s="23">
        <v>2100</v>
      </c>
      <c r="O186" s="292">
        <v>25</v>
      </c>
      <c r="P186" s="293">
        <v>2700</v>
      </c>
      <c r="Q186" s="294">
        <v>1</v>
      </c>
      <c r="R186" s="23"/>
      <c r="S186" s="148">
        <f t="shared" si="14"/>
        <v>2700</v>
      </c>
      <c r="T186" s="148">
        <f ca="1">IF(S186=0,"",S186*(OFFSET(cod_desembolso!$A$1,Q186,23)))</f>
        <v>2805.9223082615817</v>
      </c>
      <c r="U186" s="149">
        <f>(constantes!$B$3*(1+constantes!$B$3)^(O186))/((1+constantes!$B$3)^(O186)-1)</f>
        <v>9.3678779051968114E-2</v>
      </c>
      <c r="V186" s="148">
        <f t="shared" ca="1" si="13"/>
        <v>262.85537595262508</v>
      </c>
      <c r="W186" s="148">
        <f ca="1">(IF(S186=0,"",V186/constantes!$B$3))*1</f>
        <v>3285.6921994078134</v>
      </c>
      <c r="X186" s="150">
        <f ca="1">IF(S186=0,"",PV(constantes!$B$3,O186,-V186)*constantes!$B$3)</f>
        <v>224.47378466092658</v>
      </c>
      <c r="Y186" s="85">
        <f t="shared" si="15"/>
        <v>1800</v>
      </c>
      <c r="Z186">
        <v>129</v>
      </c>
    </row>
    <row r="187" spans="1:26">
      <c r="A187" s="290">
        <v>7130</v>
      </c>
      <c r="B187" s="23" t="str">
        <f t="shared" si="12"/>
        <v>SE-Imp_1500__kV_130</v>
      </c>
      <c r="C187" s="23">
        <v>805</v>
      </c>
      <c r="D187" s="142" t="str">
        <f>VLOOKUP(C187,tab_corredor!$A$2:$B$50,2,0)</f>
        <v>SE-Imp</v>
      </c>
      <c r="E187" s="23">
        <v>1500</v>
      </c>
      <c r="F187" s="23" t="s">
        <v>2724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2672</v>
      </c>
      <c r="M187" s="23">
        <v>2015</v>
      </c>
      <c r="N187" s="23">
        <v>2100</v>
      </c>
      <c r="O187" s="292">
        <v>25</v>
      </c>
      <c r="P187" s="293">
        <v>2700</v>
      </c>
      <c r="Q187" s="294">
        <v>1</v>
      </c>
      <c r="R187" s="23"/>
      <c r="S187" s="148">
        <f t="shared" si="14"/>
        <v>2700</v>
      </c>
      <c r="T187" s="148">
        <f ca="1">IF(S187=0,"",S187*(OFFSET(cod_desembolso!$A$1,Q187,23)))</f>
        <v>2805.9223082615817</v>
      </c>
      <c r="U187" s="149">
        <f>(constantes!$B$3*(1+constantes!$B$3)^(O187))/((1+constantes!$B$3)^(O187)-1)</f>
        <v>9.3678779051968114E-2</v>
      </c>
      <c r="V187" s="148">
        <f t="shared" ca="1" si="13"/>
        <v>262.85537595262508</v>
      </c>
      <c r="W187" s="148">
        <f ca="1">(IF(S187=0,"",V187/constantes!$B$3))*1</f>
        <v>3285.6921994078134</v>
      </c>
      <c r="X187" s="150">
        <f ca="1">IF(S187=0,"",PV(constantes!$B$3,O187,-V187)*constantes!$B$3)</f>
        <v>224.47378466092658</v>
      </c>
      <c r="Y187" s="85">
        <f t="shared" si="15"/>
        <v>1800</v>
      </c>
      <c r="Z187">
        <v>130</v>
      </c>
    </row>
    <row r="188" spans="1:26">
      <c r="A188" s="290">
        <v>7131</v>
      </c>
      <c r="B188" s="23" t="str">
        <f t="shared" si="12"/>
        <v>SE-Imp_1500__kV_131</v>
      </c>
      <c r="C188" s="23">
        <v>805</v>
      </c>
      <c r="D188" s="142" t="str">
        <f>VLOOKUP(C188,tab_corredor!$A$2:$B$50,2,0)</f>
        <v>SE-Imp</v>
      </c>
      <c r="E188" s="23">
        <v>1500</v>
      </c>
      <c r="F188" s="23" t="s">
        <v>2724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2672</v>
      </c>
      <c r="M188" s="23">
        <v>2015</v>
      </c>
      <c r="N188" s="23">
        <v>2100</v>
      </c>
      <c r="O188" s="292">
        <v>25</v>
      </c>
      <c r="P188" s="293">
        <v>2700</v>
      </c>
      <c r="Q188" s="294">
        <v>1</v>
      </c>
      <c r="R188" s="23"/>
      <c r="S188" s="148">
        <f t="shared" si="14"/>
        <v>2700</v>
      </c>
      <c r="T188" s="148">
        <f ca="1">IF(S188=0,"",S188*(OFFSET(cod_desembolso!$A$1,Q188,23)))</f>
        <v>2805.9223082615817</v>
      </c>
      <c r="U188" s="149">
        <f>(constantes!$B$3*(1+constantes!$B$3)^(O188))/((1+constantes!$B$3)^(O188)-1)</f>
        <v>9.3678779051968114E-2</v>
      </c>
      <c r="V188" s="148">
        <f t="shared" ca="1" si="13"/>
        <v>262.85537595262508</v>
      </c>
      <c r="W188" s="148">
        <f ca="1">(IF(S188=0,"",V188/constantes!$B$3))*1</f>
        <v>3285.6921994078134</v>
      </c>
      <c r="X188" s="150">
        <f ca="1">IF(S188=0,"",PV(constantes!$B$3,O188,-V188)*constantes!$B$3)</f>
        <v>224.47378466092658</v>
      </c>
      <c r="Y188" s="85">
        <f t="shared" si="15"/>
        <v>1800</v>
      </c>
      <c r="Z188">
        <v>131</v>
      </c>
    </row>
    <row r="189" spans="1:26">
      <c r="A189" s="290">
        <v>7132</v>
      </c>
      <c r="B189" s="23" t="str">
        <f t="shared" si="12"/>
        <v>SE-Imp_1500__kV_132</v>
      </c>
      <c r="C189" s="23">
        <v>805</v>
      </c>
      <c r="D189" s="142" t="str">
        <f>VLOOKUP(C189,tab_corredor!$A$2:$B$50,2,0)</f>
        <v>SE-Imp</v>
      </c>
      <c r="E189" s="23">
        <v>1500</v>
      </c>
      <c r="F189" s="23" t="s">
        <v>2724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2672</v>
      </c>
      <c r="M189" s="23">
        <v>2015</v>
      </c>
      <c r="N189" s="23">
        <v>2100</v>
      </c>
      <c r="O189" s="292">
        <v>25</v>
      </c>
      <c r="P189" s="293">
        <v>2700</v>
      </c>
      <c r="Q189" s="294">
        <v>1</v>
      </c>
      <c r="R189" s="23"/>
      <c r="S189" s="148">
        <f t="shared" si="14"/>
        <v>2700</v>
      </c>
      <c r="T189" s="148">
        <f ca="1">IF(S189=0,"",S189*(OFFSET(cod_desembolso!$A$1,Q189,23)))</f>
        <v>2805.9223082615817</v>
      </c>
      <c r="U189" s="149">
        <f>(constantes!$B$3*(1+constantes!$B$3)^(O189))/((1+constantes!$B$3)^(O189)-1)</f>
        <v>9.3678779051968114E-2</v>
      </c>
      <c r="V189" s="148">
        <f t="shared" ca="1" si="13"/>
        <v>262.85537595262508</v>
      </c>
      <c r="W189" s="148">
        <f ca="1">(IF(S189=0,"",V189/constantes!$B$3))*1</f>
        <v>3285.6921994078134</v>
      </c>
      <c r="X189" s="150">
        <f ca="1">IF(S189=0,"",PV(constantes!$B$3,O189,-V189)*constantes!$B$3)</f>
        <v>224.47378466092658</v>
      </c>
      <c r="Y189" s="85">
        <f t="shared" si="15"/>
        <v>1800</v>
      </c>
      <c r="Z189">
        <v>132</v>
      </c>
    </row>
    <row r="190" spans="1:26">
      <c r="A190" s="290">
        <v>7133</v>
      </c>
      <c r="B190" s="23" t="str">
        <f t="shared" si="12"/>
        <v>SE-Imp_1500__kV_133</v>
      </c>
      <c r="C190" s="23">
        <v>805</v>
      </c>
      <c r="D190" s="142" t="str">
        <f>VLOOKUP(C190,tab_corredor!$A$2:$B$50,2,0)</f>
        <v>SE-Imp</v>
      </c>
      <c r="E190" s="23">
        <v>1500</v>
      </c>
      <c r="F190" s="23" t="s">
        <v>2724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2672</v>
      </c>
      <c r="M190" s="23">
        <v>2015</v>
      </c>
      <c r="N190" s="23">
        <v>2100</v>
      </c>
      <c r="O190" s="292">
        <v>25</v>
      </c>
      <c r="P190" s="293">
        <v>2700</v>
      </c>
      <c r="Q190" s="294">
        <v>1</v>
      </c>
      <c r="R190" s="23"/>
      <c r="S190" s="148">
        <f t="shared" si="14"/>
        <v>2700</v>
      </c>
      <c r="T190" s="148">
        <f ca="1">IF(S190=0,"",S190*(OFFSET(cod_desembolso!$A$1,Q190,23)))</f>
        <v>2805.9223082615817</v>
      </c>
      <c r="U190" s="149">
        <f>(constantes!$B$3*(1+constantes!$B$3)^(O190))/((1+constantes!$B$3)^(O190)-1)</f>
        <v>9.3678779051968114E-2</v>
      </c>
      <c r="V190" s="148">
        <f t="shared" ca="1" si="13"/>
        <v>262.85537595262508</v>
      </c>
      <c r="W190" s="148">
        <f ca="1">(IF(S190=0,"",V190/constantes!$B$3))*1</f>
        <v>3285.6921994078134</v>
      </c>
      <c r="X190" s="150">
        <f ca="1">IF(S190=0,"",PV(constantes!$B$3,O190,-V190)*constantes!$B$3)</f>
        <v>224.47378466092658</v>
      </c>
      <c r="Y190" s="85">
        <f t="shared" si="15"/>
        <v>1800</v>
      </c>
      <c r="Z190">
        <v>133</v>
      </c>
    </row>
    <row r="191" spans="1:26">
      <c r="A191" s="290">
        <v>7298</v>
      </c>
      <c r="B191" s="23" t="str">
        <f t="shared" si="12"/>
        <v>SE-Imp_1500__kV_298</v>
      </c>
      <c r="C191" s="23">
        <v>805</v>
      </c>
      <c r="D191" s="142" t="str">
        <f>VLOOKUP(C191,tab_corredor!$A$2:$B$50,2,0)</f>
        <v>SE-Imp</v>
      </c>
      <c r="E191" s="23">
        <v>1500</v>
      </c>
      <c r="F191" s="23" t="s">
        <v>2724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2672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4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3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298</v>
      </c>
    </row>
    <row r="192" spans="1:26">
      <c r="A192" s="290">
        <v>7299</v>
      </c>
      <c r="B192" s="23" t="str">
        <f t="shared" si="12"/>
        <v>SE-Imp_1500__kV_299</v>
      </c>
      <c r="C192" s="23">
        <v>805</v>
      </c>
      <c r="D192" s="142" t="str">
        <f>VLOOKUP(C192,tab_corredor!$A$2:$B$50,2,0)</f>
        <v>SE-Imp</v>
      </c>
      <c r="E192" s="23">
        <v>1500</v>
      </c>
      <c r="F192" s="23" t="s">
        <v>2724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2672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4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3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299</v>
      </c>
    </row>
    <row r="193" spans="1:29">
      <c r="A193" s="290">
        <v>7300</v>
      </c>
      <c r="B193" s="23" t="str">
        <f t="shared" si="12"/>
        <v>SE-Imp_1500__kV_300</v>
      </c>
      <c r="C193" s="23">
        <v>805</v>
      </c>
      <c r="D193" s="142" t="str">
        <f>VLOOKUP(C193,tab_corredor!$A$2:$B$50,2,0)</f>
        <v>SE-Imp</v>
      </c>
      <c r="E193" s="23">
        <v>1500</v>
      </c>
      <c r="F193" s="23" t="s">
        <v>2724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2672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4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3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300</v>
      </c>
    </row>
    <row r="194" spans="1:29">
      <c r="A194" s="290">
        <v>7301</v>
      </c>
      <c r="B194" s="23" t="str">
        <f t="shared" ref="B194:B257" si="16">D194&amp;"_"&amp;E194&amp;"_"&amp;F194&amp;IF(F194="DC","","kV")&amp;"_"&amp;Z194</f>
        <v>SE-Imp_1500__kV_301</v>
      </c>
      <c r="C194" s="23">
        <v>805</v>
      </c>
      <c r="D194" s="142" t="str">
        <f>VLOOKUP(C194,tab_corredor!$A$2:$B$50,2,0)</f>
        <v>SE-Imp</v>
      </c>
      <c r="E194" s="23">
        <v>1500</v>
      </c>
      <c r="F194" s="23" t="s">
        <v>2724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2672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4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ref="V194:V257" ca="1" si="17">IF(S194=0,"",T194*U194)</f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301</v>
      </c>
    </row>
    <row r="195" spans="1:29">
      <c r="A195" s="290">
        <v>7302</v>
      </c>
      <c r="B195" s="23" t="str">
        <f t="shared" si="16"/>
        <v>SE-Imp_1500__kV_302</v>
      </c>
      <c r="C195" s="23">
        <v>805</v>
      </c>
      <c r="D195" s="142" t="str">
        <f>VLOOKUP(C195,tab_corredor!$A$2:$B$50,2,0)</f>
        <v>SE-Imp</v>
      </c>
      <c r="E195" s="23">
        <v>1500</v>
      </c>
      <c r="F195" s="23" t="s">
        <v>2724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2672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4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7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302</v>
      </c>
    </row>
    <row r="196" spans="1:29">
      <c r="A196" s="290">
        <v>7303</v>
      </c>
      <c r="B196" s="23" t="str">
        <f t="shared" si="16"/>
        <v>SE-Imp_1500__kV_303</v>
      </c>
      <c r="C196" s="23">
        <v>805</v>
      </c>
      <c r="D196" s="142" t="str">
        <f>VLOOKUP(C196,tab_corredor!$A$2:$B$50,2,0)</f>
        <v>SE-Imp</v>
      </c>
      <c r="E196" s="23">
        <v>1500</v>
      </c>
      <c r="F196" s="23" t="s">
        <v>2724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2672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4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7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303</v>
      </c>
    </row>
    <row r="197" spans="1:29">
      <c r="A197" s="290">
        <v>7304</v>
      </c>
      <c r="B197" s="23" t="str">
        <f t="shared" si="16"/>
        <v>SE-Imp_1500__kV_304</v>
      </c>
      <c r="C197" s="23">
        <v>805</v>
      </c>
      <c r="D197" s="142" t="str">
        <f>VLOOKUP(C197,tab_corredor!$A$2:$B$50,2,0)</f>
        <v>SE-Imp</v>
      </c>
      <c r="E197" s="23">
        <v>1500</v>
      </c>
      <c r="F197" s="23" t="s">
        <v>2724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2672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4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7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304</v>
      </c>
    </row>
    <row r="198" spans="1:29">
      <c r="A198" s="290">
        <v>7305</v>
      </c>
      <c r="B198" s="23" t="str">
        <f t="shared" si="16"/>
        <v>SE-Imp_1500__kV_305</v>
      </c>
      <c r="C198" s="23">
        <v>805</v>
      </c>
      <c r="D198" s="142" t="str">
        <f>VLOOKUP(C198,tab_corredor!$A$2:$B$50,2,0)</f>
        <v>SE-Imp</v>
      </c>
      <c r="E198" s="23">
        <v>1500</v>
      </c>
      <c r="F198" s="23" t="s">
        <v>2724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2672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4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7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305</v>
      </c>
    </row>
    <row r="199" spans="1:29">
      <c r="A199" s="290">
        <v>7306</v>
      </c>
      <c r="B199" s="23" t="str">
        <f t="shared" si="16"/>
        <v>SE-Imp_1500__kV_306</v>
      </c>
      <c r="C199" s="23">
        <v>805</v>
      </c>
      <c r="D199" s="142" t="str">
        <f>VLOOKUP(C199,tab_corredor!$A$2:$B$50,2,0)</f>
        <v>SE-Imp</v>
      </c>
      <c r="E199" s="23">
        <v>1500</v>
      </c>
      <c r="F199" s="23" t="s">
        <v>2724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2672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4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7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306</v>
      </c>
    </row>
    <row r="200" spans="1:29">
      <c r="A200" s="290">
        <v>7307</v>
      </c>
      <c r="B200" s="23" t="str">
        <f t="shared" si="16"/>
        <v>SE-Imp_1500__kV_307</v>
      </c>
      <c r="C200" s="23">
        <v>805</v>
      </c>
      <c r="D200" s="142" t="str">
        <f>VLOOKUP(C200,tab_corredor!$A$2:$B$50,2,0)</f>
        <v>SE-Imp</v>
      </c>
      <c r="E200" s="23">
        <v>1500</v>
      </c>
      <c r="F200" s="23" t="s">
        <v>2724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2672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4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7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307</v>
      </c>
    </row>
    <row r="201" spans="1:29">
      <c r="A201" s="290">
        <v>7308</v>
      </c>
      <c r="B201" s="23" t="str">
        <f t="shared" si="16"/>
        <v>SE-Imp_1500__kV_308</v>
      </c>
      <c r="C201" s="23">
        <v>805</v>
      </c>
      <c r="D201" s="142" t="str">
        <f>VLOOKUP(C201,tab_corredor!$A$2:$B$50,2,0)</f>
        <v>SE-Imp</v>
      </c>
      <c r="E201" s="23">
        <v>1500</v>
      </c>
      <c r="F201" s="23" t="s">
        <v>2724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2672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4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7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308</v>
      </c>
    </row>
    <row r="202" spans="1:29">
      <c r="A202" s="290">
        <v>7309</v>
      </c>
      <c r="B202" s="23" t="str">
        <f t="shared" si="16"/>
        <v>SE-Imp_1500__kV_309</v>
      </c>
      <c r="C202" s="23">
        <v>805</v>
      </c>
      <c r="D202" s="142" t="str">
        <f>VLOOKUP(C202,tab_corredor!$A$2:$B$50,2,0)</f>
        <v>SE-Imp</v>
      </c>
      <c r="E202" s="23">
        <v>1500</v>
      </c>
      <c r="F202" s="23" t="s">
        <v>2724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2672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4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7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309</v>
      </c>
    </row>
    <row r="203" spans="1:29">
      <c r="A203" s="290">
        <v>7310</v>
      </c>
      <c r="B203" s="23" t="str">
        <f t="shared" si="16"/>
        <v>SE-Imp_1500__kV_310</v>
      </c>
      <c r="C203" s="23">
        <v>805</v>
      </c>
      <c r="D203" s="142" t="str">
        <f>VLOOKUP(C203,tab_corredor!$A$2:$B$50,2,0)</f>
        <v>SE-Imp</v>
      </c>
      <c r="E203" s="23">
        <v>1500</v>
      </c>
      <c r="F203" s="23" t="s">
        <v>2724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2672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4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7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310</v>
      </c>
    </row>
    <row r="204" spans="1:29">
      <c r="A204" s="290">
        <v>7311</v>
      </c>
      <c r="B204" s="23" t="str">
        <f t="shared" si="16"/>
        <v>SE-Imp_1500__kV_311</v>
      </c>
      <c r="C204" s="23">
        <v>805</v>
      </c>
      <c r="D204" s="142" t="str">
        <f>VLOOKUP(C204,tab_corredor!$A$2:$B$50,2,0)</f>
        <v>SE-Imp</v>
      </c>
      <c r="E204" s="23">
        <v>1500</v>
      </c>
      <c r="F204" s="23" t="s">
        <v>2724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2672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4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7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311</v>
      </c>
    </row>
    <row r="205" spans="1:29">
      <c r="A205" s="290">
        <v>7312</v>
      </c>
      <c r="B205" s="23" t="str">
        <f t="shared" si="16"/>
        <v>SE-Imp_1500__kV_312</v>
      </c>
      <c r="C205" s="23">
        <v>805</v>
      </c>
      <c r="D205" s="142" t="str">
        <f>VLOOKUP(C205,tab_corredor!$A$2:$B$50,2,0)</f>
        <v>SE-Imp</v>
      </c>
      <c r="E205" s="23">
        <v>1500</v>
      </c>
      <c r="F205" s="23" t="s">
        <v>2724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2672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4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7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312</v>
      </c>
    </row>
    <row r="206" spans="1:29" s="396" customFormat="1">
      <c r="A206" s="290">
        <v>7313</v>
      </c>
      <c r="B206" s="23" t="str">
        <f t="shared" si="16"/>
        <v>SE-Imp_1500__kV_313</v>
      </c>
      <c r="C206" s="23">
        <v>805</v>
      </c>
      <c r="D206" s="142" t="str">
        <f>VLOOKUP(C206,tab_corredor!$A$2:$B$50,2,0)</f>
        <v>SE-Imp</v>
      </c>
      <c r="E206" s="23">
        <v>1500</v>
      </c>
      <c r="F206" s="23" t="s">
        <v>2724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290">
        <v>1</v>
      </c>
      <c r="L206" s="291" t="s">
        <v>2672</v>
      </c>
      <c r="M206" s="23">
        <v>2015</v>
      </c>
      <c r="N206" s="23">
        <v>2100</v>
      </c>
      <c r="O206" s="292">
        <v>25</v>
      </c>
      <c r="P206" s="293">
        <v>2700</v>
      </c>
      <c r="Q206" s="294">
        <v>1</v>
      </c>
      <c r="R206" s="23"/>
      <c r="S206" s="148">
        <f t="shared" si="14"/>
        <v>2700</v>
      </c>
      <c r="T206" s="148">
        <f ca="1">IF(S206=0,"",S206*(OFFSET(cod_desembolso!$A$1,Q206,23)))</f>
        <v>2805.9223082615817</v>
      </c>
      <c r="U206" s="149">
        <f>(constantes!$B$3*(1+constantes!$B$3)^(O206))/((1+constantes!$B$3)^(O206)-1)</f>
        <v>9.3678779051968114E-2</v>
      </c>
      <c r="V206" s="148">
        <f t="shared" ca="1" si="17"/>
        <v>262.85537595262508</v>
      </c>
      <c r="W206" s="148">
        <f ca="1">(IF(S206=0,"",V206/constantes!$B$3))*1</f>
        <v>3285.6921994078134</v>
      </c>
      <c r="X206" s="150">
        <f ca="1">IF(S206=0,"",PV(constantes!$B$3,O206,-V206)*constantes!$B$3)</f>
        <v>224.47378466092658</v>
      </c>
      <c r="Y206" s="85">
        <f t="shared" si="15"/>
        <v>1800</v>
      </c>
      <c r="Z206">
        <v>313</v>
      </c>
      <c r="AA206"/>
      <c r="AB206"/>
      <c r="AC206"/>
    </row>
    <row r="207" spans="1:29" s="396" customFormat="1">
      <c r="A207" s="290">
        <v>7314</v>
      </c>
      <c r="B207" s="23" t="str">
        <f t="shared" si="16"/>
        <v>SE-Imp_1500__kV_314</v>
      </c>
      <c r="C207" s="23">
        <v>805</v>
      </c>
      <c r="D207" s="142" t="str">
        <f>VLOOKUP(C207,tab_corredor!$A$2:$B$50,2,0)</f>
        <v>SE-Imp</v>
      </c>
      <c r="E207" s="23">
        <v>1500</v>
      </c>
      <c r="F207" s="23" t="s">
        <v>2724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290">
        <v>1</v>
      </c>
      <c r="L207" s="291" t="s">
        <v>2672</v>
      </c>
      <c r="M207" s="23">
        <v>2015</v>
      </c>
      <c r="N207" s="23">
        <v>2100</v>
      </c>
      <c r="O207" s="292">
        <v>25</v>
      </c>
      <c r="P207" s="293">
        <v>2700</v>
      </c>
      <c r="Q207" s="294">
        <v>1</v>
      </c>
      <c r="R207" s="23"/>
      <c r="S207" s="148">
        <f t="shared" si="14"/>
        <v>2700</v>
      </c>
      <c r="T207" s="148">
        <f ca="1">IF(S207=0,"",S207*(OFFSET(cod_desembolso!$A$1,Q207,23)))</f>
        <v>2805.9223082615817</v>
      </c>
      <c r="U207" s="149">
        <f>(constantes!$B$3*(1+constantes!$B$3)^(O207))/((1+constantes!$B$3)^(O207)-1)</f>
        <v>9.3678779051968114E-2</v>
      </c>
      <c r="V207" s="148">
        <f t="shared" ca="1" si="17"/>
        <v>262.85537595262508</v>
      </c>
      <c r="W207" s="148">
        <f ca="1">(IF(S207=0,"",V207/constantes!$B$3))*1</f>
        <v>3285.6921994078134</v>
      </c>
      <c r="X207" s="150">
        <f ca="1">IF(S207=0,"",PV(constantes!$B$3,O207,-V207)*constantes!$B$3)</f>
        <v>224.47378466092658</v>
      </c>
      <c r="Y207" s="85">
        <f t="shared" si="15"/>
        <v>1800</v>
      </c>
      <c r="Z207">
        <v>314</v>
      </c>
      <c r="AA207"/>
      <c r="AB207"/>
      <c r="AC207"/>
    </row>
    <row r="208" spans="1:29" s="396" customFormat="1">
      <c r="A208" s="290">
        <v>7315</v>
      </c>
      <c r="B208" s="23" t="str">
        <f t="shared" si="16"/>
        <v>SE-Imp_1500__kV_315</v>
      </c>
      <c r="C208" s="23">
        <v>805</v>
      </c>
      <c r="D208" s="142" t="str">
        <f>VLOOKUP(C208,tab_corredor!$A$2:$B$50,2,0)</f>
        <v>SE-Imp</v>
      </c>
      <c r="E208" s="23">
        <v>1500</v>
      </c>
      <c r="F208" s="23" t="s">
        <v>2724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290">
        <v>1</v>
      </c>
      <c r="L208" s="291" t="s">
        <v>2672</v>
      </c>
      <c r="M208" s="23">
        <v>2015</v>
      </c>
      <c r="N208" s="23">
        <v>2100</v>
      </c>
      <c r="O208" s="292">
        <v>25</v>
      </c>
      <c r="P208" s="293">
        <v>2700</v>
      </c>
      <c r="Q208" s="294">
        <v>1</v>
      </c>
      <c r="R208" s="23"/>
      <c r="S208" s="148">
        <f t="shared" si="14"/>
        <v>2700</v>
      </c>
      <c r="T208" s="148">
        <f ca="1">IF(S208=0,"",S208*(OFFSET(cod_desembolso!$A$1,Q208,23)))</f>
        <v>2805.9223082615817</v>
      </c>
      <c r="U208" s="149">
        <f>(constantes!$B$3*(1+constantes!$B$3)^(O208))/((1+constantes!$B$3)^(O208)-1)</f>
        <v>9.3678779051968114E-2</v>
      </c>
      <c r="V208" s="148">
        <f t="shared" ca="1" si="17"/>
        <v>262.85537595262508</v>
      </c>
      <c r="W208" s="148">
        <f ca="1">(IF(S208=0,"",V208/constantes!$B$3))*1</f>
        <v>3285.6921994078134</v>
      </c>
      <c r="X208" s="150">
        <f ca="1">IF(S208=0,"",PV(constantes!$B$3,O208,-V208)*constantes!$B$3)</f>
        <v>224.47378466092658</v>
      </c>
      <c r="Y208" s="85">
        <f t="shared" si="15"/>
        <v>1800</v>
      </c>
      <c r="Z208">
        <v>315</v>
      </c>
      <c r="AA208"/>
      <c r="AB208"/>
      <c r="AC208"/>
    </row>
    <row r="209" spans="1:29" s="396" customFormat="1">
      <c r="A209" s="290">
        <v>7316</v>
      </c>
      <c r="B209" s="23" t="str">
        <f t="shared" si="16"/>
        <v>SE-Imp_1500__kV_316</v>
      </c>
      <c r="C209" s="23">
        <v>805</v>
      </c>
      <c r="D209" s="142" t="str">
        <f>VLOOKUP(C209,tab_corredor!$A$2:$B$50,2,0)</f>
        <v>SE-Imp</v>
      </c>
      <c r="E209" s="23">
        <v>1500</v>
      </c>
      <c r="F209" s="23" t="s">
        <v>2724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290">
        <v>1</v>
      </c>
      <c r="L209" s="291" t="s">
        <v>2672</v>
      </c>
      <c r="M209" s="23">
        <v>2015</v>
      </c>
      <c r="N209" s="23">
        <v>2100</v>
      </c>
      <c r="O209" s="292">
        <v>25</v>
      </c>
      <c r="P209" s="293">
        <v>2700</v>
      </c>
      <c r="Q209" s="294">
        <v>1</v>
      </c>
      <c r="R209" s="23"/>
      <c r="S209" s="148">
        <f t="shared" ref="S209:S272" si="18">P209+R209</f>
        <v>2700</v>
      </c>
      <c r="T209" s="148">
        <f ca="1">IF(S209=0,"",S209*(OFFSET(cod_desembolso!$A$1,Q209,23)))</f>
        <v>2805.9223082615817</v>
      </c>
      <c r="U209" s="149">
        <f>(constantes!$B$3*(1+constantes!$B$3)^(O209))/((1+constantes!$B$3)^(O209)-1)</f>
        <v>9.3678779051968114E-2</v>
      </c>
      <c r="V209" s="148">
        <f t="shared" ca="1" si="17"/>
        <v>262.85537595262508</v>
      </c>
      <c r="W209" s="148">
        <f ca="1">(IF(S209=0,"",V209/constantes!$B$3))*1</f>
        <v>3285.6921994078134</v>
      </c>
      <c r="X209" s="150">
        <f ca="1">IF(S209=0,"",PV(constantes!$B$3,O209,-V209)*constantes!$B$3)</f>
        <v>224.47378466092658</v>
      </c>
      <c r="Y209" s="85">
        <f t="shared" ref="Y209:Y272" si="19">S209/E209*1000</f>
        <v>1800</v>
      </c>
      <c r="Z209">
        <v>316</v>
      </c>
      <c r="AA209"/>
      <c r="AB209"/>
      <c r="AC209"/>
    </row>
    <row r="210" spans="1:29" s="396" customFormat="1">
      <c r="A210" s="290">
        <v>7317</v>
      </c>
      <c r="B210" s="23" t="str">
        <f t="shared" si="16"/>
        <v>SE-Imp_1500__kV_317</v>
      </c>
      <c r="C210" s="23">
        <v>805</v>
      </c>
      <c r="D210" s="142" t="str">
        <f>VLOOKUP(C210,tab_corredor!$A$2:$B$50,2,0)</f>
        <v>SE-Imp</v>
      </c>
      <c r="E210" s="23">
        <v>1500</v>
      </c>
      <c r="F210" s="23" t="s">
        <v>2724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290">
        <v>1</v>
      </c>
      <c r="L210" s="291" t="s">
        <v>2672</v>
      </c>
      <c r="M210" s="23">
        <v>2015</v>
      </c>
      <c r="N210" s="23">
        <v>2100</v>
      </c>
      <c r="O210" s="292">
        <v>25</v>
      </c>
      <c r="P210" s="293">
        <v>2700</v>
      </c>
      <c r="Q210" s="294">
        <v>1</v>
      </c>
      <c r="R210" s="23"/>
      <c r="S210" s="148">
        <f t="shared" si="18"/>
        <v>2700</v>
      </c>
      <c r="T210" s="148">
        <f ca="1">IF(S210=0,"",S210*(OFFSET(cod_desembolso!$A$1,Q210,23)))</f>
        <v>2805.9223082615817</v>
      </c>
      <c r="U210" s="149">
        <f>(constantes!$B$3*(1+constantes!$B$3)^(O210))/((1+constantes!$B$3)^(O210)-1)</f>
        <v>9.3678779051968114E-2</v>
      </c>
      <c r="V210" s="148">
        <f t="shared" ca="1" si="17"/>
        <v>262.85537595262508</v>
      </c>
      <c r="W210" s="148">
        <f ca="1">(IF(S210=0,"",V210/constantes!$B$3))*1</f>
        <v>3285.6921994078134</v>
      </c>
      <c r="X210" s="150">
        <f ca="1">IF(S210=0,"",PV(constantes!$B$3,O210,-V210)*constantes!$B$3)</f>
        <v>224.47378466092658</v>
      </c>
      <c r="Y210" s="85">
        <f t="shared" si="19"/>
        <v>1800</v>
      </c>
      <c r="Z210">
        <v>317</v>
      </c>
      <c r="AA210"/>
      <c r="AB210"/>
      <c r="AC210"/>
    </row>
    <row r="211" spans="1:29" s="396" customFormat="1">
      <c r="A211" s="290">
        <v>7318</v>
      </c>
      <c r="B211" s="23" t="str">
        <f t="shared" si="16"/>
        <v>SE-Imp_1500__kV_318</v>
      </c>
      <c r="C211" s="23">
        <v>805</v>
      </c>
      <c r="D211" s="142" t="str">
        <f>VLOOKUP(C211,tab_corredor!$A$2:$B$50,2,0)</f>
        <v>SE-Imp</v>
      </c>
      <c r="E211" s="23">
        <v>1500</v>
      </c>
      <c r="F211" s="23" t="s">
        <v>2724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290">
        <v>1</v>
      </c>
      <c r="L211" s="291" t="s">
        <v>2672</v>
      </c>
      <c r="M211" s="23">
        <v>2015</v>
      </c>
      <c r="N211" s="23">
        <v>2100</v>
      </c>
      <c r="O211" s="292">
        <v>25</v>
      </c>
      <c r="P211" s="293">
        <v>2700</v>
      </c>
      <c r="Q211" s="294">
        <v>1</v>
      </c>
      <c r="R211" s="23"/>
      <c r="S211" s="148">
        <f t="shared" si="18"/>
        <v>2700</v>
      </c>
      <c r="T211" s="148">
        <f ca="1">IF(S211=0,"",S211*(OFFSET(cod_desembolso!$A$1,Q211,23)))</f>
        <v>2805.9223082615817</v>
      </c>
      <c r="U211" s="149">
        <f>(constantes!$B$3*(1+constantes!$B$3)^(O211))/((1+constantes!$B$3)^(O211)-1)</f>
        <v>9.3678779051968114E-2</v>
      </c>
      <c r="V211" s="148">
        <f t="shared" ca="1" si="17"/>
        <v>262.85537595262508</v>
      </c>
      <c r="W211" s="148">
        <f ca="1">(IF(S211=0,"",V211/constantes!$B$3))*1</f>
        <v>3285.6921994078134</v>
      </c>
      <c r="X211" s="150">
        <f ca="1">IF(S211=0,"",PV(constantes!$B$3,O211,-V211)*constantes!$B$3)</f>
        <v>224.47378466092658</v>
      </c>
      <c r="Y211" s="85">
        <f t="shared" si="19"/>
        <v>1800</v>
      </c>
      <c r="Z211">
        <v>318</v>
      </c>
      <c r="AA211"/>
      <c r="AB211"/>
      <c r="AC211"/>
    </row>
    <row r="212" spans="1:29" s="421" customFormat="1">
      <c r="A212" s="290">
        <v>7319</v>
      </c>
      <c r="B212" s="23" t="str">
        <f t="shared" si="16"/>
        <v>SE-Imp_1500__kV_319</v>
      </c>
      <c r="C212" s="23">
        <v>805</v>
      </c>
      <c r="D212" s="142" t="str">
        <f>VLOOKUP(C212,tab_corredor!$A$2:$B$50,2,0)</f>
        <v>SE-Imp</v>
      </c>
      <c r="E212" s="23">
        <v>1500</v>
      </c>
      <c r="F212" s="23" t="s">
        <v>2724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290">
        <v>1</v>
      </c>
      <c r="L212" s="291" t="s">
        <v>2672</v>
      </c>
      <c r="M212" s="23">
        <v>2015</v>
      </c>
      <c r="N212" s="23">
        <v>2100</v>
      </c>
      <c r="O212" s="292">
        <v>25</v>
      </c>
      <c r="P212" s="293">
        <v>2700</v>
      </c>
      <c r="Q212" s="294">
        <v>1</v>
      </c>
      <c r="R212" s="23"/>
      <c r="S212" s="148">
        <f t="shared" si="18"/>
        <v>2700</v>
      </c>
      <c r="T212" s="148">
        <f ca="1">IF(S212=0,"",S212*(OFFSET(cod_desembolso!$A$1,Q212,23)))</f>
        <v>2805.9223082615817</v>
      </c>
      <c r="U212" s="149">
        <f>(constantes!$B$3*(1+constantes!$B$3)^(O212))/((1+constantes!$B$3)^(O212)-1)</f>
        <v>9.3678779051968114E-2</v>
      </c>
      <c r="V212" s="148">
        <f t="shared" ca="1" si="17"/>
        <v>262.85537595262508</v>
      </c>
      <c r="W212" s="148">
        <f ca="1">(IF(S212=0,"",V212/constantes!$B$3))*1</f>
        <v>3285.6921994078134</v>
      </c>
      <c r="X212" s="150">
        <f ca="1">IF(S212=0,"",PV(constantes!$B$3,O212,-V212)*constantes!$B$3)</f>
        <v>224.47378466092658</v>
      </c>
      <c r="Y212" s="85">
        <f t="shared" si="19"/>
        <v>1800</v>
      </c>
      <c r="Z212">
        <v>319</v>
      </c>
      <c r="AA212"/>
      <c r="AB212"/>
      <c r="AC212"/>
    </row>
    <row r="213" spans="1:29" s="396" customFormat="1">
      <c r="A213" s="290">
        <v>7320</v>
      </c>
      <c r="B213" s="23" t="str">
        <f t="shared" si="16"/>
        <v>SE-Imp_1500__kV_320</v>
      </c>
      <c r="C213" s="23">
        <v>805</v>
      </c>
      <c r="D213" s="142" t="str">
        <f>VLOOKUP(C213,tab_corredor!$A$2:$B$50,2,0)</f>
        <v>SE-Imp</v>
      </c>
      <c r="E213" s="23">
        <v>1500</v>
      </c>
      <c r="F213" s="23" t="s">
        <v>2724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290">
        <v>1</v>
      </c>
      <c r="L213" s="291" t="s">
        <v>2672</v>
      </c>
      <c r="M213" s="23">
        <v>2015</v>
      </c>
      <c r="N213" s="23">
        <v>2100</v>
      </c>
      <c r="O213" s="292">
        <v>25</v>
      </c>
      <c r="P213" s="293">
        <v>2700</v>
      </c>
      <c r="Q213" s="294">
        <v>1</v>
      </c>
      <c r="R213" s="23"/>
      <c r="S213" s="148">
        <f t="shared" si="18"/>
        <v>2700</v>
      </c>
      <c r="T213" s="148">
        <f ca="1">IF(S213=0,"",S213*(OFFSET(cod_desembolso!$A$1,Q213,23)))</f>
        <v>2805.9223082615817</v>
      </c>
      <c r="U213" s="149">
        <f>(constantes!$B$3*(1+constantes!$B$3)^(O213))/((1+constantes!$B$3)^(O213)-1)</f>
        <v>9.3678779051968114E-2</v>
      </c>
      <c r="V213" s="148">
        <f t="shared" ca="1" si="17"/>
        <v>262.85537595262508</v>
      </c>
      <c r="W213" s="148">
        <f ca="1">(IF(S213=0,"",V213/constantes!$B$3))*1</f>
        <v>3285.6921994078134</v>
      </c>
      <c r="X213" s="150">
        <f ca="1">IF(S213=0,"",PV(constantes!$B$3,O213,-V213)*constantes!$B$3)</f>
        <v>224.47378466092658</v>
      </c>
      <c r="Y213" s="85">
        <f t="shared" si="19"/>
        <v>1800</v>
      </c>
      <c r="Z213">
        <v>320</v>
      </c>
      <c r="AA213"/>
      <c r="AB213"/>
      <c r="AC213"/>
    </row>
    <row r="214" spans="1:29" s="396" customFormat="1">
      <c r="A214" s="290">
        <v>7321</v>
      </c>
      <c r="B214" s="23" t="str">
        <f t="shared" si="16"/>
        <v>SE-Imp_1500__kV_321</v>
      </c>
      <c r="C214" s="23">
        <v>805</v>
      </c>
      <c r="D214" s="142" t="str">
        <f>VLOOKUP(C214,tab_corredor!$A$2:$B$50,2,0)</f>
        <v>SE-Imp</v>
      </c>
      <c r="E214" s="23">
        <v>1500</v>
      </c>
      <c r="F214" s="23" t="s">
        <v>2724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290">
        <v>1</v>
      </c>
      <c r="L214" s="291" t="s">
        <v>2672</v>
      </c>
      <c r="M214" s="23">
        <v>2015</v>
      </c>
      <c r="N214" s="23">
        <v>2100</v>
      </c>
      <c r="O214" s="292">
        <v>25</v>
      </c>
      <c r="P214" s="293">
        <v>2700</v>
      </c>
      <c r="Q214" s="294">
        <v>1</v>
      </c>
      <c r="R214" s="23"/>
      <c r="S214" s="148">
        <f t="shared" si="18"/>
        <v>2700</v>
      </c>
      <c r="T214" s="148">
        <f ca="1">IF(S214=0,"",S214*(OFFSET(cod_desembolso!$A$1,Q214,23)))</f>
        <v>2805.9223082615817</v>
      </c>
      <c r="U214" s="149">
        <f>(constantes!$B$3*(1+constantes!$B$3)^(O214))/((1+constantes!$B$3)^(O214)-1)</f>
        <v>9.3678779051968114E-2</v>
      </c>
      <c r="V214" s="148">
        <f t="shared" ca="1" si="17"/>
        <v>262.85537595262508</v>
      </c>
      <c r="W214" s="148">
        <f ca="1">(IF(S214=0,"",V214/constantes!$B$3))*1</f>
        <v>3285.6921994078134</v>
      </c>
      <c r="X214" s="150">
        <f ca="1">IF(S214=0,"",PV(constantes!$B$3,O214,-V214)*constantes!$B$3)</f>
        <v>224.47378466092658</v>
      </c>
      <c r="Y214" s="85">
        <f t="shared" si="19"/>
        <v>1800</v>
      </c>
      <c r="Z214">
        <v>321</v>
      </c>
      <c r="AA214"/>
      <c r="AB214"/>
      <c r="AC214"/>
    </row>
    <row r="215" spans="1:29" s="396" customFormat="1">
      <c r="A215" s="290">
        <v>7322</v>
      </c>
      <c r="B215" s="23" t="str">
        <f t="shared" si="16"/>
        <v>SE-Imp_1500__kV_322</v>
      </c>
      <c r="C215" s="23">
        <v>805</v>
      </c>
      <c r="D215" s="142" t="str">
        <f>VLOOKUP(C215,tab_corredor!$A$2:$B$50,2,0)</f>
        <v>SE-Imp</v>
      </c>
      <c r="E215" s="23">
        <v>1500</v>
      </c>
      <c r="F215" s="23" t="s">
        <v>2724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290">
        <v>1</v>
      </c>
      <c r="L215" s="291" t="s">
        <v>2672</v>
      </c>
      <c r="M215" s="23">
        <v>2015</v>
      </c>
      <c r="N215" s="23">
        <v>2100</v>
      </c>
      <c r="O215" s="292">
        <v>25</v>
      </c>
      <c r="P215" s="293">
        <v>2700</v>
      </c>
      <c r="Q215" s="294">
        <v>1</v>
      </c>
      <c r="R215" s="23"/>
      <c r="S215" s="148">
        <f t="shared" si="18"/>
        <v>2700</v>
      </c>
      <c r="T215" s="148">
        <f ca="1">IF(S215=0,"",S215*(OFFSET(cod_desembolso!$A$1,Q215,23)))</f>
        <v>2805.9223082615817</v>
      </c>
      <c r="U215" s="149">
        <f>(constantes!$B$3*(1+constantes!$B$3)^(O215))/((1+constantes!$B$3)^(O215)-1)</f>
        <v>9.3678779051968114E-2</v>
      </c>
      <c r="V215" s="148">
        <f t="shared" ca="1" si="17"/>
        <v>262.85537595262508</v>
      </c>
      <c r="W215" s="148">
        <f ca="1">(IF(S215=0,"",V215/constantes!$B$3))*1</f>
        <v>3285.6921994078134</v>
      </c>
      <c r="X215" s="150">
        <f ca="1">IF(S215=0,"",PV(constantes!$B$3,O215,-V215)*constantes!$B$3)</f>
        <v>224.47378466092658</v>
      </c>
      <c r="Y215" s="85">
        <f t="shared" si="19"/>
        <v>1800</v>
      </c>
      <c r="Z215">
        <v>322</v>
      </c>
      <c r="AA215"/>
      <c r="AB215"/>
      <c r="AC215"/>
    </row>
    <row r="216" spans="1:29" s="396" customFormat="1">
      <c r="A216" s="290">
        <v>7323</v>
      </c>
      <c r="B216" s="23" t="str">
        <f t="shared" si="16"/>
        <v>SE-Imp_1500__kV_323</v>
      </c>
      <c r="C216" s="23">
        <v>805</v>
      </c>
      <c r="D216" s="142" t="str">
        <f>VLOOKUP(C216,tab_corredor!$A$2:$B$50,2,0)</f>
        <v>SE-Imp</v>
      </c>
      <c r="E216" s="23">
        <v>1500</v>
      </c>
      <c r="F216" s="23" t="s">
        <v>2724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290">
        <v>1</v>
      </c>
      <c r="L216" s="291" t="s">
        <v>2672</v>
      </c>
      <c r="M216" s="23">
        <v>2015</v>
      </c>
      <c r="N216" s="23">
        <v>2100</v>
      </c>
      <c r="O216" s="292">
        <v>25</v>
      </c>
      <c r="P216" s="293">
        <v>2700</v>
      </c>
      <c r="Q216" s="294">
        <v>1</v>
      </c>
      <c r="R216" s="23"/>
      <c r="S216" s="148">
        <f t="shared" si="18"/>
        <v>2700</v>
      </c>
      <c r="T216" s="148">
        <f ca="1">IF(S216=0,"",S216*(OFFSET(cod_desembolso!$A$1,Q216,23)))</f>
        <v>2805.9223082615817</v>
      </c>
      <c r="U216" s="149">
        <f>(constantes!$B$3*(1+constantes!$B$3)^(O216))/((1+constantes!$B$3)^(O216)-1)</f>
        <v>9.3678779051968114E-2</v>
      </c>
      <c r="V216" s="148">
        <f t="shared" ca="1" si="17"/>
        <v>262.85537595262508</v>
      </c>
      <c r="W216" s="148">
        <f ca="1">(IF(S216=0,"",V216/constantes!$B$3))*1</f>
        <v>3285.6921994078134</v>
      </c>
      <c r="X216" s="150">
        <f ca="1">IF(S216=0,"",PV(constantes!$B$3,O216,-V216)*constantes!$B$3)</f>
        <v>224.47378466092658</v>
      </c>
      <c r="Y216" s="85">
        <f t="shared" si="19"/>
        <v>1800</v>
      </c>
      <c r="Z216">
        <v>323</v>
      </c>
      <c r="AA216"/>
      <c r="AB216"/>
      <c r="AC216"/>
    </row>
    <row r="217" spans="1:29" s="396" customFormat="1">
      <c r="A217" s="290">
        <v>7324</v>
      </c>
      <c r="B217" s="23" t="str">
        <f t="shared" si="16"/>
        <v>SE-Imp_1500__kV_324</v>
      </c>
      <c r="C217" s="23">
        <v>805</v>
      </c>
      <c r="D217" s="142" t="str">
        <f>VLOOKUP(C217,tab_corredor!$A$2:$B$50,2,0)</f>
        <v>SE-Imp</v>
      </c>
      <c r="E217" s="23">
        <v>1500</v>
      </c>
      <c r="F217" s="23" t="s">
        <v>2724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290">
        <v>1</v>
      </c>
      <c r="L217" s="291" t="s">
        <v>2672</v>
      </c>
      <c r="M217" s="23">
        <v>2015</v>
      </c>
      <c r="N217" s="23">
        <v>2100</v>
      </c>
      <c r="O217" s="292">
        <v>25</v>
      </c>
      <c r="P217" s="293">
        <v>2700</v>
      </c>
      <c r="Q217" s="294">
        <v>1</v>
      </c>
      <c r="R217" s="23"/>
      <c r="S217" s="148">
        <f t="shared" si="18"/>
        <v>2700</v>
      </c>
      <c r="T217" s="148">
        <f ca="1">IF(S217=0,"",S217*(OFFSET(cod_desembolso!$A$1,Q217,23)))</f>
        <v>2805.9223082615817</v>
      </c>
      <c r="U217" s="149">
        <f>(constantes!$B$3*(1+constantes!$B$3)^(O217))/((1+constantes!$B$3)^(O217)-1)</f>
        <v>9.3678779051968114E-2</v>
      </c>
      <c r="V217" s="148">
        <f t="shared" ca="1" si="17"/>
        <v>262.85537595262508</v>
      </c>
      <c r="W217" s="148">
        <f ca="1">(IF(S217=0,"",V217/constantes!$B$3))*1</f>
        <v>3285.6921994078134</v>
      </c>
      <c r="X217" s="150">
        <f ca="1">IF(S217=0,"",PV(constantes!$B$3,O217,-V217)*constantes!$B$3)</f>
        <v>224.47378466092658</v>
      </c>
      <c r="Y217" s="85">
        <f t="shared" si="19"/>
        <v>1800</v>
      </c>
      <c r="Z217">
        <v>324</v>
      </c>
      <c r="AA217"/>
      <c r="AB217"/>
      <c r="AC217"/>
    </row>
    <row r="218" spans="1:29">
      <c r="A218" s="290">
        <v>7325</v>
      </c>
      <c r="B218" s="23" t="str">
        <f t="shared" si="16"/>
        <v>SE-Imp_1500__kV_325</v>
      </c>
      <c r="C218" s="23">
        <v>805</v>
      </c>
      <c r="D218" s="142" t="str">
        <f>VLOOKUP(C218,tab_corredor!$A$2:$B$50,2,0)</f>
        <v>SE-Imp</v>
      </c>
      <c r="E218" s="23">
        <v>1500</v>
      </c>
      <c r="F218" s="23" t="s">
        <v>2724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2672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148">
        <f t="shared" si="18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7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9"/>
        <v>1800</v>
      </c>
      <c r="Z218">
        <v>325</v>
      </c>
    </row>
    <row r="219" spans="1:29">
      <c r="A219" s="290">
        <v>7326</v>
      </c>
      <c r="B219" s="23" t="str">
        <f t="shared" si="16"/>
        <v>SE-Imp_1500__kV_326</v>
      </c>
      <c r="C219" s="23">
        <v>805</v>
      </c>
      <c r="D219" s="142" t="str">
        <f>VLOOKUP(C219,tab_corredor!$A$2:$B$50,2,0)</f>
        <v>SE-Imp</v>
      </c>
      <c r="E219" s="23">
        <v>1500</v>
      </c>
      <c r="F219" s="23" t="s">
        <v>2724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2672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si="18"/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7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9"/>
        <v>1800</v>
      </c>
      <c r="Z219">
        <v>326</v>
      </c>
    </row>
    <row r="220" spans="1:29">
      <c r="A220" s="290">
        <v>7327</v>
      </c>
      <c r="B220" s="23" t="str">
        <f t="shared" si="16"/>
        <v>SE-Imp_1500__kV_327</v>
      </c>
      <c r="C220" s="23">
        <v>805</v>
      </c>
      <c r="D220" s="142" t="str">
        <f>VLOOKUP(C220,tab_corredor!$A$2:$B$50,2,0)</f>
        <v>SE-Imp</v>
      </c>
      <c r="E220" s="23">
        <v>1500</v>
      </c>
      <c r="F220" s="23" t="s">
        <v>2724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2672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8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7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9"/>
        <v>1800</v>
      </c>
      <c r="Z220">
        <v>327</v>
      </c>
    </row>
    <row r="221" spans="1:29">
      <c r="A221" s="290">
        <v>7100</v>
      </c>
      <c r="B221" s="23" t="str">
        <f t="shared" si="16"/>
        <v>SE-NE_1500__kV_100</v>
      </c>
      <c r="C221" s="23">
        <v>802</v>
      </c>
      <c r="D221" s="142" t="str">
        <f>VLOOKUP(C221,tab_corredor!$A$2:$B$50,2,0)</f>
        <v>SE-NE</v>
      </c>
      <c r="E221" s="23">
        <v>1500</v>
      </c>
      <c r="F221" s="23" t="s">
        <v>2724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2672</v>
      </c>
      <c r="M221" s="23">
        <v>2015</v>
      </c>
      <c r="N221" s="23">
        <v>2100</v>
      </c>
      <c r="O221" s="292">
        <v>25</v>
      </c>
      <c r="P221" s="293">
        <v>2100</v>
      </c>
      <c r="Q221" s="294">
        <v>1</v>
      </c>
      <c r="R221" s="23"/>
      <c r="S221" s="148">
        <f t="shared" si="18"/>
        <v>2100</v>
      </c>
      <c r="T221" s="148">
        <f ca="1">IF(S221=0,"",S221*(OFFSET(cod_desembolso!$A$1,Q221,23)))</f>
        <v>2182.3840175367854</v>
      </c>
      <c r="U221" s="149">
        <f>(constantes!$B$3*(1+constantes!$B$3)^(O221))/((1+constantes!$B$3)^(O221)-1)</f>
        <v>9.3678779051968114E-2</v>
      </c>
      <c r="V221" s="148">
        <f t="shared" ca="1" si="17"/>
        <v>204.44307018537503</v>
      </c>
      <c r="W221" s="148">
        <f ca="1">(IF(S221=0,"",V221/constantes!$B$3))*1</f>
        <v>2555.538377317188</v>
      </c>
      <c r="X221" s="150">
        <f ca="1">IF(S221=0,"",PV(constantes!$B$3,O221,-V221)*constantes!$B$3)</f>
        <v>174.59072140294285</v>
      </c>
      <c r="Y221" s="85">
        <f t="shared" si="19"/>
        <v>1400</v>
      </c>
      <c r="Z221">
        <v>100</v>
      </c>
    </row>
    <row r="222" spans="1:29">
      <c r="A222" s="290">
        <v>7101</v>
      </c>
      <c r="B222" s="23" t="str">
        <f t="shared" si="16"/>
        <v>SE-NE_1500__kV_101</v>
      </c>
      <c r="C222" s="23">
        <v>802</v>
      </c>
      <c r="D222" s="142" t="str">
        <f>VLOOKUP(C222,tab_corredor!$A$2:$B$50,2,0)</f>
        <v>SE-NE</v>
      </c>
      <c r="E222" s="23">
        <v>1500</v>
      </c>
      <c r="F222" s="23" t="s">
        <v>2724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2672</v>
      </c>
      <c r="M222" s="23">
        <v>2015</v>
      </c>
      <c r="N222" s="23">
        <v>2100</v>
      </c>
      <c r="O222" s="292">
        <v>25</v>
      </c>
      <c r="P222" s="293">
        <v>2100</v>
      </c>
      <c r="Q222" s="294">
        <v>1</v>
      </c>
      <c r="R222" s="23"/>
      <c r="S222" s="148">
        <f t="shared" si="18"/>
        <v>2100</v>
      </c>
      <c r="T222" s="148">
        <f ca="1">IF(S222=0,"",S222*(OFFSET(cod_desembolso!$A$1,Q222,23)))</f>
        <v>2182.3840175367854</v>
      </c>
      <c r="U222" s="149">
        <f>(constantes!$B$3*(1+constantes!$B$3)^(O222))/((1+constantes!$B$3)^(O222)-1)</f>
        <v>9.3678779051968114E-2</v>
      </c>
      <c r="V222" s="148">
        <f t="shared" ca="1" si="17"/>
        <v>204.44307018537503</v>
      </c>
      <c r="W222" s="148">
        <f ca="1">(IF(S222=0,"",V222/constantes!$B$3))*1</f>
        <v>2555.538377317188</v>
      </c>
      <c r="X222" s="150">
        <f ca="1">IF(S222=0,"",PV(constantes!$B$3,O222,-V222)*constantes!$B$3)</f>
        <v>174.59072140294285</v>
      </c>
      <c r="Y222" s="85">
        <f t="shared" si="19"/>
        <v>1400</v>
      </c>
      <c r="Z222">
        <v>101</v>
      </c>
    </row>
    <row r="223" spans="1:29">
      <c r="A223" s="290">
        <v>7102</v>
      </c>
      <c r="B223" s="23" t="str">
        <f t="shared" si="16"/>
        <v>SE-NE_1500__kV_102</v>
      </c>
      <c r="C223" s="23">
        <v>802</v>
      </c>
      <c r="D223" s="142" t="str">
        <f>VLOOKUP(C223,tab_corredor!$A$2:$B$50,2,0)</f>
        <v>SE-NE</v>
      </c>
      <c r="E223" s="23">
        <v>1500</v>
      </c>
      <c r="F223" s="23" t="s">
        <v>2724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2672</v>
      </c>
      <c r="M223" s="23">
        <v>2015</v>
      </c>
      <c r="N223" s="23">
        <v>2100</v>
      </c>
      <c r="O223" s="292">
        <v>25</v>
      </c>
      <c r="P223" s="293">
        <v>2100</v>
      </c>
      <c r="Q223" s="294">
        <v>1</v>
      </c>
      <c r="R223" s="23"/>
      <c r="S223" s="148">
        <f t="shared" si="18"/>
        <v>2100</v>
      </c>
      <c r="T223" s="148">
        <f ca="1">IF(S223=0,"",S223*(OFFSET(cod_desembolso!$A$1,Q223,23)))</f>
        <v>2182.3840175367854</v>
      </c>
      <c r="U223" s="149">
        <f>(constantes!$B$3*(1+constantes!$B$3)^(O223))/((1+constantes!$B$3)^(O223)-1)</f>
        <v>9.3678779051968114E-2</v>
      </c>
      <c r="V223" s="148">
        <f t="shared" ca="1" si="17"/>
        <v>204.44307018537503</v>
      </c>
      <c r="W223" s="148">
        <f ca="1">(IF(S223=0,"",V223/constantes!$B$3))*1</f>
        <v>2555.538377317188</v>
      </c>
      <c r="X223" s="150">
        <f ca="1">IF(S223=0,"",PV(constantes!$B$3,O223,-V223)*constantes!$B$3)</f>
        <v>174.59072140294285</v>
      </c>
      <c r="Y223" s="85">
        <f t="shared" si="19"/>
        <v>1400</v>
      </c>
      <c r="Z223">
        <v>102</v>
      </c>
    </row>
    <row r="224" spans="1:29">
      <c r="A224" s="290">
        <v>7103</v>
      </c>
      <c r="B224" s="23" t="str">
        <f t="shared" si="16"/>
        <v>SE-NE_1500__kV_103</v>
      </c>
      <c r="C224" s="23">
        <v>802</v>
      </c>
      <c r="D224" s="142" t="str">
        <f>VLOOKUP(C224,tab_corredor!$A$2:$B$50,2,0)</f>
        <v>SE-NE</v>
      </c>
      <c r="E224" s="23">
        <v>1500</v>
      </c>
      <c r="F224" s="23" t="s">
        <v>2724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2672</v>
      </c>
      <c r="M224" s="23">
        <v>2015</v>
      </c>
      <c r="N224" s="23">
        <v>2100</v>
      </c>
      <c r="O224" s="292">
        <v>25</v>
      </c>
      <c r="P224" s="293">
        <v>2100</v>
      </c>
      <c r="Q224" s="294">
        <v>1</v>
      </c>
      <c r="R224" s="23"/>
      <c r="S224" s="148">
        <f t="shared" si="18"/>
        <v>2100</v>
      </c>
      <c r="T224" s="148">
        <f ca="1">IF(S224=0,"",S224*(OFFSET(cod_desembolso!$A$1,Q224,23)))</f>
        <v>2182.3840175367854</v>
      </c>
      <c r="U224" s="149">
        <f>(constantes!$B$3*(1+constantes!$B$3)^(O224))/((1+constantes!$B$3)^(O224)-1)</f>
        <v>9.3678779051968114E-2</v>
      </c>
      <c r="V224" s="148">
        <f t="shared" ca="1" si="17"/>
        <v>204.44307018537503</v>
      </c>
      <c r="W224" s="148">
        <f ca="1">(IF(S224=0,"",V224/constantes!$B$3))*1</f>
        <v>2555.538377317188</v>
      </c>
      <c r="X224" s="150">
        <f ca="1">IF(S224=0,"",PV(constantes!$B$3,O224,-V224)*constantes!$B$3)</f>
        <v>174.59072140294285</v>
      </c>
      <c r="Y224" s="85">
        <f t="shared" si="19"/>
        <v>1400</v>
      </c>
      <c r="Z224">
        <v>103</v>
      </c>
    </row>
    <row r="225" spans="1:26">
      <c r="A225" s="290">
        <v>7104</v>
      </c>
      <c r="B225" s="23" t="str">
        <f t="shared" si="16"/>
        <v>SE-NE_1500__kV_104</v>
      </c>
      <c r="C225" s="23">
        <v>802</v>
      </c>
      <c r="D225" s="142" t="str">
        <f>VLOOKUP(C225,tab_corredor!$A$2:$B$50,2,0)</f>
        <v>SE-NE</v>
      </c>
      <c r="E225" s="23">
        <v>1500</v>
      </c>
      <c r="F225" s="23" t="s">
        <v>2724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2672</v>
      </c>
      <c r="M225" s="23">
        <v>2015</v>
      </c>
      <c r="N225" s="23">
        <v>2100</v>
      </c>
      <c r="O225" s="292">
        <v>25</v>
      </c>
      <c r="P225" s="293">
        <v>2100</v>
      </c>
      <c r="Q225" s="294">
        <v>1</v>
      </c>
      <c r="R225" s="23"/>
      <c r="S225" s="148">
        <f t="shared" si="18"/>
        <v>2100</v>
      </c>
      <c r="T225" s="148">
        <f ca="1">IF(S225=0,"",S225*(OFFSET(cod_desembolso!$A$1,Q225,23)))</f>
        <v>2182.3840175367854</v>
      </c>
      <c r="U225" s="149">
        <f>(constantes!$B$3*(1+constantes!$B$3)^(O225))/((1+constantes!$B$3)^(O225)-1)</f>
        <v>9.3678779051968114E-2</v>
      </c>
      <c r="V225" s="148">
        <f t="shared" ca="1" si="17"/>
        <v>204.44307018537503</v>
      </c>
      <c r="W225" s="148">
        <f ca="1">(IF(S225=0,"",V225/constantes!$B$3))*1</f>
        <v>2555.538377317188</v>
      </c>
      <c r="X225" s="150">
        <f ca="1">IF(S225=0,"",PV(constantes!$B$3,O225,-V225)*constantes!$B$3)</f>
        <v>174.59072140294285</v>
      </c>
      <c r="Y225" s="85">
        <f t="shared" si="19"/>
        <v>1400</v>
      </c>
      <c r="Z225">
        <v>104</v>
      </c>
    </row>
    <row r="226" spans="1:26">
      <c r="A226" s="290">
        <v>7105</v>
      </c>
      <c r="B226" s="23" t="str">
        <f t="shared" si="16"/>
        <v>SE-NE_1500__kV_105</v>
      </c>
      <c r="C226" s="23">
        <v>802</v>
      </c>
      <c r="D226" s="142" t="str">
        <f>VLOOKUP(C226,tab_corredor!$A$2:$B$50,2,0)</f>
        <v>SE-NE</v>
      </c>
      <c r="E226" s="23">
        <v>1500</v>
      </c>
      <c r="F226" s="23" t="s">
        <v>2724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2672</v>
      </c>
      <c r="M226" s="23">
        <v>2015</v>
      </c>
      <c r="N226" s="23">
        <v>2100</v>
      </c>
      <c r="O226" s="292">
        <v>25</v>
      </c>
      <c r="P226" s="293">
        <v>2100</v>
      </c>
      <c r="Q226" s="294">
        <v>1</v>
      </c>
      <c r="R226" s="23"/>
      <c r="S226" s="148">
        <f t="shared" si="18"/>
        <v>2100</v>
      </c>
      <c r="T226" s="148">
        <f ca="1">IF(S226=0,"",S226*(OFFSET(cod_desembolso!$A$1,Q226,23)))</f>
        <v>2182.3840175367854</v>
      </c>
      <c r="U226" s="149">
        <f>(constantes!$B$3*(1+constantes!$B$3)^(O226))/((1+constantes!$B$3)^(O226)-1)</f>
        <v>9.3678779051968114E-2</v>
      </c>
      <c r="V226" s="148">
        <f t="shared" ca="1" si="17"/>
        <v>204.44307018537503</v>
      </c>
      <c r="W226" s="148">
        <f ca="1">(IF(S226=0,"",V226/constantes!$B$3))*1</f>
        <v>2555.538377317188</v>
      </c>
      <c r="X226" s="150">
        <f ca="1">IF(S226=0,"",PV(constantes!$B$3,O226,-V226)*constantes!$B$3)</f>
        <v>174.59072140294285</v>
      </c>
      <c r="Y226" s="85">
        <f t="shared" si="19"/>
        <v>1400</v>
      </c>
      <c r="Z226">
        <v>105</v>
      </c>
    </row>
    <row r="227" spans="1:26">
      <c r="A227" s="290">
        <v>7106</v>
      </c>
      <c r="B227" s="23" t="str">
        <f t="shared" si="16"/>
        <v>SE-NE_1500__kV_106</v>
      </c>
      <c r="C227" s="23">
        <v>802</v>
      </c>
      <c r="D227" s="142" t="str">
        <f>VLOOKUP(C227,tab_corredor!$A$2:$B$50,2,0)</f>
        <v>SE-NE</v>
      </c>
      <c r="E227" s="23">
        <v>1500</v>
      </c>
      <c r="F227" s="23" t="s">
        <v>2724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2672</v>
      </c>
      <c r="M227" s="23">
        <v>2015</v>
      </c>
      <c r="N227" s="23">
        <v>2100</v>
      </c>
      <c r="O227" s="292">
        <v>25</v>
      </c>
      <c r="P227" s="293">
        <v>2100</v>
      </c>
      <c r="Q227" s="294">
        <v>1</v>
      </c>
      <c r="R227" s="23"/>
      <c r="S227" s="148">
        <f t="shared" si="18"/>
        <v>2100</v>
      </c>
      <c r="T227" s="148">
        <f ca="1">IF(S227=0,"",S227*(OFFSET(cod_desembolso!$A$1,Q227,23)))</f>
        <v>2182.3840175367854</v>
      </c>
      <c r="U227" s="149">
        <f>(constantes!$B$3*(1+constantes!$B$3)^(O227))/((1+constantes!$B$3)^(O227)-1)</f>
        <v>9.3678779051968114E-2</v>
      </c>
      <c r="V227" s="148">
        <f t="shared" ca="1" si="17"/>
        <v>204.44307018537503</v>
      </c>
      <c r="W227" s="148">
        <f ca="1">(IF(S227=0,"",V227/constantes!$B$3))*1</f>
        <v>2555.538377317188</v>
      </c>
      <c r="X227" s="150">
        <f ca="1">IF(S227=0,"",PV(constantes!$B$3,O227,-V227)*constantes!$B$3)</f>
        <v>174.59072140294285</v>
      </c>
      <c r="Y227" s="85">
        <f t="shared" si="19"/>
        <v>1400</v>
      </c>
      <c r="Z227">
        <v>106</v>
      </c>
    </row>
    <row r="228" spans="1:26">
      <c r="A228" s="290">
        <v>7107</v>
      </c>
      <c r="B228" s="23" t="str">
        <f t="shared" si="16"/>
        <v>SE-NE_1500__kV_107</v>
      </c>
      <c r="C228" s="23">
        <v>802</v>
      </c>
      <c r="D228" s="142" t="str">
        <f>VLOOKUP(C228,tab_corredor!$A$2:$B$50,2,0)</f>
        <v>SE-NE</v>
      </c>
      <c r="E228" s="23">
        <v>1500</v>
      </c>
      <c r="F228" s="23" t="s">
        <v>2724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2672</v>
      </c>
      <c r="M228" s="23">
        <v>2015</v>
      </c>
      <c r="N228" s="23">
        <v>2100</v>
      </c>
      <c r="O228" s="292">
        <v>25</v>
      </c>
      <c r="P228" s="293">
        <v>2100</v>
      </c>
      <c r="Q228" s="294">
        <v>1</v>
      </c>
      <c r="R228" s="23"/>
      <c r="S228" s="148">
        <f t="shared" si="18"/>
        <v>2100</v>
      </c>
      <c r="T228" s="148">
        <f ca="1">IF(S228=0,"",S228*(OFFSET(cod_desembolso!$A$1,Q228,23)))</f>
        <v>2182.3840175367854</v>
      </c>
      <c r="U228" s="149">
        <f>(constantes!$B$3*(1+constantes!$B$3)^(O228))/((1+constantes!$B$3)^(O228)-1)</f>
        <v>9.3678779051968114E-2</v>
      </c>
      <c r="V228" s="148">
        <f t="shared" ca="1" si="17"/>
        <v>204.44307018537503</v>
      </c>
      <c r="W228" s="148">
        <f ca="1">(IF(S228=0,"",V228/constantes!$B$3))*1</f>
        <v>2555.538377317188</v>
      </c>
      <c r="X228" s="150">
        <f ca="1">IF(S228=0,"",PV(constantes!$B$3,O228,-V228)*constantes!$B$3)</f>
        <v>174.59072140294285</v>
      </c>
      <c r="Y228" s="85">
        <f t="shared" si="19"/>
        <v>1400</v>
      </c>
      <c r="Z228">
        <v>107</v>
      </c>
    </row>
    <row r="229" spans="1:26">
      <c r="A229" s="290">
        <v>7108</v>
      </c>
      <c r="B229" s="23" t="str">
        <f t="shared" si="16"/>
        <v>SE-NE_1500__kV_108</v>
      </c>
      <c r="C229" s="23">
        <v>802</v>
      </c>
      <c r="D229" s="142" t="str">
        <f>VLOOKUP(C229,tab_corredor!$A$2:$B$50,2,0)</f>
        <v>SE-NE</v>
      </c>
      <c r="E229" s="23">
        <v>1500</v>
      </c>
      <c r="F229" s="23" t="s">
        <v>2724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2672</v>
      </c>
      <c r="M229" s="23">
        <v>2015</v>
      </c>
      <c r="N229" s="23">
        <v>2100</v>
      </c>
      <c r="O229" s="292">
        <v>25</v>
      </c>
      <c r="P229" s="293">
        <v>2100</v>
      </c>
      <c r="Q229" s="294">
        <v>1</v>
      </c>
      <c r="R229" s="23"/>
      <c r="S229" s="148">
        <f t="shared" si="18"/>
        <v>2100</v>
      </c>
      <c r="T229" s="148">
        <f ca="1">IF(S229=0,"",S229*(OFFSET(cod_desembolso!$A$1,Q229,23)))</f>
        <v>2182.3840175367854</v>
      </c>
      <c r="U229" s="149">
        <f>(constantes!$B$3*(1+constantes!$B$3)^(O229))/((1+constantes!$B$3)^(O229)-1)</f>
        <v>9.3678779051968114E-2</v>
      </c>
      <c r="V229" s="148">
        <f t="shared" ca="1" si="17"/>
        <v>204.44307018537503</v>
      </c>
      <c r="W229" s="148">
        <f ca="1">(IF(S229=0,"",V229/constantes!$B$3))*1</f>
        <v>2555.538377317188</v>
      </c>
      <c r="X229" s="150">
        <f ca="1">IF(S229=0,"",PV(constantes!$B$3,O229,-V229)*constantes!$B$3)</f>
        <v>174.59072140294285</v>
      </c>
      <c r="Y229" s="85">
        <f t="shared" si="19"/>
        <v>1400</v>
      </c>
      <c r="Z229">
        <v>108</v>
      </c>
    </row>
    <row r="230" spans="1:26">
      <c r="A230" s="290">
        <v>7109</v>
      </c>
      <c r="B230" s="23" t="str">
        <f t="shared" si="16"/>
        <v>SE-NE_1500__kV_109</v>
      </c>
      <c r="C230" s="23">
        <v>802</v>
      </c>
      <c r="D230" s="142" t="str">
        <f>VLOOKUP(C230,tab_corredor!$A$2:$B$50,2,0)</f>
        <v>SE-NE</v>
      </c>
      <c r="E230" s="23">
        <v>1500</v>
      </c>
      <c r="F230" s="23" t="s">
        <v>2724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2672</v>
      </c>
      <c r="M230" s="23">
        <v>2015</v>
      </c>
      <c r="N230" s="23">
        <v>2100</v>
      </c>
      <c r="O230" s="292">
        <v>25</v>
      </c>
      <c r="P230" s="293">
        <v>2100</v>
      </c>
      <c r="Q230" s="294">
        <v>1</v>
      </c>
      <c r="R230" s="23"/>
      <c r="S230" s="148">
        <f t="shared" si="18"/>
        <v>2100</v>
      </c>
      <c r="T230" s="148">
        <f ca="1">IF(S230=0,"",S230*(OFFSET(cod_desembolso!$A$1,Q230,23)))</f>
        <v>2182.3840175367854</v>
      </c>
      <c r="U230" s="149">
        <f>(constantes!$B$3*(1+constantes!$B$3)^(O230))/((1+constantes!$B$3)^(O230)-1)</f>
        <v>9.3678779051968114E-2</v>
      </c>
      <c r="V230" s="148">
        <f t="shared" ca="1" si="17"/>
        <v>204.44307018537503</v>
      </c>
      <c r="W230" s="148">
        <f ca="1">(IF(S230=0,"",V230/constantes!$B$3))*1</f>
        <v>2555.538377317188</v>
      </c>
      <c r="X230" s="150">
        <f ca="1">IF(S230=0,"",PV(constantes!$B$3,O230,-V230)*constantes!$B$3)</f>
        <v>174.59072140294285</v>
      </c>
      <c r="Y230" s="85">
        <f t="shared" si="19"/>
        <v>1400</v>
      </c>
      <c r="Z230">
        <v>109</v>
      </c>
    </row>
    <row r="231" spans="1:26">
      <c r="A231" s="290">
        <v>7110</v>
      </c>
      <c r="B231" s="23" t="str">
        <f t="shared" si="16"/>
        <v>SE-NE_1500__kV_110</v>
      </c>
      <c r="C231" s="23">
        <v>802</v>
      </c>
      <c r="D231" s="142" t="str">
        <f>VLOOKUP(C231,tab_corredor!$A$2:$B$50,2,0)</f>
        <v>SE-NE</v>
      </c>
      <c r="E231" s="23">
        <v>1500</v>
      </c>
      <c r="F231" s="23" t="s">
        <v>2724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2672</v>
      </c>
      <c r="M231" s="23">
        <v>2015</v>
      </c>
      <c r="N231" s="23">
        <v>2100</v>
      </c>
      <c r="O231" s="292">
        <v>25</v>
      </c>
      <c r="P231" s="293">
        <v>2100</v>
      </c>
      <c r="Q231" s="294">
        <v>1</v>
      </c>
      <c r="R231" s="23"/>
      <c r="S231" s="148">
        <f t="shared" si="18"/>
        <v>2100</v>
      </c>
      <c r="T231" s="148">
        <f ca="1">IF(S231=0,"",S231*(OFFSET(cod_desembolso!$A$1,Q231,23)))</f>
        <v>2182.3840175367854</v>
      </c>
      <c r="U231" s="149">
        <f>(constantes!$B$3*(1+constantes!$B$3)^(O231))/((1+constantes!$B$3)^(O231)-1)</f>
        <v>9.3678779051968114E-2</v>
      </c>
      <c r="V231" s="148">
        <f t="shared" ca="1" si="17"/>
        <v>204.44307018537503</v>
      </c>
      <c r="W231" s="148">
        <f ca="1">(IF(S231=0,"",V231/constantes!$B$3))*1</f>
        <v>2555.538377317188</v>
      </c>
      <c r="X231" s="150">
        <f ca="1">IF(S231=0,"",PV(constantes!$B$3,O231,-V231)*constantes!$B$3)</f>
        <v>174.59072140294285</v>
      </c>
      <c r="Y231" s="85">
        <f t="shared" si="19"/>
        <v>1400</v>
      </c>
      <c r="Z231">
        <v>110</v>
      </c>
    </row>
    <row r="232" spans="1:26">
      <c r="A232" s="290">
        <v>7111</v>
      </c>
      <c r="B232" s="23" t="str">
        <f t="shared" si="16"/>
        <v>SE-NE_1500__kV_111</v>
      </c>
      <c r="C232" s="23">
        <v>802</v>
      </c>
      <c r="D232" s="142" t="str">
        <f>VLOOKUP(C232,tab_corredor!$A$2:$B$50,2,0)</f>
        <v>SE-NE</v>
      </c>
      <c r="E232" s="23">
        <v>1500</v>
      </c>
      <c r="F232" s="23" t="s">
        <v>2724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2672</v>
      </c>
      <c r="M232" s="23">
        <v>2015</v>
      </c>
      <c r="N232" s="23">
        <v>2100</v>
      </c>
      <c r="O232" s="292">
        <v>25</v>
      </c>
      <c r="P232" s="293">
        <v>2100</v>
      </c>
      <c r="Q232" s="294">
        <v>1</v>
      </c>
      <c r="R232" s="23"/>
      <c r="S232" s="148">
        <f t="shared" si="18"/>
        <v>2100</v>
      </c>
      <c r="T232" s="148">
        <f ca="1">IF(S232=0,"",S232*(OFFSET(cod_desembolso!$A$1,Q232,23)))</f>
        <v>2182.3840175367854</v>
      </c>
      <c r="U232" s="149">
        <f>(constantes!$B$3*(1+constantes!$B$3)^(O232))/((1+constantes!$B$3)^(O232)-1)</f>
        <v>9.3678779051968114E-2</v>
      </c>
      <c r="V232" s="148">
        <f t="shared" ca="1" si="17"/>
        <v>204.44307018537503</v>
      </c>
      <c r="W232" s="148">
        <f ca="1">(IF(S232=0,"",V232/constantes!$B$3))*1</f>
        <v>2555.538377317188</v>
      </c>
      <c r="X232" s="150">
        <f ca="1">IF(S232=0,"",PV(constantes!$B$3,O232,-V232)*constantes!$B$3)</f>
        <v>174.59072140294285</v>
      </c>
      <c r="Y232" s="85">
        <f t="shared" si="19"/>
        <v>1400</v>
      </c>
      <c r="Z232">
        <v>111</v>
      </c>
    </row>
    <row r="233" spans="1:26">
      <c r="A233" s="290">
        <v>7013</v>
      </c>
      <c r="B233" s="23" t="str">
        <f t="shared" si="16"/>
        <v>SE-NE_1500__kV_13</v>
      </c>
      <c r="C233" s="23">
        <v>802</v>
      </c>
      <c r="D233" s="142" t="str">
        <f>VLOOKUP(C233,tab_corredor!$A$2:$B$50,2,0)</f>
        <v>SE-NE</v>
      </c>
      <c r="E233" s="23">
        <v>1500</v>
      </c>
      <c r="F233" s="23" t="s">
        <v>2724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2672</v>
      </c>
      <c r="M233" s="23">
        <v>2015</v>
      </c>
      <c r="N233" s="23">
        <v>2100</v>
      </c>
      <c r="O233" s="292">
        <v>25</v>
      </c>
      <c r="P233" s="293">
        <v>2100</v>
      </c>
      <c r="Q233" s="294">
        <v>1</v>
      </c>
      <c r="R233" s="23"/>
      <c r="S233" s="148">
        <f t="shared" si="18"/>
        <v>2100</v>
      </c>
      <c r="T233" s="148">
        <f ca="1">IF(S233=0,"",S233*(OFFSET(cod_desembolso!$A$1,Q233,23)))</f>
        <v>2182.3840175367854</v>
      </c>
      <c r="U233" s="149">
        <f>(constantes!$B$3*(1+constantes!$B$3)^(O233))/((1+constantes!$B$3)^(O233)-1)</f>
        <v>9.3678779051968114E-2</v>
      </c>
      <c r="V233" s="148">
        <f t="shared" ca="1" si="17"/>
        <v>204.44307018537503</v>
      </c>
      <c r="W233" s="148">
        <f ca="1">(IF(S233=0,"",V233/constantes!$B$3))*1</f>
        <v>2555.538377317188</v>
      </c>
      <c r="X233" s="150">
        <f ca="1">IF(S233=0,"",PV(constantes!$B$3,O233,-V233)*constantes!$B$3)</f>
        <v>174.59072140294285</v>
      </c>
      <c r="Y233" s="85">
        <f t="shared" si="19"/>
        <v>1400</v>
      </c>
      <c r="Z233">
        <v>13</v>
      </c>
    </row>
    <row r="234" spans="1:26">
      <c r="A234" s="290">
        <v>7014</v>
      </c>
      <c r="B234" s="23" t="str">
        <f t="shared" si="16"/>
        <v>SE-NE_1500__kV_14</v>
      </c>
      <c r="C234" s="23">
        <v>802</v>
      </c>
      <c r="D234" s="142" t="str">
        <f>VLOOKUP(C234,tab_corredor!$A$2:$B$50,2,0)</f>
        <v>SE-NE</v>
      </c>
      <c r="E234" s="23">
        <v>1500</v>
      </c>
      <c r="F234" s="23" t="s">
        <v>2724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2672</v>
      </c>
      <c r="M234" s="23">
        <v>2015</v>
      </c>
      <c r="N234" s="23">
        <v>2100</v>
      </c>
      <c r="O234" s="292">
        <v>25</v>
      </c>
      <c r="P234" s="293">
        <v>2100</v>
      </c>
      <c r="Q234" s="294">
        <v>1</v>
      </c>
      <c r="R234" s="23"/>
      <c r="S234" s="148">
        <f t="shared" si="18"/>
        <v>2100</v>
      </c>
      <c r="T234" s="148">
        <f ca="1">IF(S234=0,"",S234*(OFFSET(cod_desembolso!$A$1,Q234,23)))</f>
        <v>2182.3840175367854</v>
      </c>
      <c r="U234" s="149">
        <f>(constantes!$B$3*(1+constantes!$B$3)^(O234))/((1+constantes!$B$3)^(O234)-1)</f>
        <v>9.3678779051968114E-2</v>
      </c>
      <c r="V234" s="148">
        <f t="shared" ca="1" si="17"/>
        <v>204.44307018537503</v>
      </c>
      <c r="W234" s="148">
        <f ca="1">(IF(S234=0,"",V234/constantes!$B$3))*1</f>
        <v>2555.538377317188</v>
      </c>
      <c r="X234" s="150">
        <f ca="1">IF(S234=0,"",PV(constantes!$B$3,O234,-V234)*constantes!$B$3)</f>
        <v>174.59072140294285</v>
      </c>
      <c r="Y234" s="85">
        <f t="shared" si="19"/>
        <v>1400</v>
      </c>
      <c r="Z234">
        <v>14</v>
      </c>
    </row>
    <row r="235" spans="1:26">
      <c r="A235" s="290">
        <v>7015</v>
      </c>
      <c r="B235" s="23" t="str">
        <f t="shared" si="16"/>
        <v>SE-NE_1500__kV_15</v>
      </c>
      <c r="C235" s="23">
        <v>802</v>
      </c>
      <c r="D235" s="142" t="str">
        <f>VLOOKUP(C235,tab_corredor!$A$2:$B$50,2,0)</f>
        <v>SE-NE</v>
      </c>
      <c r="E235" s="23">
        <v>1500</v>
      </c>
      <c r="F235" s="23" t="s">
        <v>2724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2672</v>
      </c>
      <c r="M235" s="23">
        <v>2015</v>
      </c>
      <c r="N235" s="23">
        <v>2100</v>
      </c>
      <c r="O235" s="292">
        <v>25</v>
      </c>
      <c r="P235" s="293">
        <v>2100</v>
      </c>
      <c r="Q235" s="294">
        <v>1</v>
      </c>
      <c r="R235" s="23"/>
      <c r="S235" s="148">
        <f t="shared" si="18"/>
        <v>2100</v>
      </c>
      <c r="T235" s="148">
        <f ca="1">IF(S235=0,"",S235*(OFFSET(cod_desembolso!$A$1,Q235,23)))</f>
        <v>2182.3840175367854</v>
      </c>
      <c r="U235" s="149">
        <f>(constantes!$B$3*(1+constantes!$B$3)^(O235))/((1+constantes!$B$3)^(O235)-1)</f>
        <v>9.3678779051968114E-2</v>
      </c>
      <c r="V235" s="148">
        <f t="shared" ca="1" si="17"/>
        <v>204.44307018537503</v>
      </c>
      <c r="W235" s="148">
        <f ca="1">(IF(S235=0,"",V235/constantes!$B$3))*1</f>
        <v>2555.538377317188</v>
      </c>
      <c r="X235" s="150">
        <f ca="1">IF(S235=0,"",PV(constantes!$B$3,O235,-V235)*constantes!$B$3)</f>
        <v>174.59072140294285</v>
      </c>
      <c r="Y235" s="85">
        <f t="shared" si="19"/>
        <v>1400</v>
      </c>
      <c r="Z235">
        <v>15</v>
      </c>
    </row>
    <row r="236" spans="1:26">
      <c r="A236" s="290">
        <v>7016</v>
      </c>
      <c r="B236" s="23" t="str">
        <f t="shared" si="16"/>
        <v>SE-NE_1500__kV_16</v>
      </c>
      <c r="C236" s="23">
        <v>802</v>
      </c>
      <c r="D236" s="142" t="str">
        <f>VLOOKUP(C236,tab_corredor!$A$2:$B$50,2,0)</f>
        <v>SE-NE</v>
      </c>
      <c r="E236" s="23">
        <v>1500</v>
      </c>
      <c r="F236" s="23" t="s">
        <v>2724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2672</v>
      </c>
      <c r="M236" s="23">
        <v>2015</v>
      </c>
      <c r="N236" s="23">
        <v>2100</v>
      </c>
      <c r="O236" s="292">
        <v>25</v>
      </c>
      <c r="P236" s="293">
        <v>2100</v>
      </c>
      <c r="Q236" s="294">
        <v>1</v>
      </c>
      <c r="R236" s="23"/>
      <c r="S236" s="148">
        <f t="shared" si="18"/>
        <v>2100</v>
      </c>
      <c r="T236" s="148">
        <f ca="1">IF(S236=0,"",S236*(OFFSET(cod_desembolso!$A$1,Q236,23)))</f>
        <v>2182.3840175367854</v>
      </c>
      <c r="U236" s="149">
        <f>(constantes!$B$3*(1+constantes!$B$3)^(O236))/((1+constantes!$B$3)^(O236)-1)</f>
        <v>9.3678779051968114E-2</v>
      </c>
      <c r="V236" s="148">
        <f t="shared" ca="1" si="17"/>
        <v>204.44307018537503</v>
      </c>
      <c r="W236" s="148">
        <f ca="1">(IF(S236=0,"",V236/constantes!$B$3))*1</f>
        <v>2555.538377317188</v>
      </c>
      <c r="X236" s="150">
        <f ca="1">IF(S236=0,"",PV(constantes!$B$3,O236,-V236)*constantes!$B$3)</f>
        <v>174.59072140294285</v>
      </c>
      <c r="Y236" s="85">
        <f t="shared" si="19"/>
        <v>1400</v>
      </c>
      <c r="Z236">
        <v>16</v>
      </c>
    </row>
    <row r="237" spans="1:26">
      <c r="A237" s="290">
        <v>7017</v>
      </c>
      <c r="B237" s="23" t="str">
        <f t="shared" si="16"/>
        <v>SE-NE_1500__kV_17</v>
      </c>
      <c r="C237" s="23">
        <v>802</v>
      </c>
      <c r="D237" s="142" t="str">
        <f>VLOOKUP(C237,tab_corredor!$A$2:$B$50,2,0)</f>
        <v>SE-NE</v>
      </c>
      <c r="E237" s="23">
        <v>1500</v>
      </c>
      <c r="F237" s="23" t="s">
        <v>2724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2672</v>
      </c>
      <c r="M237" s="23">
        <v>2015</v>
      </c>
      <c r="N237" s="23">
        <v>2100</v>
      </c>
      <c r="O237" s="292">
        <v>25</v>
      </c>
      <c r="P237" s="293">
        <v>2100</v>
      </c>
      <c r="Q237" s="294">
        <v>1</v>
      </c>
      <c r="R237" s="23"/>
      <c r="S237" s="148">
        <f t="shared" si="18"/>
        <v>2100</v>
      </c>
      <c r="T237" s="148">
        <f ca="1">IF(S237=0,"",S237*(OFFSET(cod_desembolso!$A$1,Q237,23)))</f>
        <v>2182.3840175367854</v>
      </c>
      <c r="U237" s="149">
        <f>(constantes!$B$3*(1+constantes!$B$3)^(O237))/((1+constantes!$B$3)^(O237)-1)</f>
        <v>9.3678779051968114E-2</v>
      </c>
      <c r="V237" s="148">
        <f t="shared" ca="1" si="17"/>
        <v>204.44307018537503</v>
      </c>
      <c r="W237" s="148">
        <f ca="1">(IF(S237=0,"",V237/constantes!$B$3))*1</f>
        <v>2555.538377317188</v>
      </c>
      <c r="X237" s="150">
        <f ca="1">IF(S237=0,"",PV(constantes!$B$3,O237,-V237)*constantes!$B$3)</f>
        <v>174.59072140294285</v>
      </c>
      <c r="Y237" s="85">
        <f t="shared" si="19"/>
        <v>1400</v>
      </c>
      <c r="Z237">
        <v>17</v>
      </c>
    </row>
    <row r="238" spans="1:26">
      <c r="A238" s="290">
        <v>7018</v>
      </c>
      <c r="B238" s="23" t="str">
        <f t="shared" si="16"/>
        <v>SE-NE_1500__kV_18</v>
      </c>
      <c r="C238" s="23">
        <v>802</v>
      </c>
      <c r="D238" s="142" t="str">
        <f>VLOOKUP(C238,tab_corredor!$A$2:$B$50,2,0)</f>
        <v>SE-NE</v>
      </c>
      <c r="E238" s="23">
        <v>1500</v>
      </c>
      <c r="F238" s="23" t="s">
        <v>2724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2672</v>
      </c>
      <c r="M238" s="23">
        <v>2015</v>
      </c>
      <c r="N238" s="23">
        <v>2100</v>
      </c>
      <c r="O238" s="292">
        <v>25</v>
      </c>
      <c r="P238" s="293">
        <v>2100</v>
      </c>
      <c r="Q238" s="294">
        <v>1</v>
      </c>
      <c r="R238" s="23"/>
      <c r="S238" s="148">
        <f t="shared" si="18"/>
        <v>2100</v>
      </c>
      <c r="T238" s="148">
        <f ca="1">IF(S238=0,"",S238*(OFFSET(cod_desembolso!$A$1,Q238,23)))</f>
        <v>2182.3840175367854</v>
      </c>
      <c r="U238" s="149">
        <f>(constantes!$B$3*(1+constantes!$B$3)^(O238))/((1+constantes!$B$3)^(O238)-1)</f>
        <v>9.3678779051968114E-2</v>
      </c>
      <c r="V238" s="148">
        <f t="shared" ca="1" si="17"/>
        <v>204.44307018537503</v>
      </c>
      <c r="W238" s="148">
        <f ca="1">(IF(S238=0,"",V238/constantes!$B$3))*1</f>
        <v>2555.538377317188</v>
      </c>
      <c r="X238" s="150">
        <f ca="1">IF(S238=0,"",PV(constantes!$B$3,O238,-V238)*constantes!$B$3)</f>
        <v>174.59072140294285</v>
      </c>
      <c r="Y238" s="85">
        <f t="shared" si="19"/>
        <v>1400</v>
      </c>
      <c r="Z238">
        <v>18</v>
      </c>
    </row>
    <row r="239" spans="1:26">
      <c r="A239" s="290">
        <v>7019</v>
      </c>
      <c r="B239" s="23" t="str">
        <f t="shared" si="16"/>
        <v>SE-NE_1500__kV_19</v>
      </c>
      <c r="C239" s="23">
        <v>802</v>
      </c>
      <c r="D239" s="142" t="str">
        <f>VLOOKUP(C239,tab_corredor!$A$2:$B$50,2,0)</f>
        <v>SE-NE</v>
      </c>
      <c r="E239" s="23">
        <v>1500</v>
      </c>
      <c r="F239" s="23" t="s">
        <v>2724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2672</v>
      </c>
      <c r="M239" s="23">
        <v>2015</v>
      </c>
      <c r="N239" s="23">
        <v>2100</v>
      </c>
      <c r="O239" s="292">
        <v>25</v>
      </c>
      <c r="P239" s="293">
        <v>2100</v>
      </c>
      <c r="Q239" s="294">
        <v>1</v>
      </c>
      <c r="R239" s="23"/>
      <c r="S239" s="148">
        <f t="shared" si="18"/>
        <v>2100</v>
      </c>
      <c r="T239" s="148">
        <f ca="1">IF(S239=0,"",S239*(OFFSET(cod_desembolso!$A$1,Q239,23)))</f>
        <v>2182.3840175367854</v>
      </c>
      <c r="U239" s="149">
        <f>(constantes!$B$3*(1+constantes!$B$3)^(O239))/((1+constantes!$B$3)^(O239)-1)</f>
        <v>9.3678779051968114E-2</v>
      </c>
      <c r="V239" s="148">
        <f t="shared" ca="1" si="17"/>
        <v>204.44307018537503</v>
      </c>
      <c r="W239" s="148">
        <f ca="1">(IF(S239=0,"",V239/constantes!$B$3))*1</f>
        <v>2555.538377317188</v>
      </c>
      <c r="X239" s="150">
        <f ca="1">IF(S239=0,"",PV(constantes!$B$3,O239,-V239)*constantes!$B$3)</f>
        <v>174.59072140294285</v>
      </c>
      <c r="Y239" s="85">
        <f t="shared" si="19"/>
        <v>1400</v>
      </c>
      <c r="Z239">
        <v>19</v>
      </c>
    </row>
    <row r="240" spans="1:26">
      <c r="A240" s="290">
        <v>7020</v>
      </c>
      <c r="B240" s="23" t="str">
        <f t="shared" si="16"/>
        <v>SE-NE_1500__kV_20</v>
      </c>
      <c r="C240" s="23">
        <v>802</v>
      </c>
      <c r="D240" s="142" t="str">
        <f>VLOOKUP(C240,tab_corredor!$A$2:$B$50,2,0)</f>
        <v>SE-NE</v>
      </c>
      <c r="E240" s="23">
        <v>1500</v>
      </c>
      <c r="F240" s="23" t="s">
        <v>2724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2672</v>
      </c>
      <c r="M240" s="23">
        <v>2015</v>
      </c>
      <c r="N240" s="23">
        <v>2100</v>
      </c>
      <c r="O240" s="292">
        <v>25</v>
      </c>
      <c r="P240" s="293">
        <v>2100</v>
      </c>
      <c r="Q240" s="294">
        <v>1</v>
      </c>
      <c r="R240" s="23"/>
      <c r="S240" s="148">
        <f t="shared" si="18"/>
        <v>2100</v>
      </c>
      <c r="T240" s="148">
        <f ca="1">IF(S240=0,"",S240*(OFFSET(cod_desembolso!$A$1,Q240,23)))</f>
        <v>2182.3840175367854</v>
      </c>
      <c r="U240" s="149">
        <f>(constantes!$B$3*(1+constantes!$B$3)^(O240))/((1+constantes!$B$3)^(O240)-1)</f>
        <v>9.3678779051968114E-2</v>
      </c>
      <c r="V240" s="148">
        <f t="shared" ca="1" si="17"/>
        <v>204.44307018537503</v>
      </c>
      <c r="W240" s="148">
        <f ca="1">(IF(S240=0,"",V240/constantes!$B$3))*1</f>
        <v>2555.538377317188</v>
      </c>
      <c r="X240" s="150">
        <f ca="1">IF(S240=0,"",PV(constantes!$B$3,O240,-V240)*constantes!$B$3)</f>
        <v>174.59072140294285</v>
      </c>
      <c r="Y240" s="85">
        <f t="shared" si="19"/>
        <v>1400</v>
      </c>
      <c r="Z240">
        <v>20</v>
      </c>
    </row>
    <row r="241" spans="1:26">
      <c r="A241" s="290">
        <v>7021</v>
      </c>
      <c r="B241" s="23" t="str">
        <f t="shared" si="16"/>
        <v>SE-NE_1500__kV_21</v>
      </c>
      <c r="C241" s="23">
        <v>802</v>
      </c>
      <c r="D241" s="142" t="str">
        <f>VLOOKUP(C241,tab_corredor!$A$2:$B$50,2,0)</f>
        <v>SE-NE</v>
      </c>
      <c r="E241" s="23">
        <v>1500</v>
      </c>
      <c r="F241" s="23" t="s">
        <v>2724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2672</v>
      </c>
      <c r="M241" s="23">
        <v>2015</v>
      </c>
      <c r="N241" s="23">
        <v>2100</v>
      </c>
      <c r="O241" s="292">
        <v>25</v>
      </c>
      <c r="P241" s="293">
        <v>2100</v>
      </c>
      <c r="Q241" s="294">
        <v>1</v>
      </c>
      <c r="R241" s="23"/>
      <c r="S241" s="148">
        <f t="shared" si="18"/>
        <v>2100</v>
      </c>
      <c r="T241" s="148">
        <f ca="1">IF(S241=0,"",S241*(OFFSET(cod_desembolso!$A$1,Q241,23)))</f>
        <v>2182.3840175367854</v>
      </c>
      <c r="U241" s="149">
        <f>(constantes!$B$3*(1+constantes!$B$3)^(O241))/((1+constantes!$B$3)^(O241)-1)</f>
        <v>9.3678779051968114E-2</v>
      </c>
      <c r="V241" s="148">
        <f t="shared" ca="1" si="17"/>
        <v>204.44307018537503</v>
      </c>
      <c r="W241" s="148">
        <f ca="1">(IF(S241=0,"",V241/constantes!$B$3))*1</f>
        <v>2555.538377317188</v>
      </c>
      <c r="X241" s="150">
        <f ca="1">IF(S241=0,"",PV(constantes!$B$3,O241,-V241)*constantes!$B$3)</f>
        <v>174.59072140294285</v>
      </c>
      <c r="Y241" s="85">
        <f t="shared" si="19"/>
        <v>1400</v>
      </c>
      <c r="Z241">
        <v>21</v>
      </c>
    </row>
    <row r="242" spans="1:26">
      <c r="A242" s="290">
        <v>7022</v>
      </c>
      <c r="B242" s="23" t="str">
        <f t="shared" si="16"/>
        <v>SE-NE_1500__kV_22</v>
      </c>
      <c r="C242" s="23">
        <v>802</v>
      </c>
      <c r="D242" s="142" t="str">
        <f>VLOOKUP(C242,tab_corredor!$A$2:$B$50,2,0)</f>
        <v>SE-NE</v>
      </c>
      <c r="E242" s="23">
        <v>1500</v>
      </c>
      <c r="F242" s="23" t="s">
        <v>2724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2672</v>
      </c>
      <c r="M242" s="23">
        <v>2015</v>
      </c>
      <c r="N242" s="23">
        <v>2100</v>
      </c>
      <c r="O242" s="292">
        <v>25</v>
      </c>
      <c r="P242" s="293">
        <v>2100</v>
      </c>
      <c r="Q242" s="294">
        <v>1</v>
      </c>
      <c r="R242" s="23"/>
      <c r="S242" s="148">
        <f t="shared" si="18"/>
        <v>2100</v>
      </c>
      <c r="T242" s="148">
        <f ca="1">IF(S242=0,"",S242*(OFFSET(cod_desembolso!$A$1,Q242,23)))</f>
        <v>2182.3840175367854</v>
      </c>
      <c r="U242" s="149">
        <f>(constantes!$B$3*(1+constantes!$B$3)^(O242))/((1+constantes!$B$3)^(O242)-1)</f>
        <v>9.3678779051968114E-2</v>
      </c>
      <c r="V242" s="148">
        <f t="shared" ca="1" si="17"/>
        <v>204.44307018537503</v>
      </c>
      <c r="W242" s="148">
        <f ca="1">(IF(S242=0,"",V242/constantes!$B$3))*1</f>
        <v>2555.538377317188</v>
      </c>
      <c r="X242" s="150">
        <f ca="1">IF(S242=0,"",PV(constantes!$B$3,O242,-V242)*constantes!$B$3)</f>
        <v>174.59072140294285</v>
      </c>
      <c r="Y242" s="85">
        <f t="shared" si="19"/>
        <v>1400</v>
      </c>
      <c r="Z242">
        <v>22</v>
      </c>
    </row>
    <row r="243" spans="1:26">
      <c r="A243" s="290">
        <v>7023</v>
      </c>
      <c r="B243" s="23" t="str">
        <f t="shared" si="16"/>
        <v>SE-NE_1500__kV_23</v>
      </c>
      <c r="C243" s="23">
        <v>802</v>
      </c>
      <c r="D243" s="142" t="str">
        <f>VLOOKUP(C243,tab_corredor!$A$2:$B$50,2,0)</f>
        <v>SE-NE</v>
      </c>
      <c r="E243" s="23">
        <v>1500</v>
      </c>
      <c r="F243" s="23" t="s">
        <v>2724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2672</v>
      </c>
      <c r="M243" s="23">
        <v>2015</v>
      </c>
      <c r="N243" s="23">
        <v>2100</v>
      </c>
      <c r="O243" s="292">
        <v>25</v>
      </c>
      <c r="P243" s="293">
        <v>2100</v>
      </c>
      <c r="Q243" s="294">
        <v>1</v>
      </c>
      <c r="R243" s="23"/>
      <c r="S243" s="148">
        <f t="shared" si="18"/>
        <v>2100</v>
      </c>
      <c r="T243" s="148">
        <f ca="1">IF(S243=0,"",S243*(OFFSET(cod_desembolso!$A$1,Q243,23)))</f>
        <v>2182.3840175367854</v>
      </c>
      <c r="U243" s="149">
        <f>(constantes!$B$3*(1+constantes!$B$3)^(O243))/((1+constantes!$B$3)^(O243)-1)</f>
        <v>9.3678779051968114E-2</v>
      </c>
      <c r="V243" s="148">
        <f t="shared" ca="1" si="17"/>
        <v>204.44307018537503</v>
      </c>
      <c r="W243" s="148">
        <f ca="1">(IF(S243=0,"",V243/constantes!$B$3))*1</f>
        <v>2555.538377317188</v>
      </c>
      <c r="X243" s="150">
        <f ca="1">IF(S243=0,"",PV(constantes!$B$3,O243,-V243)*constantes!$B$3)</f>
        <v>174.59072140294285</v>
      </c>
      <c r="Y243" s="85">
        <f t="shared" si="19"/>
        <v>1400</v>
      </c>
      <c r="Z243">
        <v>23</v>
      </c>
    </row>
    <row r="244" spans="1:26">
      <c r="A244" s="290">
        <v>7024</v>
      </c>
      <c r="B244" s="23" t="str">
        <f t="shared" si="16"/>
        <v>SE-NE_1500__kV_24</v>
      </c>
      <c r="C244" s="23">
        <v>802</v>
      </c>
      <c r="D244" s="142" t="str">
        <f>VLOOKUP(C244,tab_corredor!$A$2:$B$50,2,0)</f>
        <v>SE-NE</v>
      </c>
      <c r="E244" s="23">
        <v>1500</v>
      </c>
      <c r="F244" s="23" t="s">
        <v>2724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2672</v>
      </c>
      <c r="M244" s="23">
        <v>2015</v>
      </c>
      <c r="N244" s="23">
        <v>2100</v>
      </c>
      <c r="O244" s="292">
        <v>25</v>
      </c>
      <c r="P244" s="293">
        <v>2100</v>
      </c>
      <c r="Q244" s="294">
        <v>1</v>
      </c>
      <c r="R244" s="23"/>
      <c r="S244" s="148">
        <f t="shared" si="18"/>
        <v>2100</v>
      </c>
      <c r="T244" s="148">
        <f ca="1">IF(S244=0,"",S244*(OFFSET(cod_desembolso!$A$1,Q244,23)))</f>
        <v>2182.3840175367854</v>
      </c>
      <c r="U244" s="149">
        <f>(constantes!$B$3*(1+constantes!$B$3)^(O244))/((1+constantes!$B$3)^(O244)-1)</f>
        <v>9.3678779051968114E-2</v>
      </c>
      <c r="V244" s="148">
        <f t="shared" ca="1" si="17"/>
        <v>204.44307018537503</v>
      </c>
      <c r="W244" s="148">
        <f ca="1">(IF(S244=0,"",V244/constantes!$B$3))*1</f>
        <v>2555.538377317188</v>
      </c>
      <c r="X244" s="150">
        <f ca="1">IF(S244=0,"",PV(constantes!$B$3,O244,-V244)*constantes!$B$3)</f>
        <v>174.59072140294285</v>
      </c>
      <c r="Y244" s="85">
        <f t="shared" si="19"/>
        <v>1400</v>
      </c>
      <c r="Z244">
        <v>24</v>
      </c>
    </row>
    <row r="245" spans="1:26">
      <c r="A245" s="290">
        <v>7025</v>
      </c>
      <c r="B245" s="23" t="str">
        <f t="shared" si="16"/>
        <v>SE-NE_1500__kV_25</v>
      </c>
      <c r="C245" s="23">
        <v>802</v>
      </c>
      <c r="D245" s="142" t="str">
        <f>VLOOKUP(C245,tab_corredor!$A$2:$B$50,2,0)</f>
        <v>SE-NE</v>
      </c>
      <c r="E245" s="23">
        <v>1500</v>
      </c>
      <c r="F245" s="23" t="s">
        <v>2724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2672</v>
      </c>
      <c r="M245" s="23">
        <v>2015</v>
      </c>
      <c r="N245" s="23">
        <v>2100</v>
      </c>
      <c r="O245" s="292">
        <v>25</v>
      </c>
      <c r="P245" s="293">
        <v>2100</v>
      </c>
      <c r="Q245" s="294">
        <v>1</v>
      </c>
      <c r="R245" s="23"/>
      <c r="S245" s="148">
        <f t="shared" si="18"/>
        <v>2100</v>
      </c>
      <c r="T245" s="148">
        <f ca="1">IF(S245=0,"",S245*(OFFSET(cod_desembolso!$A$1,Q245,23)))</f>
        <v>2182.3840175367854</v>
      </c>
      <c r="U245" s="149">
        <f>(constantes!$B$3*(1+constantes!$B$3)^(O245))/((1+constantes!$B$3)^(O245)-1)</f>
        <v>9.3678779051968114E-2</v>
      </c>
      <c r="V245" s="148">
        <f t="shared" ca="1" si="17"/>
        <v>204.44307018537503</v>
      </c>
      <c r="W245" s="148">
        <f ca="1">(IF(S245=0,"",V245/constantes!$B$3))*1</f>
        <v>2555.538377317188</v>
      </c>
      <c r="X245" s="150">
        <f ca="1">IF(S245=0,"",PV(constantes!$B$3,O245,-V245)*constantes!$B$3)</f>
        <v>174.59072140294285</v>
      </c>
      <c r="Y245" s="85">
        <f t="shared" si="19"/>
        <v>1400</v>
      </c>
      <c r="Z245">
        <v>25</v>
      </c>
    </row>
    <row r="246" spans="1:26">
      <c r="A246" s="290">
        <v>7026</v>
      </c>
      <c r="B246" s="23" t="str">
        <f t="shared" si="16"/>
        <v>SE-NE_1500__kV_26</v>
      </c>
      <c r="C246" s="23">
        <v>802</v>
      </c>
      <c r="D246" s="142" t="str">
        <f>VLOOKUP(C246,tab_corredor!$A$2:$B$50,2,0)</f>
        <v>SE-NE</v>
      </c>
      <c r="E246" s="23">
        <v>1500</v>
      </c>
      <c r="F246" s="23" t="s">
        <v>2724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2672</v>
      </c>
      <c r="M246" s="23">
        <v>2015</v>
      </c>
      <c r="N246" s="23">
        <v>2100</v>
      </c>
      <c r="O246" s="292">
        <v>25</v>
      </c>
      <c r="P246" s="293">
        <v>2100</v>
      </c>
      <c r="Q246" s="294">
        <v>1</v>
      </c>
      <c r="R246" s="23"/>
      <c r="S246" s="148">
        <f t="shared" si="18"/>
        <v>2100</v>
      </c>
      <c r="T246" s="148">
        <f ca="1">IF(S246=0,"",S246*(OFFSET(cod_desembolso!$A$1,Q246,23)))</f>
        <v>2182.3840175367854</v>
      </c>
      <c r="U246" s="149">
        <f>(constantes!$B$3*(1+constantes!$B$3)^(O246))/((1+constantes!$B$3)^(O246)-1)</f>
        <v>9.3678779051968114E-2</v>
      </c>
      <c r="V246" s="148">
        <f t="shared" ca="1" si="17"/>
        <v>204.44307018537503</v>
      </c>
      <c r="W246" s="148">
        <f ca="1">(IF(S246=0,"",V246/constantes!$B$3))*1</f>
        <v>2555.538377317188</v>
      </c>
      <c r="X246" s="150">
        <f ca="1">IF(S246=0,"",PV(constantes!$B$3,O246,-V246)*constantes!$B$3)</f>
        <v>174.59072140294285</v>
      </c>
      <c r="Y246" s="85">
        <f t="shared" si="19"/>
        <v>1400</v>
      </c>
      <c r="Z246">
        <v>26</v>
      </c>
    </row>
    <row r="247" spans="1:26">
      <c r="A247" s="290">
        <v>7027</v>
      </c>
      <c r="B247" s="23" t="str">
        <f t="shared" si="16"/>
        <v>SE-NE_1500__kV_27</v>
      </c>
      <c r="C247" s="23">
        <v>802</v>
      </c>
      <c r="D247" s="142" t="str">
        <f>VLOOKUP(C247,tab_corredor!$A$2:$B$50,2,0)</f>
        <v>SE-NE</v>
      </c>
      <c r="E247" s="23">
        <v>1500</v>
      </c>
      <c r="F247" s="23" t="s">
        <v>2724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2672</v>
      </c>
      <c r="M247" s="23">
        <v>2015</v>
      </c>
      <c r="N247" s="23">
        <v>2100</v>
      </c>
      <c r="O247" s="292">
        <v>25</v>
      </c>
      <c r="P247" s="293">
        <v>2100</v>
      </c>
      <c r="Q247" s="294">
        <v>1</v>
      </c>
      <c r="R247" s="23"/>
      <c r="S247" s="148">
        <f t="shared" si="18"/>
        <v>2100</v>
      </c>
      <c r="T247" s="148">
        <f ca="1">IF(S247=0,"",S247*(OFFSET(cod_desembolso!$A$1,Q247,23)))</f>
        <v>2182.3840175367854</v>
      </c>
      <c r="U247" s="149">
        <f>(constantes!$B$3*(1+constantes!$B$3)^(O247))/((1+constantes!$B$3)^(O247)-1)</f>
        <v>9.3678779051968114E-2</v>
      </c>
      <c r="V247" s="148">
        <f t="shared" ca="1" si="17"/>
        <v>204.44307018537503</v>
      </c>
      <c r="W247" s="148">
        <f ca="1">(IF(S247=0,"",V247/constantes!$B$3))*1</f>
        <v>2555.538377317188</v>
      </c>
      <c r="X247" s="150">
        <f ca="1">IF(S247=0,"",PV(constantes!$B$3,O247,-V247)*constantes!$B$3)</f>
        <v>174.59072140294285</v>
      </c>
      <c r="Y247" s="85">
        <f t="shared" si="19"/>
        <v>1400</v>
      </c>
      <c r="Z247">
        <v>27</v>
      </c>
    </row>
    <row r="248" spans="1:26">
      <c r="A248" s="290">
        <v>7028</v>
      </c>
      <c r="B248" s="23" t="str">
        <f t="shared" si="16"/>
        <v>SE-NE_1500__kV_28</v>
      </c>
      <c r="C248" s="23">
        <v>802</v>
      </c>
      <c r="D248" s="142" t="str">
        <f>VLOOKUP(C248,tab_corredor!$A$2:$B$50,2,0)</f>
        <v>SE-NE</v>
      </c>
      <c r="E248" s="23">
        <v>1500</v>
      </c>
      <c r="F248" s="23" t="s">
        <v>2724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2672</v>
      </c>
      <c r="M248" s="23">
        <v>2015</v>
      </c>
      <c r="N248" s="23">
        <v>2100</v>
      </c>
      <c r="O248" s="292">
        <v>25</v>
      </c>
      <c r="P248" s="293">
        <v>2100</v>
      </c>
      <c r="Q248" s="294">
        <v>1</v>
      </c>
      <c r="R248" s="23"/>
      <c r="S248" s="148">
        <f t="shared" si="18"/>
        <v>2100</v>
      </c>
      <c r="T248" s="148">
        <f ca="1">IF(S248=0,"",S248*(OFFSET(cod_desembolso!$A$1,Q248,23)))</f>
        <v>2182.3840175367854</v>
      </c>
      <c r="U248" s="149">
        <f>(constantes!$B$3*(1+constantes!$B$3)^(O248))/((1+constantes!$B$3)^(O248)-1)</f>
        <v>9.3678779051968114E-2</v>
      </c>
      <c r="V248" s="148">
        <f t="shared" ca="1" si="17"/>
        <v>204.44307018537503</v>
      </c>
      <c r="W248" s="148">
        <f ca="1">(IF(S248=0,"",V248/constantes!$B$3))*1</f>
        <v>2555.538377317188</v>
      </c>
      <c r="X248" s="150">
        <f ca="1">IF(S248=0,"",PV(constantes!$B$3,O248,-V248)*constantes!$B$3)</f>
        <v>174.59072140294285</v>
      </c>
      <c r="Y248" s="85">
        <f t="shared" si="19"/>
        <v>1400</v>
      </c>
      <c r="Z248">
        <v>28</v>
      </c>
    </row>
    <row r="249" spans="1:26">
      <c r="A249" s="290">
        <v>7029</v>
      </c>
      <c r="B249" s="23" t="str">
        <f t="shared" si="16"/>
        <v>SE-NE_1500__kV_29</v>
      </c>
      <c r="C249" s="23">
        <v>802</v>
      </c>
      <c r="D249" s="142" t="str">
        <f>VLOOKUP(C249,tab_corredor!$A$2:$B$50,2,0)</f>
        <v>SE-NE</v>
      </c>
      <c r="E249" s="23">
        <v>1500</v>
      </c>
      <c r="F249" s="23" t="s">
        <v>2724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2672</v>
      </c>
      <c r="M249" s="23">
        <v>2015</v>
      </c>
      <c r="N249" s="23">
        <v>2100</v>
      </c>
      <c r="O249" s="292">
        <v>25</v>
      </c>
      <c r="P249" s="293">
        <v>2100</v>
      </c>
      <c r="Q249" s="294">
        <v>1</v>
      </c>
      <c r="R249" s="23"/>
      <c r="S249" s="148">
        <f t="shared" si="18"/>
        <v>2100</v>
      </c>
      <c r="T249" s="148">
        <f ca="1">IF(S249=0,"",S249*(OFFSET(cod_desembolso!$A$1,Q249,23)))</f>
        <v>2182.3840175367854</v>
      </c>
      <c r="U249" s="149">
        <f>(constantes!$B$3*(1+constantes!$B$3)^(O249))/((1+constantes!$B$3)^(O249)-1)</f>
        <v>9.3678779051968114E-2</v>
      </c>
      <c r="V249" s="148">
        <f t="shared" ca="1" si="17"/>
        <v>204.44307018537503</v>
      </c>
      <c r="W249" s="148">
        <f ca="1">(IF(S249=0,"",V249/constantes!$B$3))*1</f>
        <v>2555.538377317188</v>
      </c>
      <c r="X249" s="150">
        <f ca="1">IF(S249=0,"",PV(constantes!$B$3,O249,-V249)*constantes!$B$3)</f>
        <v>174.59072140294285</v>
      </c>
      <c r="Y249" s="85">
        <f t="shared" si="19"/>
        <v>1400</v>
      </c>
      <c r="Z249">
        <v>29</v>
      </c>
    </row>
    <row r="250" spans="1:26">
      <c r="A250" s="290">
        <v>7030</v>
      </c>
      <c r="B250" s="23" t="str">
        <f t="shared" si="16"/>
        <v>SE-NE_1500__kV_30</v>
      </c>
      <c r="C250" s="23">
        <v>802</v>
      </c>
      <c r="D250" s="142" t="str">
        <f>VLOOKUP(C250,tab_corredor!$A$2:$B$50,2,0)</f>
        <v>SE-NE</v>
      </c>
      <c r="E250" s="23">
        <v>1500</v>
      </c>
      <c r="F250" s="23" t="s">
        <v>2724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2672</v>
      </c>
      <c r="M250" s="23">
        <v>2015</v>
      </c>
      <c r="N250" s="23">
        <v>2100</v>
      </c>
      <c r="O250" s="292">
        <v>25</v>
      </c>
      <c r="P250" s="293">
        <v>2100</v>
      </c>
      <c r="Q250" s="294">
        <v>1</v>
      </c>
      <c r="R250" s="23"/>
      <c r="S250" s="148">
        <f t="shared" si="18"/>
        <v>2100</v>
      </c>
      <c r="T250" s="148">
        <f ca="1">IF(S250=0,"",S250*(OFFSET(cod_desembolso!$A$1,Q250,23)))</f>
        <v>2182.3840175367854</v>
      </c>
      <c r="U250" s="149">
        <f>(constantes!$B$3*(1+constantes!$B$3)^(O250))/((1+constantes!$B$3)^(O250)-1)</f>
        <v>9.3678779051968114E-2</v>
      </c>
      <c r="V250" s="148">
        <f t="shared" ca="1" si="17"/>
        <v>204.44307018537503</v>
      </c>
      <c r="W250" s="148">
        <f ca="1">(IF(S250=0,"",V250/constantes!$B$3))*1</f>
        <v>2555.538377317188</v>
      </c>
      <c r="X250" s="150">
        <f ca="1">IF(S250=0,"",PV(constantes!$B$3,O250,-V250)*constantes!$B$3)</f>
        <v>174.59072140294285</v>
      </c>
      <c r="Y250" s="85">
        <f t="shared" si="19"/>
        <v>1400</v>
      </c>
      <c r="Z250">
        <v>30</v>
      </c>
    </row>
    <row r="251" spans="1:26">
      <c r="A251" s="290">
        <v>7031</v>
      </c>
      <c r="B251" s="23" t="str">
        <f t="shared" si="16"/>
        <v>SE-NE_1500__kV_31</v>
      </c>
      <c r="C251" s="23">
        <v>802</v>
      </c>
      <c r="D251" s="142" t="str">
        <f>VLOOKUP(C251,tab_corredor!$A$2:$B$50,2,0)</f>
        <v>SE-NE</v>
      </c>
      <c r="E251" s="23">
        <v>1500</v>
      </c>
      <c r="F251" s="23" t="s">
        <v>2724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2672</v>
      </c>
      <c r="M251" s="23">
        <v>2015</v>
      </c>
      <c r="N251" s="23">
        <v>2100</v>
      </c>
      <c r="O251" s="292">
        <v>25</v>
      </c>
      <c r="P251" s="293">
        <v>2100</v>
      </c>
      <c r="Q251" s="294">
        <v>1</v>
      </c>
      <c r="R251" s="23"/>
      <c r="S251" s="148">
        <f t="shared" si="18"/>
        <v>2100</v>
      </c>
      <c r="T251" s="148">
        <f ca="1">IF(S251=0,"",S251*(OFFSET(cod_desembolso!$A$1,Q251,23)))</f>
        <v>2182.3840175367854</v>
      </c>
      <c r="U251" s="149">
        <f>(constantes!$B$3*(1+constantes!$B$3)^(O251))/((1+constantes!$B$3)^(O251)-1)</f>
        <v>9.3678779051968114E-2</v>
      </c>
      <c r="V251" s="148">
        <f t="shared" ca="1" si="17"/>
        <v>204.44307018537503</v>
      </c>
      <c r="W251" s="148">
        <f ca="1">(IF(S251=0,"",V251/constantes!$B$3))*1</f>
        <v>2555.538377317188</v>
      </c>
      <c r="X251" s="150">
        <f ca="1">IF(S251=0,"",PV(constantes!$B$3,O251,-V251)*constantes!$B$3)</f>
        <v>174.59072140294285</v>
      </c>
      <c r="Y251" s="85">
        <f t="shared" si="19"/>
        <v>1400</v>
      </c>
      <c r="Z251">
        <v>31</v>
      </c>
    </row>
    <row r="252" spans="1:26">
      <c r="A252" s="290">
        <v>7032</v>
      </c>
      <c r="B252" s="23" t="str">
        <f t="shared" si="16"/>
        <v>SE-NE_1500__kV_32</v>
      </c>
      <c r="C252" s="23">
        <v>802</v>
      </c>
      <c r="D252" s="142" t="str">
        <f>VLOOKUP(C252,tab_corredor!$A$2:$B$50,2,0)</f>
        <v>SE-NE</v>
      </c>
      <c r="E252" s="23">
        <v>1500</v>
      </c>
      <c r="F252" s="23" t="s">
        <v>2724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2672</v>
      </c>
      <c r="M252" s="23">
        <v>2015</v>
      </c>
      <c r="N252" s="23">
        <v>2100</v>
      </c>
      <c r="O252" s="292">
        <v>25</v>
      </c>
      <c r="P252" s="293">
        <v>2100</v>
      </c>
      <c r="Q252" s="294">
        <v>1</v>
      </c>
      <c r="R252" s="23"/>
      <c r="S252" s="148">
        <f t="shared" si="18"/>
        <v>2100</v>
      </c>
      <c r="T252" s="148">
        <f ca="1">IF(S252=0,"",S252*(OFFSET(cod_desembolso!$A$1,Q252,23)))</f>
        <v>2182.3840175367854</v>
      </c>
      <c r="U252" s="149">
        <f>(constantes!$B$3*(1+constantes!$B$3)^(O252))/((1+constantes!$B$3)^(O252)-1)</f>
        <v>9.3678779051968114E-2</v>
      </c>
      <c r="V252" s="148">
        <f t="shared" ca="1" si="17"/>
        <v>204.44307018537503</v>
      </c>
      <c r="W252" s="148">
        <f ca="1">(IF(S252=0,"",V252/constantes!$B$3))*1</f>
        <v>2555.538377317188</v>
      </c>
      <c r="X252" s="150">
        <f ca="1">IF(S252=0,"",PV(constantes!$B$3,O252,-V252)*constantes!$B$3)</f>
        <v>174.59072140294285</v>
      </c>
      <c r="Y252" s="85">
        <f t="shared" si="19"/>
        <v>1400</v>
      </c>
      <c r="Z252">
        <v>32</v>
      </c>
    </row>
    <row r="253" spans="1:26">
      <c r="A253" s="290">
        <v>7033</v>
      </c>
      <c r="B253" s="23" t="str">
        <f t="shared" si="16"/>
        <v>SE-NE_1500__kV_33</v>
      </c>
      <c r="C253" s="23">
        <v>802</v>
      </c>
      <c r="D253" s="142" t="str">
        <f>VLOOKUP(C253,tab_corredor!$A$2:$B$50,2,0)</f>
        <v>SE-NE</v>
      </c>
      <c r="E253" s="23">
        <v>1500</v>
      </c>
      <c r="F253" s="23" t="s">
        <v>2724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2672</v>
      </c>
      <c r="M253" s="23">
        <v>2015</v>
      </c>
      <c r="N253" s="23">
        <v>2100</v>
      </c>
      <c r="O253" s="292">
        <v>25</v>
      </c>
      <c r="P253" s="293">
        <v>2100</v>
      </c>
      <c r="Q253" s="294">
        <v>1</v>
      </c>
      <c r="R253" s="23"/>
      <c r="S253" s="148">
        <f t="shared" si="18"/>
        <v>2100</v>
      </c>
      <c r="T253" s="148">
        <f ca="1">IF(S253=0,"",S253*(OFFSET(cod_desembolso!$A$1,Q253,23)))</f>
        <v>2182.3840175367854</v>
      </c>
      <c r="U253" s="149">
        <f>(constantes!$B$3*(1+constantes!$B$3)^(O253))/((1+constantes!$B$3)^(O253)-1)</f>
        <v>9.3678779051968114E-2</v>
      </c>
      <c r="V253" s="148">
        <f t="shared" ca="1" si="17"/>
        <v>204.44307018537503</v>
      </c>
      <c r="W253" s="148">
        <f ca="1">(IF(S253=0,"",V253/constantes!$B$3))*1</f>
        <v>2555.538377317188</v>
      </c>
      <c r="X253" s="150">
        <f ca="1">IF(S253=0,"",PV(constantes!$B$3,O253,-V253)*constantes!$B$3)</f>
        <v>174.59072140294285</v>
      </c>
      <c r="Y253" s="85">
        <f t="shared" si="19"/>
        <v>1400</v>
      </c>
      <c r="Z253">
        <v>33</v>
      </c>
    </row>
    <row r="254" spans="1:26">
      <c r="A254" s="290">
        <v>7034</v>
      </c>
      <c r="B254" s="23" t="str">
        <f t="shared" si="16"/>
        <v>SE-NE_1500__kV_34</v>
      </c>
      <c r="C254" s="23">
        <v>802</v>
      </c>
      <c r="D254" s="142" t="str">
        <f>VLOOKUP(C254,tab_corredor!$A$2:$B$50,2,0)</f>
        <v>SE-NE</v>
      </c>
      <c r="E254" s="23">
        <v>1500</v>
      </c>
      <c r="F254" s="23" t="s">
        <v>2724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2672</v>
      </c>
      <c r="M254" s="23">
        <v>2015</v>
      </c>
      <c r="N254" s="23">
        <v>2100</v>
      </c>
      <c r="O254" s="292">
        <v>25</v>
      </c>
      <c r="P254" s="293">
        <v>2100</v>
      </c>
      <c r="Q254" s="294">
        <v>1</v>
      </c>
      <c r="R254" s="23"/>
      <c r="S254" s="148">
        <f t="shared" si="18"/>
        <v>2100</v>
      </c>
      <c r="T254" s="148">
        <f ca="1">IF(S254=0,"",S254*(OFFSET(cod_desembolso!$A$1,Q254,23)))</f>
        <v>2182.3840175367854</v>
      </c>
      <c r="U254" s="149">
        <f>(constantes!$B$3*(1+constantes!$B$3)^(O254))/((1+constantes!$B$3)^(O254)-1)</f>
        <v>9.3678779051968114E-2</v>
      </c>
      <c r="V254" s="148">
        <f t="shared" ca="1" si="17"/>
        <v>204.44307018537503</v>
      </c>
      <c r="W254" s="148">
        <f ca="1">(IF(S254=0,"",V254/constantes!$B$3))*1</f>
        <v>2555.538377317188</v>
      </c>
      <c r="X254" s="150">
        <f ca="1">IF(S254=0,"",PV(constantes!$B$3,O254,-V254)*constantes!$B$3)</f>
        <v>174.59072140294285</v>
      </c>
      <c r="Y254" s="85">
        <f t="shared" si="19"/>
        <v>1400</v>
      </c>
      <c r="Z254">
        <v>34</v>
      </c>
    </row>
    <row r="255" spans="1:26">
      <c r="A255" s="290">
        <v>7035</v>
      </c>
      <c r="B255" s="23" t="str">
        <f t="shared" si="16"/>
        <v>SE-NE_1500__kV_35</v>
      </c>
      <c r="C255" s="23">
        <v>802</v>
      </c>
      <c r="D255" s="142" t="str">
        <f>VLOOKUP(C255,tab_corredor!$A$2:$B$50,2,0)</f>
        <v>SE-NE</v>
      </c>
      <c r="E255" s="23">
        <v>1500</v>
      </c>
      <c r="F255" s="23" t="s">
        <v>2724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2672</v>
      </c>
      <c r="M255" s="23">
        <v>2015</v>
      </c>
      <c r="N255" s="23">
        <v>2100</v>
      </c>
      <c r="O255" s="292">
        <v>25</v>
      </c>
      <c r="P255" s="293">
        <v>2100</v>
      </c>
      <c r="Q255" s="294">
        <v>1</v>
      </c>
      <c r="R255" s="23"/>
      <c r="S255" s="148">
        <f t="shared" si="18"/>
        <v>2100</v>
      </c>
      <c r="T255" s="148">
        <f ca="1">IF(S255=0,"",S255*(OFFSET(cod_desembolso!$A$1,Q255,23)))</f>
        <v>2182.3840175367854</v>
      </c>
      <c r="U255" s="149">
        <f>(constantes!$B$3*(1+constantes!$B$3)^(O255))/((1+constantes!$B$3)^(O255)-1)</f>
        <v>9.3678779051968114E-2</v>
      </c>
      <c r="V255" s="148">
        <f t="shared" ca="1" si="17"/>
        <v>204.44307018537503</v>
      </c>
      <c r="W255" s="148">
        <f ca="1">(IF(S255=0,"",V255/constantes!$B$3))*1</f>
        <v>2555.538377317188</v>
      </c>
      <c r="X255" s="150">
        <f ca="1">IF(S255=0,"",PV(constantes!$B$3,O255,-V255)*constantes!$B$3)</f>
        <v>174.59072140294285</v>
      </c>
      <c r="Y255" s="85">
        <f t="shared" si="19"/>
        <v>1400</v>
      </c>
      <c r="Z255">
        <v>35</v>
      </c>
    </row>
    <row r="256" spans="1:26">
      <c r="A256" s="290">
        <v>7036</v>
      </c>
      <c r="B256" s="23" t="str">
        <f t="shared" si="16"/>
        <v>SE-NE_1500__kV_36</v>
      </c>
      <c r="C256" s="23">
        <v>802</v>
      </c>
      <c r="D256" s="142" t="str">
        <f>VLOOKUP(C256,tab_corredor!$A$2:$B$50,2,0)</f>
        <v>SE-NE</v>
      </c>
      <c r="E256" s="23">
        <v>1500</v>
      </c>
      <c r="F256" s="23" t="s">
        <v>2724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2672</v>
      </c>
      <c r="M256" s="23">
        <v>2015</v>
      </c>
      <c r="N256" s="23">
        <v>2100</v>
      </c>
      <c r="O256" s="292">
        <v>25</v>
      </c>
      <c r="P256" s="293">
        <v>2100</v>
      </c>
      <c r="Q256" s="294">
        <v>1</v>
      </c>
      <c r="R256" s="23"/>
      <c r="S256" s="148">
        <f t="shared" si="18"/>
        <v>2100</v>
      </c>
      <c r="T256" s="148">
        <f ca="1">IF(S256=0,"",S256*(OFFSET(cod_desembolso!$A$1,Q256,23)))</f>
        <v>2182.3840175367854</v>
      </c>
      <c r="U256" s="149">
        <f>(constantes!$B$3*(1+constantes!$B$3)^(O256))/((1+constantes!$B$3)^(O256)-1)</f>
        <v>9.3678779051968114E-2</v>
      </c>
      <c r="V256" s="148">
        <f t="shared" ca="1" si="17"/>
        <v>204.44307018537503</v>
      </c>
      <c r="W256" s="148">
        <f ca="1">(IF(S256=0,"",V256/constantes!$B$3))*1</f>
        <v>2555.538377317188</v>
      </c>
      <c r="X256" s="150">
        <f ca="1">IF(S256=0,"",PV(constantes!$B$3,O256,-V256)*constantes!$B$3)</f>
        <v>174.59072140294285</v>
      </c>
      <c r="Y256" s="85">
        <f t="shared" si="19"/>
        <v>1400</v>
      </c>
      <c r="Z256">
        <v>36</v>
      </c>
    </row>
    <row r="257" spans="1:26">
      <c r="A257" s="290">
        <v>7037</v>
      </c>
      <c r="B257" s="23" t="str">
        <f t="shared" si="16"/>
        <v>SE-NE_1500__kV_37</v>
      </c>
      <c r="C257" s="23">
        <v>802</v>
      </c>
      <c r="D257" s="142" t="str">
        <f>VLOOKUP(C257,tab_corredor!$A$2:$B$50,2,0)</f>
        <v>SE-NE</v>
      </c>
      <c r="E257" s="23">
        <v>1500</v>
      </c>
      <c r="F257" s="23" t="s">
        <v>2724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2672</v>
      </c>
      <c r="M257" s="23">
        <v>2015</v>
      </c>
      <c r="N257" s="23">
        <v>2100</v>
      </c>
      <c r="O257" s="292">
        <v>25</v>
      </c>
      <c r="P257" s="293">
        <v>2100</v>
      </c>
      <c r="Q257" s="294">
        <v>1</v>
      </c>
      <c r="R257" s="23"/>
      <c r="S257" s="148">
        <f t="shared" si="18"/>
        <v>2100</v>
      </c>
      <c r="T257" s="148">
        <f ca="1">IF(S257=0,"",S257*(OFFSET(cod_desembolso!$A$1,Q257,23)))</f>
        <v>2182.3840175367854</v>
      </c>
      <c r="U257" s="149">
        <f>(constantes!$B$3*(1+constantes!$B$3)^(O257))/((1+constantes!$B$3)^(O257)-1)</f>
        <v>9.3678779051968114E-2</v>
      </c>
      <c r="V257" s="148">
        <f t="shared" ca="1" si="17"/>
        <v>204.44307018537503</v>
      </c>
      <c r="W257" s="148">
        <f ca="1">(IF(S257=0,"",V257/constantes!$B$3))*1</f>
        <v>2555.538377317188</v>
      </c>
      <c r="X257" s="150">
        <f ca="1">IF(S257=0,"",PV(constantes!$B$3,O257,-V257)*constantes!$B$3)</f>
        <v>174.59072140294285</v>
      </c>
      <c r="Y257" s="85">
        <f t="shared" si="19"/>
        <v>1400</v>
      </c>
      <c r="Z257">
        <v>37</v>
      </c>
    </row>
    <row r="258" spans="1:26">
      <c r="A258" s="290">
        <v>7038</v>
      </c>
      <c r="B258" s="23" t="str">
        <f t="shared" ref="B258:B321" si="20">D258&amp;"_"&amp;E258&amp;"_"&amp;F258&amp;IF(F258="DC","","kV")&amp;"_"&amp;Z258</f>
        <v>SE-NE_1500__kV_38</v>
      </c>
      <c r="C258" s="23">
        <v>802</v>
      </c>
      <c r="D258" s="142" t="str">
        <f>VLOOKUP(C258,tab_corredor!$A$2:$B$50,2,0)</f>
        <v>SE-NE</v>
      </c>
      <c r="E258" s="23">
        <v>1500</v>
      </c>
      <c r="F258" s="23" t="s">
        <v>2724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2672</v>
      </c>
      <c r="M258" s="23">
        <v>2015</v>
      </c>
      <c r="N258" s="23">
        <v>2100</v>
      </c>
      <c r="O258" s="292">
        <v>25</v>
      </c>
      <c r="P258" s="293">
        <v>2100</v>
      </c>
      <c r="Q258" s="294">
        <v>1</v>
      </c>
      <c r="R258" s="23"/>
      <c r="S258" s="148">
        <f t="shared" si="18"/>
        <v>2100</v>
      </c>
      <c r="T258" s="148">
        <f ca="1">IF(S258=0,"",S258*(OFFSET(cod_desembolso!$A$1,Q258,23)))</f>
        <v>2182.3840175367854</v>
      </c>
      <c r="U258" s="149">
        <f>(constantes!$B$3*(1+constantes!$B$3)^(O258))/((1+constantes!$B$3)^(O258)-1)</f>
        <v>9.3678779051968114E-2</v>
      </c>
      <c r="V258" s="148">
        <f t="shared" ref="V258:V321" ca="1" si="21">IF(S258=0,"",T258*U258)</f>
        <v>204.44307018537503</v>
      </c>
      <c r="W258" s="148">
        <f ca="1">(IF(S258=0,"",V258/constantes!$B$3))*1</f>
        <v>2555.538377317188</v>
      </c>
      <c r="X258" s="150">
        <f ca="1">IF(S258=0,"",PV(constantes!$B$3,O258,-V258)*constantes!$B$3)</f>
        <v>174.59072140294285</v>
      </c>
      <c r="Y258" s="85">
        <f t="shared" si="19"/>
        <v>1400</v>
      </c>
      <c r="Z258">
        <v>38</v>
      </c>
    </row>
    <row r="259" spans="1:26">
      <c r="A259" s="290">
        <v>7039</v>
      </c>
      <c r="B259" s="23" t="str">
        <f t="shared" si="20"/>
        <v>SE-NE_1500__kV_39</v>
      </c>
      <c r="C259" s="23">
        <v>802</v>
      </c>
      <c r="D259" s="142" t="str">
        <f>VLOOKUP(C259,tab_corredor!$A$2:$B$50,2,0)</f>
        <v>SE-NE</v>
      </c>
      <c r="E259" s="23">
        <v>1500</v>
      </c>
      <c r="F259" s="23" t="s">
        <v>2724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2672</v>
      </c>
      <c r="M259" s="23">
        <v>2015</v>
      </c>
      <c r="N259" s="23">
        <v>2100</v>
      </c>
      <c r="O259" s="292">
        <v>25</v>
      </c>
      <c r="P259" s="293">
        <v>2100</v>
      </c>
      <c r="Q259" s="294">
        <v>1</v>
      </c>
      <c r="R259" s="23"/>
      <c r="S259" s="148">
        <f t="shared" si="18"/>
        <v>2100</v>
      </c>
      <c r="T259" s="148">
        <f ca="1">IF(S259=0,"",S259*(OFFSET(cod_desembolso!$A$1,Q259,23)))</f>
        <v>2182.3840175367854</v>
      </c>
      <c r="U259" s="149">
        <f>(constantes!$B$3*(1+constantes!$B$3)^(O259))/((1+constantes!$B$3)^(O259)-1)</f>
        <v>9.3678779051968114E-2</v>
      </c>
      <c r="V259" s="148">
        <f t="shared" ca="1" si="21"/>
        <v>204.44307018537503</v>
      </c>
      <c r="W259" s="148">
        <f ca="1">(IF(S259=0,"",V259/constantes!$B$3))*1</f>
        <v>2555.538377317188</v>
      </c>
      <c r="X259" s="150">
        <f ca="1">IF(S259=0,"",PV(constantes!$B$3,O259,-V259)*constantes!$B$3)</f>
        <v>174.59072140294285</v>
      </c>
      <c r="Y259" s="85">
        <f t="shared" si="19"/>
        <v>1400</v>
      </c>
      <c r="Z259">
        <v>39</v>
      </c>
    </row>
    <row r="260" spans="1:26">
      <c r="A260" s="290">
        <v>7040</v>
      </c>
      <c r="B260" s="23" t="str">
        <f t="shared" si="20"/>
        <v>SE-NE_1500__kV_40</v>
      </c>
      <c r="C260" s="23">
        <v>802</v>
      </c>
      <c r="D260" s="142" t="str">
        <f>VLOOKUP(C260,tab_corredor!$A$2:$B$50,2,0)</f>
        <v>SE-NE</v>
      </c>
      <c r="E260" s="23">
        <v>1500</v>
      </c>
      <c r="F260" s="23" t="s">
        <v>2724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2672</v>
      </c>
      <c r="M260" s="23">
        <v>2015</v>
      </c>
      <c r="N260" s="23">
        <v>2100</v>
      </c>
      <c r="O260" s="292">
        <v>25</v>
      </c>
      <c r="P260" s="293">
        <v>2100</v>
      </c>
      <c r="Q260" s="294">
        <v>1</v>
      </c>
      <c r="R260" s="23"/>
      <c r="S260" s="148">
        <f t="shared" si="18"/>
        <v>2100</v>
      </c>
      <c r="T260" s="148">
        <f ca="1">IF(S260=0,"",S260*(OFFSET(cod_desembolso!$A$1,Q260,23)))</f>
        <v>2182.3840175367854</v>
      </c>
      <c r="U260" s="149">
        <f>(constantes!$B$3*(1+constantes!$B$3)^(O260))/((1+constantes!$B$3)^(O260)-1)</f>
        <v>9.3678779051968114E-2</v>
      </c>
      <c r="V260" s="148">
        <f t="shared" ca="1" si="21"/>
        <v>204.44307018537503</v>
      </c>
      <c r="W260" s="148">
        <f ca="1">(IF(S260=0,"",V260/constantes!$B$3))*1</f>
        <v>2555.538377317188</v>
      </c>
      <c r="X260" s="150">
        <f ca="1">IF(S260=0,"",PV(constantes!$B$3,O260,-V260)*constantes!$B$3)</f>
        <v>174.59072140294285</v>
      </c>
      <c r="Y260" s="85">
        <f t="shared" si="19"/>
        <v>1400</v>
      </c>
      <c r="Z260">
        <v>40</v>
      </c>
    </row>
    <row r="261" spans="1:26">
      <c r="A261" s="290">
        <v>7041</v>
      </c>
      <c r="B261" s="23" t="str">
        <f t="shared" si="20"/>
        <v>SE-NE_1500__kV_41</v>
      </c>
      <c r="C261" s="23">
        <v>802</v>
      </c>
      <c r="D261" s="142" t="str">
        <f>VLOOKUP(C261,tab_corredor!$A$2:$B$50,2,0)</f>
        <v>SE-NE</v>
      </c>
      <c r="E261" s="23">
        <v>1500</v>
      </c>
      <c r="F261" s="23" t="s">
        <v>2724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2672</v>
      </c>
      <c r="M261" s="23">
        <v>2015</v>
      </c>
      <c r="N261" s="23">
        <v>2100</v>
      </c>
      <c r="O261" s="292">
        <v>25</v>
      </c>
      <c r="P261" s="293">
        <v>2100</v>
      </c>
      <c r="Q261" s="294">
        <v>1</v>
      </c>
      <c r="R261" s="23"/>
      <c r="S261" s="148">
        <f t="shared" si="18"/>
        <v>2100</v>
      </c>
      <c r="T261" s="148">
        <f ca="1">IF(S261=0,"",S261*(OFFSET(cod_desembolso!$A$1,Q261,23)))</f>
        <v>2182.3840175367854</v>
      </c>
      <c r="U261" s="149">
        <f>(constantes!$B$3*(1+constantes!$B$3)^(O261))/((1+constantes!$B$3)^(O261)-1)</f>
        <v>9.3678779051968114E-2</v>
      </c>
      <c r="V261" s="148">
        <f t="shared" ca="1" si="21"/>
        <v>204.44307018537503</v>
      </c>
      <c r="W261" s="148">
        <f ca="1">(IF(S261=0,"",V261/constantes!$B$3))*1</f>
        <v>2555.538377317188</v>
      </c>
      <c r="X261" s="150">
        <f ca="1">IF(S261=0,"",PV(constantes!$B$3,O261,-V261)*constantes!$B$3)</f>
        <v>174.59072140294285</v>
      </c>
      <c r="Y261" s="85">
        <f t="shared" si="19"/>
        <v>1400</v>
      </c>
      <c r="Z261">
        <v>41</v>
      </c>
    </row>
    <row r="262" spans="1:26">
      <c r="A262" s="290">
        <v>7042</v>
      </c>
      <c r="B262" s="23" t="str">
        <f t="shared" si="20"/>
        <v>SE-NE_1500__kV_42</v>
      </c>
      <c r="C262" s="23">
        <v>802</v>
      </c>
      <c r="D262" s="142" t="str">
        <f>VLOOKUP(C262,tab_corredor!$A$2:$B$50,2,0)</f>
        <v>SE-NE</v>
      </c>
      <c r="E262" s="23">
        <v>1500</v>
      </c>
      <c r="F262" s="23" t="s">
        <v>2724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2672</v>
      </c>
      <c r="M262" s="23">
        <v>2015</v>
      </c>
      <c r="N262" s="23">
        <v>2100</v>
      </c>
      <c r="O262" s="292">
        <v>25</v>
      </c>
      <c r="P262" s="293">
        <v>2100</v>
      </c>
      <c r="Q262" s="294">
        <v>1</v>
      </c>
      <c r="R262" s="23"/>
      <c r="S262" s="148">
        <f t="shared" si="18"/>
        <v>2100</v>
      </c>
      <c r="T262" s="148">
        <f ca="1">IF(S262=0,"",S262*(OFFSET(cod_desembolso!$A$1,Q262,23)))</f>
        <v>2182.3840175367854</v>
      </c>
      <c r="U262" s="149">
        <f>(constantes!$B$3*(1+constantes!$B$3)^(O262))/((1+constantes!$B$3)^(O262)-1)</f>
        <v>9.3678779051968114E-2</v>
      </c>
      <c r="V262" s="148">
        <f t="shared" ca="1" si="21"/>
        <v>204.44307018537503</v>
      </c>
      <c r="W262" s="148">
        <f ca="1">(IF(S262=0,"",V262/constantes!$B$3))*1</f>
        <v>2555.538377317188</v>
      </c>
      <c r="X262" s="150">
        <f ca="1">IF(S262=0,"",PV(constantes!$B$3,O262,-V262)*constantes!$B$3)</f>
        <v>174.59072140294285</v>
      </c>
      <c r="Y262" s="85">
        <f t="shared" si="19"/>
        <v>1400</v>
      </c>
      <c r="Z262">
        <v>42</v>
      </c>
    </row>
    <row r="263" spans="1:26">
      <c r="A263" s="290">
        <v>7043</v>
      </c>
      <c r="B263" s="23" t="str">
        <f t="shared" si="20"/>
        <v>SE-NE_1500__kV_43</v>
      </c>
      <c r="C263" s="23">
        <v>802</v>
      </c>
      <c r="D263" s="142" t="str">
        <f>VLOOKUP(C263,tab_corredor!$A$2:$B$50,2,0)</f>
        <v>SE-NE</v>
      </c>
      <c r="E263" s="23">
        <v>1500</v>
      </c>
      <c r="F263" s="23" t="s">
        <v>2724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2672</v>
      </c>
      <c r="M263" s="23">
        <v>2015</v>
      </c>
      <c r="N263" s="23">
        <v>2100</v>
      </c>
      <c r="O263" s="292">
        <v>25</v>
      </c>
      <c r="P263" s="293">
        <v>2100</v>
      </c>
      <c r="Q263" s="294">
        <v>1</v>
      </c>
      <c r="R263" s="23"/>
      <c r="S263" s="148">
        <f t="shared" si="18"/>
        <v>2100</v>
      </c>
      <c r="T263" s="148">
        <f ca="1">IF(S263=0,"",S263*(OFFSET(cod_desembolso!$A$1,Q263,23)))</f>
        <v>2182.3840175367854</v>
      </c>
      <c r="U263" s="149">
        <f>(constantes!$B$3*(1+constantes!$B$3)^(O263))/((1+constantes!$B$3)^(O263)-1)</f>
        <v>9.3678779051968114E-2</v>
      </c>
      <c r="V263" s="148">
        <f t="shared" ca="1" si="21"/>
        <v>204.44307018537503</v>
      </c>
      <c r="W263" s="148">
        <f ca="1">(IF(S263=0,"",V263/constantes!$B$3))*1</f>
        <v>2555.538377317188</v>
      </c>
      <c r="X263" s="150">
        <f ca="1">IF(S263=0,"",PV(constantes!$B$3,O263,-V263)*constantes!$B$3)</f>
        <v>174.59072140294285</v>
      </c>
      <c r="Y263" s="85">
        <f t="shared" si="19"/>
        <v>1400</v>
      </c>
      <c r="Z263">
        <v>43</v>
      </c>
    </row>
    <row r="264" spans="1:26">
      <c r="A264" s="290">
        <v>7044</v>
      </c>
      <c r="B264" s="23" t="str">
        <f t="shared" si="20"/>
        <v>SE-NE_1500__kV_44</v>
      </c>
      <c r="C264" s="23">
        <v>802</v>
      </c>
      <c r="D264" s="142" t="str">
        <f>VLOOKUP(C264,tab_corredor!$A$2:$B$50,2,0)</f>
        <v>SE-NE</v>
      </c>
      <c r="E264" s="23">
        <v>1500</v>
      </c>
      <c r="F264" s="23" t="s">
        <v>2724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2672</v>
      </c>
      <c r="M264" s="23">
        <v>2015</v>
      </c>
      <c r="N264" s="23">
        <v>2100</v>
      </c>
      <c r="O264" s="292">
        <v>25</v>
      </c>
      <c r="P264" s="293">
        <v>2100</v>
      </c>
      <c r="Q264" s="294">
        <v>1</v>
      </c>
      <c r="R264" s="23"/>
      <c r="S264" s="148">
        <f t="shared" si="18"/>
        <v>2100</v>
      </c>
      <c r="T264" s="148">
        <f ca="1">IF(S264=0,"",S264*(OFFSET(cod_desembolso!$A$1,Q264,23)))</f>
        <v>2182.3840175367854</v>
      </c>
      <c r="U264" s="149">
        <f>(constantes!$B$3*(1+constantes!$B$3)^(O264))/((1+constantes!$B$3)^(O264)-1)</f>
        <v>9.3678779051968114E-2</v>
      </c>
      <c r="V264" s="148">
        <f t="shared" ca="1" si="21"/>
        <v>204.44307018537503</v>
      </c>
      <c r="W264" s="148">
        <f ca="1">(IF(S264=0,"",V264/constantes!$B$3))*1</f>
        <v>2555.538377317188</v>
      </c>
      <c r="X264" s="150">
        <f ca="1">IF(S264=0,"",PV(constantes!$B$3,O264,-V264)*constantes!$B$3)</f>
        <v>174.59072140294285</v>
      </c>
      <c r="Y264" s="85">
        <f t="shared" si="19"/>
        <v>1400</v>
      </c>
      <c r="Z264">
        <v>44</v>
      </c>
    </row>
    <row r="265" spans="1:26">
      <c r="A265" s="290">
        <v>7045</v>
      </c>
      <c r="B265" s="23" t="str">
        <f t="shared" si="20"/>
        <v>SE-NE_1500__kV_45</v>
      </c>
      <c r="C265" s="23">
        <v>802</v>
      </c>
      <c r="D265" s="142" t="str">
        <f>VLOOKUP(C265,tab_corredor!$A$2:$B$50,2,0)</f>
        <v>SE-NE</v>
      </c>
      <c r="E265" s="23">
        <v>1500</v>
      </c>
      <c r="F265" s="23" t="s">
        <v>2724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2672</v>
      </c>
      <c r="M265" s="23">
        <v>2015</v>
      </c>
      <c r="N265" s="23">
        <v>2100</v>
      </c>
      <c r="O265" s="292">
        <v>25</v>
      </c>
      <c r="P265" s="293">
        <v>2100</v>
      </c>
      <c r="Q265" s="294">
        <v>1</v>
      </c>
      <c r="R265" s="23"/>
      <c r="S265" s="148">
        <f t="shared" si="18"/>
        <v>2100</v>
      </c>
      <c r="T265" s="148">
        <f ca="1">IF(S265=0,"",S265*(OFFSET(cod_desembolso!$A$1,Q265,23)))</f>
        <v>2182.3840175367854</v>
      </c>
      <c r="U265" s="149">
        <f>(constantes!$B$3*(1+constantes!$B$3)^(O265))/((1+constantes!$B$3)^(O265)-1)</f>
        <v>9.3678779051968114E-2</v>
      </c>
      <c r="V265" s="148">
        <f t="shared" ca="1" si="21"/>
        <v>204.44307018537503</v>
      </c>
      <c r="W265" s="148">
        <f ca="1">(IF(S265=0,"",V265/constantes!$B$3))*1</f>
        <v>2555.538377317188</v>
      </c>
      <c r="X265" s="150">
        <f ca="1">IF(S265=0,"",PV(constantes!$B$3,O265,-V265)*constantes!$B$3)</f>
        <v>174.59072140294285</v>
      </c>
      <c r="Y265" s="85">
        <f t="shared" si="19"/>
        <v>1400</v>
      </c>
      <c r="Z265">
        <v>45</v>
      </c>
    </row>
    <row r="266" spans="1:26">
      <c r="A266" s="290">
        <v>7046</v>
      </c>
      <c r="B266" s="23" t="str">
        <f t="shared" si="20"/>
        <v>SE-NE_1500__kV_46</v>
      </c>
      <c r="C266" s="23">
        <v>802</v>
      </c>
      <c r="D266" s="142" t="str">
        <f>VLOOKUP(C266,tab_corredor!$A$2:$B$50,2,0)</f>
        <v>SE-NE</v>
      </c>
      <c r="E266" s="23">
        <v>1500</v>
      </c>
      <c r="F266" s="23" t="s">
        <v>2724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2672</v>
      </c>
      <c r="M266" s="23">
        <v>2015</v>
      </c>
      <c r="N266" s="23">
        <v>2100</v>
      </c>
      <c r="O266" s="292">
        <v>25</v>
      </c>
      <c r="P266" s="293">
        <v>2100</v>
      </c>
      <c r="Q266" s="294">
        <v>1</v>
      </c>
      <c r="R266" s="23"/>
      <c r="S266" s="148">
        <f t="shared" si="18"/>
        <v>2100</v>
      </c>
      <c r="T266" s="148">
        <f ca="1">IF(S266=0,"",S266*(OFFSET(cod_desembolso!$A$1,Q266,23)))</f>
        <v>2182.3840175367854</v>
      </c>
      <c r="U266" s="149">
        <f>(constantes!$B$3*(1+constantes!$B$3)^(O266))/((1+constantes!$B$3)^(O266)-1)</f>
        <v>9.3678779051968114E-2</v>
      </c>
      <c r="V266" s="148">
        <f t="shared" ca="1" si="21"/>
        <v>204.44307018537503</v>
      </c>
      <c r="W266" s="148">
        <f ca="1">(IF(S266=0,"",V266/constantes!$B$3))*1</f>
        <v>2555.538377317188</v>
      </c>
      <c r="X266" s="150">
        <f ca="1">IF(S266=0,"",PV(constantes!$B$3,O266,-V266)*constantes!$B$3)</f>
        <v>174.59072140294285</v>
      </c>
      <c r="Y266" s="85">
        <f t="shared" si="19"/>
        <v>1400</v>
      </c>
      <c r="Z266">
        <v>46</v>
      </c>
    </row>
    <row r="267" spans="1:26">
      <c r="A267" s="290">
        <v>7047</v>
      </c>
      <c r="B267" s="23" t="str">
        <f t="shared" si="20"/>
        <v>SE-NE_1500__kV_47</v>
      </c>
      <c r="C267" s="23">
        <v>802</v>
      </c>
      <c r="D267" s="142" t="str">
        <f>VLOOKUP(C267,tab_corredor!$A$2:$B$50,2,0)</f>
        <v>SE-NE</v>
      </c>
      <c r="E267" s="23">
        <v>1500</v>
      </c>
      <c r="F267" s="23" t="s">
        <v>2724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2672</v>
      </c>
      <c r="M267" s="23">
        <v>2015</v>
      </c>
      <c r="N267" s="23">
        <v>2100</v>
      </c>
      <c r="O267" s="292">
        <v>25</v>
      </c>
      <c r="P267" s="293">
        <v>2100</v>
      </c>
      <c r="Q267" s="294">
        <v>1</v>
      </c>
      <c r="R267" s="23"/>
      <c r="S267" s="148">
        <f t="shared" si="18"/>
        <v>2100</v>
      </c>
      <c r="T267" s="148">
        <f ca="1">IF(S267=0,"",S267*(OFFSET(cod_desembolso!$A$1,Q267,23)))</f>
        <v>2182.3840175367854</v>
      </c>
      <c r="U267" s="149">
        <f>(constantes!$B$3*(1+constantes!$B$3)^(O267))/((1+constantes!$B$3)^(O267)-1)</f>
        <v>9.3678779051968114E-2</v>
      </c>
      <c r="V267" s="148">
        <f t="shared" ca="1" si="21"/>
        <v>204.44307018537503</v>
      </c>
      <c r="W267" s="148">
        <f ca="1">(IF(S267=0,"",V267/constantes!$B$3))*1</f>
        <v>2555.538377317188</v>
      </c>
      <c r="X267" s="150">
        <f ca="1">IF(S267=0,"",PV(constantes!$B$3,O267,-V267)*constantes!$B$3)</f>
        <v>174.59072140294285</v>
      </c>
      <c r="Y267" s="85">
        <f t="shared" si="19"/>
        <v>1400</v>
      </c>
      <c r="Z267">
        <v>47</v>
      </c>
    </row>
    <row r="268" spans="1:26">
      <c r="A268" s="290">
        <v>7048</v>
      </c>
      <c r="B268" s="23" t="str">
        <f t="shared" si="20"/>
        <v>SE-NE_1500__kV_48</v>
      </c>
      <c r="C268" s="23">
        <v>802</v>
      </c>
      <c r="D268" s="142" t="str">
        <f>VLOOKUP(C268,tab_corredor!$A$2:$B$50,2,0)</f>
        <v>SE-NE</v>
      </c>
      <c r="E268" s="23">
        <v>1500</v>
      </c>
      <c r="F268" s="23" t="s">
        <v>2724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2672</v>
      </c>
      <c r="M268" s="23">
        <v>2015</v>
      </c>
      <c r="N268" s="23">
        <v>2100</v>
      </c>
      <c r="O268" s="292">
        <v>25</v>
      </c>
      <c r="P268" s="293">
        <v>2100</v>
      </c>
      <c r="Q268" s="294">
        <v>1</v>
      </c>
      <c r="R268" s="23"/>
      <c r="S268" s="148">
        <f t="shared" si="18"/>
        <v>2100</v>
      </c>
      <c r="T268" s="148">
        <f ca="1">IF(S268=0,"",S268*(OFFSET(cod_desembolso!$A$1,Q268,23)))</f>
        <v>2182.3840175367854</v>
      </c>
      <c r="U268" s="149">
        <f>(constantes!$B$3*(1+constantes!$B$3)^(O268))/((1+constantes!$B$3)^(O268)-1)</f>
        <v>9.3678779051968114E-2</v>
      </c>
      <c r="V268" s="148">
        <f t="shared" ca="1" si="21"/>
        <v>204.44307018537503</v>
      </c>
      <c r="W268" s="148">
        <f ca="1">(IF(S268=0,"",V268/constantes!$B$3))*1</f>
        <v>2555.538377317188</v>
      </c>
      <c r="X268" s="150">
        <f ca="1">IF(S268=0,"",PV(constantes!$B$3,O268,-V268)*constantes!$B$3)</f>
        <v>174.59072140294285</v>
      </c>
      <c r="Y268" s="85">
        <f t="shared" si="19"/>
        <v>1400</v>
      </c>
      <c r="Z268">
        <v>48</v>
      </c>
    </row>
    <row r="269" spans="1:26">
      <c r="A269" s="290">
        <v>7049</v>
      </c>
      <c r="B269" s="23" t="str">
        <f t="shared" si="20"/>
        <v>SE-NE_1500__kV_49</v>
      </c>
      <c r="C269" s="23">
        <v>802</v>
      </c>
      <c r="D269" s="142" t="str">
        <f>VLOOKUP(C269,tab_corredor!$A$2:$B$50,2,0)</f>
        <v>SE-NE</v>
      </c>
      <c r="E269" s="23">
        <v>1500</v>
      </c>
      <c r="F269" s="23" t="s">
        <v>2724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2672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si="18"/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ca="1" si="21"/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si="19"/>
        <v>1400</v>
      </c>
      <c r="Z269">
        <v>49</v>
      </c>
    </row>
    <row r="270" spans="1:26">
      <c r="A270" s="290">
        <v>7050</v>
      </c>
      <c r="B270" s="23" t="str">
        <f t="shared" si="20"/>
        <v>SE-NE_1500__kV_50</v>
      </c>
      <c r="C270" s="23">
        <v>802</v>
      </c>
      <c r="D270" s="142" t="str">
        <f>VLOOKUP(C270,tab_corredor!$A$2:$B$50,2,0)</f>
        <v>SE-NE</v>
      </c>
      <c r="E270" s="23">
        <v>1500</v>
      </c>
      <c r="F270" s="23" t="s">
        <v>2724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2672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18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21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19"/>
        <v>1400</v>
      </c>
      <c r="Z270">
        <v>50</v>
      </c>
    </row>
    <row r="271" spans="1:26">
      <c r="A271" s="290">
        <v>7051</v>
      </c>
      <c r="B271" s="23" t="str">
        <f t="shared" si="20"/>
        <v>SE-NE_1500__kV_51</v>
      </c>
      <c r="C271" s="23">
        <v>802</v>
      </c>
      <c r="D271" s="142" t="str">
        <f>VLOOKUP(C271,tab_corredor!$A$2:$B$50,2,0)</f>
        <v>SE-NE</v>
      </c>
      <c r="E271" s="23">
        <v>1500</v>
      </c>
      <c r="F271" s="23" t="s">
        <v>2724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2672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18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21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19"/>
        <v>1400</v>
      </c>
      <c r="Z271">
        <v>51</v>
      </c>
    </row>
    <row r="272" spans="1:26">
      <c r="A272" s="290">
        <v>7052</v>
      </c>
      <c r="B272" s="23" t="str">
        <f t="shared" si="20"/>
        <v>SE-NE_1500__kV_52</v>
      </c>
      <c r="C272" s="23">
        <v>802</v>
      </c>
      <c r="D272" s="142" t="str">
        <f>VLOOKUP(C272,tab_corredor!$A$2:$B$50,2,0)</f>
        <v>SE-NE</v>
      </c>
      <c r="E272" s="23">
        <v>1500</v>
      </c>
      <c r="F272" s="23" t="s">
        <v>2724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2672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18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21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19"/>
        <v>1400</v>
      </c>
      <c r="Z272">
        <v>52</v>
      </c>
    </row>
    <row r="273" spans="1:26">
      <c r="A273" s="290">
        <v>7053</v>
      </c>
      <c r="B273" s="23" t="str">
        <f t="shared" si="20"/>
        <v>SE-NE_1500__kV_53</v>
      </c>
      <c r="C273" s="23">
        <v>802</v>
      </c>
      <c r="D273" s="142" t="str">
        <f>VLOOKUP(C273,tab_corredor!$A$2:$B$50,2,0)</f>
        <v>SE-NE</v>
      </c>
      <c r="E273" s="23">
        <v>1500</v>
      </c>
      <c r="F273" s="23" t="s">
        <v>2724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2672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ref="S273:S336" si="22">P273+R273</f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21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ref="Y273:Y336" si="23">S273/E273*1000</f>
        <v>1400</v>
      </c>
      <c r="Z273">
        <v>53</v>
      </c>
    </row>
    <row r="274" spans="1:26">
      <c r="A274" s="290">
        <v>7054</v>
      </c>
      <c r="B274" s="23" t="str">
        <f t="shared" si="20"/>
        <v>SE-NE_1500__kV_54</v>
      </c>
      <c r="C274" s="23">
        <v>802</v>
      </c>
      <c r="D274" s="142" t="str">
        <f>VLOOKUP(C274,tab_corredor!$A$2:$B$50,2,0)</f>
        <v>SE-NE</v>
      </c>
      <c r="E274" s="23">
        <v>1500</v>
      </c>
      <c r="F274" s="23" t="s">
        <v>2724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2672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2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21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23"/>
        <v>1400</v>
      </c>
      <c r="Z274">
        <v>54</v>
      </c>
    </row>
    <row r="275" spans="1:26">
      <c r="A275" s="290">
        <v>7055</v>
      </c>
      <c r="B275" s="23" t="str">
        <f t="shared" si="20"/>
        <v>SE-NE_1500__kV_55</v>
      </c>
      <c r="C275" s="23">
        <v>802</v>
      </c>
      <c r="D275" s="142" t="str">
        <f>VLOOKUP(C275,tab_corredor!$A$2:$B$50,2,0)</f>
        <v>SE-NE</v>
      </c>
      <c r="E275" s="23">
        <v>1500</v>
      </c>
      <c r="F275" s="23" t="s">
        <v>2724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2672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2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21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23"/>
        <v>1400</v>
      </c>
      <c r="Z275">
        <v>55</v>
      </c>
    </row>
    <row r="276" spans="1:26">
      <c r="A276" s="290">
        <v>7056</v>
      </c>
      <c r="B276" s="23" t="str">
        <f t="shared" si="20"/>
        <v>SE-NE_1500__kV_56</v>
      </c>
      <c r="C276" s="23">
        <v>802</v>
      </c>
      <c r="D276" s="142" t="str">
        <f>VLOOKUP(C276,tab_corredor!$A$2:$B$50,2,0)</f>
        <v>SE-NE</v>
      </c>
      <c r="E276" s="23">
        <v>1500</v>
      </c>
      <c r="F276" s="23" t="s">
        <v>2724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2672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2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21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23"/>
        <v>1400</v>
      </c>
      <c r="Z276">
        <v>56</v>
      </c>
    </row>
    <row r="277" spans="1:26">
      <c r="A277" s="290">
        <v>7057</v>
      </c>
      <c r="B277" s="23" t="str">
        <f t="shared" si="20"/>
        <v>SE-NE_1500__kV_57</v>
      </c>
      <c r="C277" s="23">
        <v>802</v>
      </c>
      <c r="D277" s="142" t="str">
        <f>VLOOKUP(C277,tab_corredor!$A$2:$B$50,2,0)</f>
        <v>SE-NE</v>
      </c>
      <c r="E277" s="23">
        <v>1500</v>
      </c>
      <c r="F277" s="23" t="s">
        <v>2724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2672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2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21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23"/>
        <v>1400</v>
      </c>
      <c r="Z277">
        <v>57</v>
      </c>
    </row>
    <row r="278" spans="1:26">
      <c r="A278" s="290">
        <v>7058</v>
      </c>
      <c r="B278" s="23" t="str">
        <f t="shared" si="20"/>
        <v>SE-NE_1500__kV_58</v>
      </c>
      <c r="C278" s="23">
        <v>802</v>
      </c>
      <c r="D278" s="142" t="str">
        <f>VLOOKUP(C278,tab_corredor!$A$2:$B$50,2,0)</f>
        <v>SE-NE</v>
      </c>
      <c r="E278" s="23">
        <v>1500</v>
      </c>
      <c r="F278" s="23" t="s">
        <v>2724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2672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2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21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23"/>
        <v>1400</v>
      </c>
      <c r="Z278">
        <v>58</v>
      </c>
    </row>
    <row r="279" spans="1:26">
      <c r="A279" s="290">
        <v>7059</v>
      </c>
      <c r="B279" s="23" t="str">
        <f t="shared" si="20"/>
        <v>SE-NE_1500__kV_59</v>
      </c>
      <c r="C279" s="23">
        <v>802</v>
      </c>
      <c r="D279" s="142" t="str">
        <f>VLOOKUP(C279,tab_corredor!$A$2:$B$50,2,0)</f>
        <v>SE-NE</v>
      </c>
      <c r="E279" s="23">
        <v>1500</v>
      </c>
      <c r="F279" s="23" t="s">
        <v>2724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2672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2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21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23"/>
        <v>1400</v>
      </c>
      <c r="Z279">
        <v>59</v>
      </c>
    </row>
    <row r="280" spans="1:26">
      <c r="A280" s="290">
        <v>7060</v>
      </c>
      <c r="B280" s="23" t="str">
        <f t="shared" si="20"/>
        <v>SE-NE_1500__kV_60</v>
      </c>
      <c r="C280" s="23">
        <v>802</v>
      </c>
      <c r="D280" s="142" t="str">
        <f>VLOOKUP(C280,tab_corredor!$A$2:$B$50,2,0)</f>
        <v>SE-NE</v>
      </c>
      <c r="E280" s="23">
        <v>1500</v>
      </c>
      <c r="F280" s="23" t="s">
        <v>2724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2672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2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21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23"/>
        <v>1400</v>
      </c>
      <c r="Z280">
        <v>60</v>
      </c>
    </row>
    <row r="281" spans="1:26">
      <c r="A281" s="290">
        <v>7061</v>
      </c>
      <c r="B281" s="23" t="str">
        <f t="shared" si="20"/>
        <v>SE-NE_1500__kV_61</v>
      </c>
      <c r="C281" s="23">
        <v>802</v>
      </c>
      <c r="D281" s="142" t="str">
        <f>VLOOKUP(C281,tab_corredor!$A$2:$B$50,2,0)</f>
        <v>SE-NE</v>
      </c>
      <c r="E281" s="23">
        <v>1500</v>
      </c>
      <c r="F281" s="23" t="s">
        <v>2724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2672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2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21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23"/>
        <v>1400</v>
      </c>
      <c r="Z281">
        <v>61</v>
      </c>
    </row>
    <row r="282" spans="1:26">
      <c r="A282" s="290">
        <v>7062</v>
      </c>
      <c r="B282" s="23" t="str">
        <f t="shared" si="20"/>
        <v>SE-NE_1500__kV_62</v>
      </c>
      <c r="C282" s="23">
        <v>802</v>
      </c>
      <c r="D282" s="142" t="str">
        <f>VLOOKUP(C282,tab_corredor!$A$2:$B$50,2,0)</f>
        <v>SE-NE</v>
      </c>
      <c r="E282" s="23">
        <v>1500</v>
      </c>
      <c r="F282" s="23" t="s">
        <v>2724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2672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2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21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23"/>
        <v>1400</v>
      </c>
      <c r="Z282">
        <v>62</v>
      </c>
    </row>
    <row r="283" spans="1:26">
      <c r="A283" s="290">
        <v>7063</v>
      </c>
      <c r="B283" s="23" t="str">
        <f t="shared" si="20"/>
        <v>SE-NE_1500__kV_63</v>
      </c>
      <c r="C283" s="23">
        <v>802</v>
      </c>
      <c r="D283" s="142" t="str">
        <f>VLOOKUP(C283,tab_corredor!$A$2:$B$50,2,0)</f>
        <v>SE-NE</v>
      </c>
      <c r="E283" s="23">
        <v>1500</v>
      </c>
      <c r="F283" s="23" t="s">
        <v>2724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2672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2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21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23"/>
        <v>1400</v>
      </c>
      <c r="Z283">
        <v>63</v>
      </c>
    </row>
    <row r="284" spans="1:26">
      <c r="A284" s="290">
        <v>7064</v>
      </c>
      <c r="B284" s="23" t="str">
        <f t="shared" si="20"/>
        <v>SE-NE_1500__kV_64</v>
      </c>
      <c r="C284" s="23">
        <v>802</v>
      </c>
      <c r="D284" s="142" t="str">
        <f>VLOOKUP(C284,tab_corredor!$A$2:$B$50,2,0)</f>
        <v>SE-NE</v>
      </c>
      <c r="E284" s="23">
        <v>1500</v>
      </c>
      <c r="F284" s="23" t="s">
        <v>2724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2672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2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21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23"/>
        <v>1400</v>
      </c>
      <c r="Z284">
        <v>64</v>
      </c>
    </row>
    <row r="285" spans="1:26">
      <c r="A285" s="290">
        <v>7065</v>
      </c>
      <c r="B285" s="23" t="str">
        <f t="shared" si="20"/>
        <v>SE-NE_1500__kV_65</v>
      </c>
      <c r="C285" s="23">
        <v>802</v>
      </c>
      <c r="D285" s="142" t="str">
        <f>VLOOKUP(C285,tab_corredor!$A$2:$B$50,2,0)</f>
        <v>SE-NE</v>
      </c>
      <c r="E285" s="23">
        <v>1500</v>
      </c>
      <c r="F285" s="23" t="s">
        <v>2724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2672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2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21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23"/>
        <v>1400</v>
      </c>
      <c r="Z285">
        <v>65</v>
      </c>
    </row>
    <row r="286" spans="1:26">
      <c r="A286" s="290">
        <v>7066</v>
      </c>
      <c r="B286" s="23" t="str">
        <f t="shared" si="20"/>
        <v>SE-NE_1500__kV_66</v>
      </c>
      <c r="C286" s="23">
        <v>802</v>
      </c>
      <c r="D286" s="142" t="str">
        <f>VLOOKUP(C286,tab_corredor!$A$2:$B$50,2,0)</f>
        <v>SE-NE</v>
      </c>
      <c r="E286" s="23">
        <v>1500</v>
      </c>
      <c r="F286" s="23" t="s">
        <v>2724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2672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2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21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23"/>
        <v>1400</v>
      </c>
      <c r="Z286">
        <v>66</v>
      </c>
    </row>
    <row r="287" spans="1:26">
      <c r="A287" s="290">
        <v>7067</v>
      </c>
      <c r="B287" s="23" t="str">
        <f t="shared" si="20"/>
        <v>SE-NE_1500__kV_67</v>
      </c>
      <c r="C287" s="23">
        <v>802</v>
      </c>
      <c r="D287" s="142" t="str">
        <f>VLOOKUP(C287,tab_corredor!$A$2:$B$50,2,0)</f>
        <v>SE-NE</v>
      </c>
      <c r="E287" s="23">
        <v>1500</v>
      </c>
      <c r="F287" s="23" t="s">
        <v>2724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2672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2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21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23"/>
        <v>1400</v>
      </c>
      <c r="Z287">
        <v>67</v>
      </c>
    </row>
    <row r="288" spans="1:26">
      <c r="A288" s="290">
        <v>7068</v>
      </c>
      <c r="B288" s="23" t="str">
        <f t="shared" si="20"/>
        <v>SE-NE_1500__kV_68</v>
      </c>
      <c r="C288" s="23">
        <v>802</v>
      </c>
      <c r="D288" s="142" t="str">
        <f>VLOOKUP(C288,tab_corredor!$A$2:$B$50,2,0)</f>
        <v>SE-NE</v>
      </c>
      <c r="E288" s="23">
        <v>1500</v>
      </c>
      <c r="F288" s="23" t="s">
        <v>2724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2672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2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21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23"/>
        <v>1400</v>
      </c>
      <c r="Z288">
        <v>68</v>
      </c>
    </row>
    <row r="289" spans="1:26">
      <c r="A289" s="290">
        <v>7069</v>
      </c>
      <c r="B289" s="23" t="str">
        <f t="shared" si="20"/>
        <v>SE-NE_1500__kV_69</v>
      </c>
      <c r="C289" s="23">
        <v>802</v>
      </c>
      <c r="D289" s="142" t="str">
        <f>VLOOKUP(C289,tab_corredor!$A$2:$B$50,2,0)</f>
        <v>SE-NE</v>
      </c>
      <c r="E289" s="23">
        <v>1500</v>
      </c>
      <c r="F289" s="23" t="s">
        <v>2724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2672</v>
      </c>
      <c r="M289" s="23">
        <v>2015</v>
      </c>
      <c r="N289" s="23">
        <v>2100</v>
      </c>
      <c r="O289" s="292">
        <v>25</v>
      </c>
      <c r="P289" s="293">
        <v>2100</v>
      </c>
      <c r="Q289" s="294">
        <v>1</v>
      </c>
      <c r="R289" s="23"/>
      <c r="S289" s="148">
        <f t="shared" si="22"/>
        <v>2100</v>
      </c>
      <c r="T289" s="148">
        <f ca="1">IF(S289=0,"",S289*(OFFSET(cod_desembolso!$A$1,Q289,23)))</f>
        <v>2182.3840175367854</v>
      </c>
      <c r="U289" s="149">
        <f>(constantes!$B$3*(1+constantes!$B$3)^(O289))/((1+constantes!$B$3)^(O289)-1)</f>
        <v>9.3678779051968114E-2</v>
      </c>
      <c r="V289" s="148">
        <f t="shared" ca="1" si="21"/>
        <v>204.44307018537503</v>
      </c>
      <c r="W289" s="148">
        <f ca="1">(IF(S289=0,"",V289/constantes!$B$3))*1</f>
        <v>2555.538377317188</v>
      </c>
      <c r="X289" s="150">
        <f ca="1">IF(S289=0,"",PV(constantes!$B$3,O289,-V289)*constantes!$B$3)</f>
        <v>174.59072140294285</v>
      </c>
      <c r="Y289" s="85">
        <f t="shared" si="23"/>
        <v>1400</v>
      </c>
      <c r="Z289">
        <v>69</v>
      </c>
    </row>
    <row r="290" spans="1:26">
      <c r="A290" s="290">
        <v>7070</v>
      </c>
      <c r="B290" s="23" t="str">
        <f t="shared" si="20"/>
        <v>SE-NE_1500__kV_70</v>
      </c>
      <c r="C290" s="23">
        <v>802</v>
      </c>
      <c r="D290" s="142" t="str">
        <f>VLOOKUP(C290,tab_corredor!$A$2:$B$50,2,0)</f>
        <v>SE-NE</v>
      </c>
      <c r="E290" s="23">
        <v>1500</v>
      </c>
      <c r="F290" s="23" t="s">
        <v>2724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2672</v>
      </c>
      <c r="M290" s="23">
        <v>2015</v>
      </c>
      <c r="N290" s="23">
        <v>2100</v>
      </c>
      <c r="O290" s="292">
        <v>25</v>
      </c>
      <c r="P290" s="293">
        <v>2100</v>
      </c>
      <c r="Q290" s="294">
        <v>1</v>
      </c>
      <c r="R290" s="23"/>
      <c r="S290" s="148">
        <f t="shared" si="22"/>
        <v>2100</v>
      </c>
      <c r="T290" s="148">
        <f ca="1">IF(S290=0,"",S290*(OFFSET(cod_desembolso!$A$1,Q290,23)))</f>
        <v>2182.3840175367854</v>
      </c>
      <c r="U290" s="149">
        <f>(constantes!$B$3*(1+constantes!$B$3)^(O290))/((1+constantes!$B$3)^(O290)-1)</f>
        <v>9.3678779051968114E-2</v>
      </c>
      <c r="V290" s="148">
        <f t="shared" ca="1" si="21"/>
        <v>204.44307018537503</v>
      </c>
      <c r="W290" s="148">
        <f ca="1">(IF(S290=0,"",V290/constantes!$B$3))*1</f>
        <v>2555.538377317188</v>
      </c>
      <c r="X290" s="150">
        <f ca="1">IF(S290=0,"",PV(constantes!$B$3,O290,-V290)*constantes!$B$3)</f>
        <v>174.59072140294285</v>
      </c>
      <c r="Y290" s="85">
        <f t="shared" si="23"/>
        <v>1400</v>
      </c>
      <c r="Z290">
        <v>70</v>
      </c>
    </row>
    <row r="291" spans="1:26">
      <c r="A291" s="290">
        <v>7071</v>
      </c>
      <c r="B291" s="23" t="str">
        <f t="shared" si="20"/>
        <v>SE-NE_1500__kV_71</v>
      </c>
      <c r="C291" s="23">
        <v>802</v>
      </c>
      <c r="D291" s="142" t="str">
        <f>VLOOKUP(C291,tab_corredor!$A$2:$B$50,2,0)</f>
        <v>SE-NE</v>
      </c>
      <c r="E291" s="23">
        <v>1500</v>
      </c>
      <c r="F291" s="23" t="s">
        <v>2724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2672</v>
      </c>
      <c r="M291" s="23">
        <v>2015</v>
      </c>
      <c r="N291" s="23">
        <v>2100</v>
      </c>
      <c r="O291" s="292">
        <v>25</v>
      </c>
      <c r="P291" s="293">
        <v>2100</v>
      </c>
      <c r="Q291" s="294">
        <v>1</v>
      </c>
      <c r="R291" s="23"/>
      <c r="S291" s="148">
        <f t="shared" si="22"/>
        <v>2100</v>
      </c>
      <c r="T291" s="148">
        <f ca="1">IF(S291=0,"",S291*(OFFSET(cod_desembolso!$A$1,Q291,23)))</f>
        <v>2182.3840175367854</v>
      </c>
      <c r="U291" s="149">
        <f>(constantes!$B$3*(1+constantes!$B$3)^(O291))/((1+constantes!$B$3)^(O291)-1)</f>
        <v>9.3678779051968114E-2</v>
      </c>
      <c r="V291" s="148">
        <f t="shared" ca="1" si="21"/>
        <v>204.44307018537503</v>
      </c>
      <c r="W291" s="148">
        <f ca="1">(IF(S291=0,"",V291/constantes!$B$3))*1</f>
        <v>2555.538377317188</v>
      </c>
      <c r="X291" s="150">
        <f ca="1">IF(S291=0,"",PV(constantes!$B$3,O291,-V291)*constantes!$B$3)</f>
        <v>174.59072140294285</v>
      </c>
      <c r="Y291" s="85">
        <f t="shared" si="23"/>
        <v>1400</v>
      </c>
      <c r="Z291">
        <v>71</v>
      </c>
    </row>
    <row r="292" spans="1:26">
      <c r="A292" s="290">
        <v>7072</v>
      </c>
      <c r="B292" s="23" t="str">
        <f t="shared" si="20"/>
        <v>SE-NE_1500__kV_72</v>
      </c>
      <c r="C292" s="23">
        <v>802</v>
      </c>
      <c r="D292" s="142" t="str">
        <f>VLOOKUP(C292,tab_corredor!$A$2:$B$50,2,0)</f>
        <v>SE-NE</v>
      </c>
      <c r="E292" s="23">
        <v>1500</v>
      </c>
      <c r="F292" s="23" t="s">
        <v>2724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2672</v>
      </c>
      <c r="M292" s="23">
        <v>2015</v>
      </c>
      <c r="N292" s="23">
        <v>2100</v>
      </c>
      <c r="O292" s="292">
        <v>25</v>
      </c>
      <c r="P292" s="293">
        <v>2100</v>
      </c>
      <c r="Q292" s="294">
        <v>1</v>
      </c>
      <c r="R292" s="23"/>
      <c r="S292" s="148">
        <f t="shared" si="22"/>
        <v>2100</v>
      </c>
      <c r="T292" s="148">
        <f ca="1">IF(S292=0,"",S292*(OFFSET(cod_desembolso!$A$1,Q292,23)))</f>
        <v>2182.3840175367854</v>
      </c>
      <c r="U292" s="149">
        <f>(constantes!$B$3*(1+constantes!$B$3)^(O292))/((1+constantes!$B$3)^(O292)-1)</f>
        <v>9.3678779051968114E-2</v>
      </c>
      <c r="V292" s="148">
        <f t="shared" ca="1" si="21"/>
        <v>204.44307018537503</v>
      </c>
      <c r="W292" s="148">
        <f ca="1">(IF(S292=0,"",V292/constantes!$B$3))*1</f>
        <v>2555.538377317188</v>
      </c>
      <c r="X292" s="150">
        <f ca="1">IF(S292=0,"",PV(constantes!$B$3,O292,-V292)*constantes!$B$3)</f>
        <v>174.59072140294285</v>
      </c>
      <c r="Y292" s="85">
        <f t="shared" si="23"/>
        <v>1400</v>
      </c>
      <c r="Z292">
        <v>72</v>
      </c>
    </row>
    <row r="293" spans="1:26">
      <c r="A293" s="290">
        <v>7073</v>
      </c>
      <c r="B293" s="23" t="str">
        <f t="shared" si="20"/>
        <v>SE-NE_1500__kV_73</v>
      </c>
      <c r="C293" s="23">
        <v>802</v>
      </c>
      <c r="D293" s="142" t="str">
        <f>VLOOKUP(C293,tab_corredor!$A$2:$B$50,2,0)</f>
        <v>SE-NE</v>
      </c>
      <c r="E293" s="23">
        <v>1500</v>
      </c>
      <c r="F293" s="23" t="s">
        <v>2724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2672</v>
      </c>
      <c r="M293" s="23">
        <v>2015</v>
      </c>
      <c r="N293" s="23">
        <v>2100</v>
      </c>
      <c r="O293" s="292">
        <v>25</v>
      </c>
      <c r="P293" s="293">
        <v>2100</v>
      </c>
      <c r="Q293" s="294">
        <v>1</v>
      </c>
      <c r="R293" s="23"/>
      <c r="S293" s="148">
        <f t="shared" si="22"/>
        <v>2100</v>
      </c>
      <c r="T293" s="148">
        <f ca="1">IF(S293=0,"",S293*(OFFSET(cod_desembolso!$A$1,Q293,23)))</f>
        <v>2182.3840175367854</v>
      </c>
      <c r="U293" s="149">
        <f>(constantes!$B$3*(1+constantes!$B$3)^(O293))/((1+constantes!$B$3)^(O293)-1)</f>
        <v>9.3678779051968114E-2</v>
      </c>
      <c r="V293" s="148">
        <f t="shared" ca="1" si="21"/>
        <v>204.44307018537503</v>
      </c>
      <c r="W293" s="148">
        <f ca="1">(IF(S293=0,"",V293/constantes!$B$3))*1</f>
        <v>2555.538377317188</v>
      </c>
      <c r="X293" s="150">
        <f ca="1">IF(S293=0,"",PV(constantes!$B$3,O293,-V293)*constantes!$B$3)</f>
        <v>174.59072140294285</v>
      </c>
      <c r="Y293" s="85">
        <f t="shared" si="23"/>
        <v>1400</v>
      </c>
      <c r="Z293">
        <v>73</v>
      </c>
    </row>
    <row r="294" spans="1:26">
      <c r="A294" s="290">
        <v>7074</v>
      </c>
      <c r="B294" s="23" t="str">
        <f t="shared" si="20"/>
        <v>SE-NE_1500__kV_74</v>
      </c>
      <c r="C294" s="23">
        <v>802</v>
      </c>
      <c r="D294" s="142" t="str">
        <f>VLOOKUP(C294,tab_corredor!$A$2:$B$50,2,0)</f>
        <v>SE-NE</v>
      </c>
      <c r="E294" s="23">
        <v>1500</v>
      </c>
      <c r="F294" s="23" t="s">
        <v>2724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2672</v>
      </c>
      <c r="M294" s="23">
        <v>2015</v>
      </c>
      <c r="N294" s="23">
        <v>2100</v>
      </c>
      <c r="O294" s="292">
        <v>25</v>
      </c>
      <c r="P294" s="293">
        <v>2100</v>
      </c>
      <c r="Q294" s="294">
        <v>1</v>
      </c>
      <c r="R294" s="23"/>
      <c r="S294" s="148">
        <f t="shared" si="22"/>
        <v>2100</v>
      </c>
      <c r="T294" s="148">
        <f ca="1">IF(S294=0,"",S294*(OFFSET(cod_desembolso!$A$1,Q294,23)))</f>
        <v>2182.3840175367854</v>
      </c>
      <c r="U294" s="149">
        <f>(constantes!$B$3*(1+constantes!$B$3)^(O294))/((1+constantes!$B$3)^(O294)-1)</f>
        <v>9.3678779051968114E-2</v>
      </c>
      <c r="V294" s="148">
        <f t="shared" ca="1" si="21"/>
        <v>204.44307018537503</v>
      </c>
      <c r="W294" s="148">
        <f ca="1">(IF(S294=0,"",V294/constantes!$B$3))*1</f>
        <v>2555.538377317188</v>
      </c>
      <c r="X294" s="150">
        <f ca="1">IF(S294=0,"",PV(constantes!$B$3,O294,-V294)*constantes!$B$3)</f>
        <v>174.59072140294285</v>
      </c>
      <c r="Y294" s="85">
        <f t="shared" si="23"/>
        <v>1400</v>
      </c>
      <c r="Z294">
        <v>74</v>
      </c>
    </row>
    <row r="295" spans="1:26">
      <c r="A295" s="290">
        <v>7075</v>
      </c>
      <c r="B295" s="23" t="str">
        <f t="shared" si="20"/>
        <v>SE-NE_1500__kV_75</v>
      </c>
      <c r="C295" s="23">
        <v>802</v>
      </c>
      <c r="D295" s="142" t="str">
        <f>VLOOKUP(C295,tab_corredor!$A$2:$B$50,2,0)</f>
        <v>SE-NE</v>
      </c>
      <c r="E295" s="23">
        <v>1500</v>
      </c>
      <c r="F295" s="23" t="s">
        <v>2724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2672</v>
      </c>
      <c r="M295" s="23">
        <v>2015</v>
      </c>
      <c r="N295" s="23">
        <v>2100</v>
      </c>
      <c r="O295" s="292">
        <v>25</v>
      </c>
      <c r="P295" s="293">
        <v>2100</v>
      </c>
      <c r="Q295" s="294">
        <v>1</v>
      </c>
      <c r="R295" s="23"/>
      <c r="S295" s="148">
        <f t="shared" si="22"/>
        <v>2100</v>
      </c>
      <c r="T295" s="148">
        <f ca="1">IF(S295=0,"",S295*(OFFSET(cod_desembolso!$A$1,Q295,23)))</f>
        <v>2182.3840175367854</v>
      </c>
      <c r="U295" s="149">
        <f>(constantes!$B$3*(1+constantes!$B$3)^(O295))/((1+constantes!$B$3)^(O295)-1)</f>
        <v>9.3678779051968114E-2</v>
      </c>
      <c r="V295" s="148">
        <f t="shared" ca="1" si="21"/>
        <v>204.44307018537503</v>
      </c>
      <c r="W295" s="148">
        <f ca="1">(IF(S295=0,"",V295/constantes!$B$3))*1</f>
        <v>2555.538377317188</v>
      </c>
      <c r="X295" s="150">
        <f ca="1">IF(S295=0,"",PV(constantes!$B$3,O295,-V295)*constantes!$B$3)</f>
        <v>174.59072140294285</v>
      </c>
      <c r="Y295" s="85">
        <f t="shared" si="23"/>
        <v>1400</v>
      </c>
      <c r="Z295">
        <v>75</v>
      </c>
    </row>
    <row r="296" spans="1:26">
      <c r="A296" s="290">
        <v>7076</v>
      </c>
      <c r="B296" s="23" t="str">
        <f t="shared" si="20"/>
        <v>SE-NE_1500__kV_76</v>
      </c>
      <c r="C296" s="23">
        <v>802</v>
      </c>
      <c r="D296" s="142" t="str">
        <f>VLOOKUP(C296,tab_corredor!$A$2:$B$50,2,0)</f>
        <v>SE-NE</v>
      </c>
      <c r="E296" s="23">
        <v>1500</v>
      </c>
      <c r="F296" s="23" t="s">
        <v>2724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2672</v>
      </c>
      <c r="M296" s="23">
        <v>2015</v>
      </c>
      <c r="N296" s="23">
        <v>2100</v>
      </c>
      <c r="O296" s="292">
        <v>25</v>
      </c>
      <c r="P296" s="293">
        <v>2100</v>
      </c>
      <c r="Q296" s="294">
        <v>1</v>
      </c>
      <c r="R296" s="23"/>
      <c r="S296" s="148">
        <f t="shared" si="22"/>
        <v>2100</v>
      </c>
      <c r="T296" s="148">
        <f ca="1">IF(S296=0,"",S296*(OFFSET(cod_desembolso!$A$1,Q296,23)))</f>
        <v>2182.3840175367854</v>
      </c>
      <c r="U296" s="149">
        <f>(constantes!$B$3*(1+constantes!$B$3)^(O296))/((1+constantes!$B$3)^(O296)-1)</f>
        <v>9.3678779051968114E-2</v>
      </c>
      <c r="V296" s="148">
        <f t="shared" ca="1" si="21"/>
        <v>204.44307018537503</v>
      </c>
      <c r="W296" s="148">
        <f ca="1">(IF(S296=0,"",V296/constantes!$B$3))*1</f>
        <v>2555.538377317188</v>
      </c>
      <c r="X296" s="150">
        <f ca="1">IF(S296=0,"",PV(constantes!$B$3,O296,-V296)*constantes!$B$3)</f>
        <v>174.59072140294285</v>
      </c>
      <c r="Y296" s="85">
        <f t="shared" si="23"/>
        <v>1400</v>
      </c>
      <c r="Z296">
        <v>76</v>
      </c>
    </row>
    <row r="297" spans="1:26">
      <c r="A297" s="290">
        <v>7077</v>
      </c>
      <c r="B297" s="23" t="str">
        <f t="shared" si="20"/>
        <v>SE-NE_1500__kV_77</v>
      </c>
      <c r="C297" s="23">
        <v>802</v>
      </c>
      <c r="D297" s="142" t="str">
        <f>VLOOKUP(C297,tab_corredor!$A$2:$B$50,2,0)</f>
        <v>SE-NE</v>
      </c>
      <c r="E297" s="23">
        <v>1500</v>
      </c>
      <c r="F297" s="23" t="s">
        <v>2724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2672</v>
      </c>
      <c r="M297" s="23">
        <v>2015</v>
      </c>
      <c r="N297" s="23">
        <v>2100</v>
      </c>
      <c r="O297" s="292">
        <v>25</v>
      </c>
      <c r="P297" s="293">
        <v>2100</v>
      </c>
      <c r="Q297" s="294">
        <v>1</v>
      </c>
      <c r="R297" s="23"/>
      <c r="S297" s="148">
        <f t="shared" si="22"/>
        <v>2100</v>
      </c>
      <c r="T297" s="148">
        <f ca="1">IF(S297=0,"",S297*(OFFSET(cod_desembolso!$A$1,Q297,23)))</f>
        <v>2182.3840175367854</v>
      </c>
      <c r="U297" s="149">
        <f>(constantes!$B$3*(1+constantes!$B$3)^(O297))/((1+constantes!$B$3)^(O297)-1)</f>
        <v>9.3678779051968114E-2</v>
      </c>
      <c r="V297" s="148">
        <f t="shared" ca="1" si="21"/>
        <v>204.44307018537503</v>
      </c>
      <c r="W297" s="148">
        <f ca="1">(IF(S297=0,"",V297/constantes!$B$3))*1</f>
        <v>2555.538377317188</v>
      </c>
      <c r="X297" s="150">
        <f ca="1">IF(S297=0,"",PV(constantes!$B$3,O297,-V297)*constantes!$B$3)</f>
        <v>174.59072140294285</v>
      </c>
      <c r="Y297" s="85">
        <f t="shared" si="23"/>
        <v>1400</v>
      </c>
      <c r="Z297">
        <v>77</v>
      </c>
    </row>
    <row r="298" spans="1:26">
      <c r="A298" s="290">
        <v>7078</v>
      </c>
      <c r="B298" s="23" t="str">
        <f t="shared" si="20"/>
        <v>SE-NE_1500__kV_78</v>
      </c>
      <c r="C298" s="23">
        <v>802</v>
      </c>
      <c r="D298" s="142" t="str">
        <f>VLOOKUP(C298,tab_corredor!$A$2:$B$50,2,0)</f>
        <v>SE-NE</v>
      </c>
      <c r="E298" s="23">
        <v>1500</v>
      </c>
      <c r="F298" s="23" t="s">
        <v>2724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2672</v>
      </c>
      <c r="M298" s="23">
        <v>2015</v>
      </c>
      <c r="N298" s="23">
        <v>2100</v>
      </c>
      <c r="O298" s="292">
        <v>25</v>
      </c>
      <c r="P298" s="293">
        <v>2100</v>
      </c>
      <c r="Q298" s="294">
        <v>1</v>
      </c>
      <c r="R298" s="23"/>
      <c r="S298" s="148">
        <f t="shared" si="22"/>
        <v>2100</v>
      </c>
      <c r="T298" s="148">
        <f ca="1">IF(S298=0,"",S298*(OFFSET(cod_desembolso!$A$1,Q298,23)))</f>
        <v>2182.3840175367854</v>
      </c>
      <c r="U298" s="149">
        <f>(constantes!$B$3*(1+constantes!$B$3)^(O298))/((1+constantes!$B$3)^(O298)-1)</f>
        <v>9.3678779051968114E-2</v>
      </c>
      <c r="V298" s="148">
        <f t="shared" ca="1" si="21"/>
        <v>204.44307018537503</v>
      </c>
      <c r="W298" s="148">
        <f ca="1">(IF(S298=0,"",V298/constantes!$B$3))*1</f>
        <v>2555.538377317188</v>
      </c>
      <c r="X298" s="150">
        <f ca="1">IF(S298=0,"",PV(constantes!$B$3,O298,-V298)*constantes!$B$3)</f>
        <v>174.59072140294285</v>
      </c>
      <c r="Y298" s="85">
        <f t="shared" si="23"/>
        <v>1400</v>
      </c>
      <c r="Z298">
        <v>78</v>
      </c>
    </row>
    <row r="299" spans="1:26">
      <c r="A299" s="290">
        <v>7079</v>
      </c>
      <c r="B299" s="23" t="str">
        <f t="shared" si="20"/>
        <v>SE-NE_1500__kV_79</v>
      </c>
      <c r="C299" s="23">
        <v>802</v>
      </c>
      <c r="D299" s="142" t="str">
        <f>VLOOKUP(C299,tab_corredor!$A$2:$B$50,2,0)</f>
        <v>SE-NE</v>
      </c>
      <c r="E299" s="23">
        <v>1500</v>
      </c>
      <c r="F299" s="23" t="s">
        <v>2724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2672</v>
      </c>
      <c r="M299" s="23">
        <v>2015</v>
      </c>
      <c r="N299" s="23">
        <v>2100</v>
      </c>
      <c r="O299" s="292">
        <v>25</v>
      </c>
      <c r="P299" s="293">
        <v>2100</v>
      </c>
      <c r="Q299" s="294">
        <v>1</v>
      </c>
      <c r="R299" s="23"/>
      <c r="S299" s="148">
        <f t="shared" si="22"/>
        <v>2100</v>
      </c>
      <c r="T299" s="148">
        <f ca="1">IF(S299=0,"",S299*(OFFSET(cod_desembolso!$A$1,Q299,23)))</f>
        <v>2182.3840175367854</v>
      </c>
      <c r="U299" s="149">
        <f>(constantes!$B$3*(1+constantes!$B$3)^(O299))/((1+constantes!$B$3)^(O299)-1)</f>
        <v>9.3678779051968114E-2</v>
      </c>
      <c r="V299" s="148">
        <f t="shared" ca="1" si="21"/>
        <v>204.44307018537503</v>
      </c>
      <c r="W299" s="148">
        <f ca="1">(IF(S299=0,"",V299/constantes!$B$3))*1</f>
        <v>2555.538377317188</v>
      </c>
      <c r="X299" s="150">
        <f ca="1">IF(S299=0,"",PV(constantes!$B$3,O299,-V299)*constantes!$B$3)</f>
        <v>174.59072140294285</v>
      </c>
      <c r="Y299" s="85">
        <f t="shared" si="23"/>
        <v>1400</v>
      </c>
      <c r="Z299">
        <v>79</v>
      </c>
    </row>
    <row r="300" spans="1:26">
      <c r="A300" s="290">
        <v>7080</v>
      </c>
      <c r="B300" s="23" t="str">
        <f t="shared" si="20"/>
        <v>SE-NE_1500__kV_80</v>
      </c>
      <c r="C300" s="23">
        <v>802</v>
      </c>
      <c r="D300" s="142" t="str">
        <f>VLOOKUP(C300,tab_corredor!$A$2:$B$50,2,0)</f>
        <v>SE-NE</v>
      </c>
      <c r="E300" s="23">
        <v>1500</v>
      </c>
      <c r="F300" s="23" t="s">
        <v>2724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2672</v>
      </c>
      <c r="M300" s="23">
        <v>2015</v>
      </c>
      <c r="N300" s="23">
        <v>2100</v>
      </c>
      <c r="O300" s="292">
        <v>25</v>
      </c>
      <c r="P300" s="293">
        <v>2100</v>
      </c>
      <c r="Q300" s="294">
        <v>1</v>
      </c>
      <c r="R300" s="23"/>
      <c r="S300" s="148">
        <f t="shared" si="22"/>
        <v>2100</v>
      </c>
      <c r="T300" s="148">
        <f ca="1">IF(S300=0,"",S300*(OFFSET(cod_desembolso!$A$1,Q300,23)))</f>
        <v>2182.3840175367854</v>
      </c>
      <c r="U300" s="149">
        <f>(constantes!$B$3*(1+constantes!$B$3)^(O300))/((1+constantes!$B$3)^(O300)-1)</f>
        <v>9.3678779051968114E-2</v>
      </c>
      <c r="V300" s="148">
        <f t="shared" ca="1" si="21"/>
        <v>204.44307018537503</v>
      </c>
      <c r="W300" s="148">
        <f ca="1">(IF(S300=0,"",V300/constantes!$B$3))*1</f>
        <v>2555.538377317188</v>
      </c>
      <c r="X300" s="150">
        <f ca="1">IF(S300=0,"",PV(constantes!$B$3,O300,-V300)*constantes!$B$3)</f>
        <v>174.59072140294285</v>
      </c>
      <c r="Y300" s="85">
        <f t="shared" si="23"/>
        <v>1400</v>
      </c>
      <c r="Z300">
        <v>80</v>
      </c>
    </row>
    <row r="301" spans="1:26">
      <c r="A301" s="290">
        <v>7081</v>
      </c>
      <c r="B301" s="23" t="str">
        <f t="shared" si="20"/>
        <v>SE-NE_1500__kV_81</v>
      </c>
      <c r="C301" s="23">
        <v>802</v>
      </c>
      <c r="D301" s="142" t="str">
        <f>VLOOKUP(C301,tab_corredor!$A$2:$B$50,2,0)</f>
        <v>SE-NE</v>
      </c>
      <c r="E301" s="23">
        <v>1500</v>
      </c>
      <c r="F301" s="23" t="s">
        <v>2724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2672</v>
      </c>
      <c r="M301" s="23">
        <v>2015</v>
      </c>
      <c r="N301" s="23">
        <v>2100</v>
      </c>
      <c r="O301" s="292">
        <v>25</v>
      </c>
      <c r="P301" s="293">
        <v>2100</v>
      </c>
      <c r="Q301" s="294">
        <v>1</v>
      </c>
      <c r="R301" s="23"/>
      <c r="S301" s="148">
        <f t="shared" si="22"/>
        <v>2100</v>
      </c>
      <c r="T301" s="148">
        <f ca="1">IF(S301=0,"",S301*(OFFSET(cod_desembolso!$A$1,Q301,23)))</f>
        <v>2182.3840175367854</v>
      </c>
      <c r="U301" s="149">
        <f>(constantes!$B$3*(1+constantes!$B$3)^(O301))/((1+constantes!$B$3)^(O301)-1)</f>
        <v>9.3678779051968114E-2</v>
      </c>
      <c r="V301" s="148">
        <f t="shared" ca="1" si="21"/>
        <v>204.44307018537503</v>
      </c>
      <c r="W301" s="148">
        <f ca="1">(IF(S301=0,"",V301/constantes!$B$3))*1</f>
        <v>2555.538377317188</v>
      </c>
      <c r="X301" s="150">
        <f ca="1">IF(S301=0,"",PV(constantes!$B$3,O301,-V301)*constantes!$B$3)</f>
        <v>174.59072140294285</v>
      </c>
      <c r="Y301" s="85">
        <f t="shared" si="23"/>
        <v>1400</v>
      </c>
      <c r="Z301">
        <v>81</v>
      </c>
    </row>
    <row r="302" spans="1:26">
      <c r="A302" s="290">
        <v>7082</v>
      </c>
      <c r="B302" s="23" t="str">
        <f t="shared" si="20"/>
        <v>SE-NE_1500__kV_82</v>
      </c>
      <c r="C302" s="23">
        <v>802</v>
      </c>
      <c r="D302" s="142" t="str">
        <f>VLOOKUP(C302,tab_corredor!$A$2:$B$50,2,0)</f>
        <v>SE-NE</v>
      </c>
      <c r="E302" s="23">
        <v>1500</v>
      </c>
      <c r="F302" s="23" t="s">
        <v>2724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2672</v>
      </c>
      <c r="M302" s="23">
        <v>2015</v>
      </c>
      <c r="N302" s="23">
        <v>2100</v>
      </c>
      <c r="O302" s="292">
        <v>25</v>
      </c>
      <c r="P302" s="293">
        <v>2100</v>
      </c>
      <c r="Q302" s="294">
        <v>1</v>
      </c>
      <c r="R302" s="23"/>
      <c r="S302" s="148">
        <f t="shared" si="22"/>
        <v>2100</v>
      </c>
      <c r="T302" s="148">
        <f ca="1">IF(S302=0,"",S302*(OFFSET(cod_desembolso!$A$1,Q302,23)))</f>
        <v>2182.3840175367854</v>
      </c>
      <c r="U302" s="149">
        <f>(constantes!$B$3*(1+constantes!$B$3)^(O302))/((1+constantes!$B$3)^(O302)-1)</f>
        <v>9.3678779051968114E-2</v>
      </c>
      <c r="V302" s="148">
        <f t="shared" ca="1" si="21"/>
        <v>204.44307018537503</v>
      </c>
      <c r="W302" s="148">
        <f ca="1">(IF(S302=0,"",V302/constantes!$B$3))*1</f>
        <v>2555.538377317188</v>
      </c>
      <c r="X302" s="150">
        <f ca="1">IF(S302=0,"",PV(constantes!$B$3,O302,-V302)*constantes!$B$3)</f>
        <v>174.59072140294285</v>
      </c>
      <c r="Y302" s="85">
        <f t="shared" si="23"/>
        <v>1400</v>
      </c>
      <c r="Z302">
        <v>82</v>
      </c>
    </row>
    <row r="303" spans="1:26">
      <c r="A303" s="290">
        <v>7083</v>
      </c>
      <c r="B303" s="23" t="str">
        <f t="shared" si="20"/>
        <v>SE-NE_1500__kV_83</v>
      </c>
      <c r="C303" s="23">
        <v>802</v>
      </c>
      <c r="D303" s="142" t="str">
        <f>VLOOKUP(C303,tab_corredor!$A$2:$B$50,2,0)</f>
        <v>SE-NE</v>
      </c>
      <c r="E303" s="23">
        <v>1500</v>
      </c>
      <c r="F303" s="23" t="s">
        <v>2724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2672</v>
      </c>
      <c r="M303" s="23">
        <v>2015</v>
      </c>
      <c r="N303" s="23">
        <v>2100</v>
      </c>
      <c r="O303" s="292">
        <v>25</v>
      </c>
      <c r="P303" s="293">
        <v>2100</v>
      </c>
      <c r="Q303" s="294">
        <v>1</v>
      </c>
      <c r="R303" s="23"/>
      <c r="S303" s="148">
        <f t="shared" si="22"/>
        <v>2100</v>
      </c>
      <c r="T303" s="148">
        <f ca="1">IF(S303=0,"",S303*(OFFSET(cod_desembolso!$A$1,Q303,23)))</f>
        <v>2182.3840175367854</v>
      </c>
      <c r="U303" s="149">
        <f>(constantes!$B$3*(1+constantes!$B$3)^(O303))/((1+constantes!$B$3)^(O303)-1)</f>
        <v>9.3678779051968114E-2</v>
      </c>
      <c r="V303" s="148">
        <f t="shared" ca="1" si="21"/>
        <v>204.44307018537503</v>
      </c>
      <c r="W303" s="148">
        <f ca="1">(IF(S303=0,"",V303/constantes!$B$3))*1</f>
        <v>2555.538377317188</v>
      </c>
      <c r="X303" s="150">
        <f ca="1">IF(S303=0,"",PV(constantes!$B$3,O303,-V303)*constantes!$B$3)</f>
        <v>174.59072140294285</v>
      </c>
      <c r="Y303" s="85">
        <f t="shared" si="23"/>
        <v>1400</v>
      </c>
      <c r="Z303">
        <v>83</v>
      </c>
    </row>
    <row r="304" spans="1:26">
      <c r="A304" s="290">
        <v>7084</v>
      </c>
      <c r="B304" s="23" t="str">
        <f t="shared" si="20"/>
        <v>SE-NE_1500__kV_84</v>
      </c>
      <c r="C304" s="23">
        <v>802</v>
      </c>
      <c r="D304" s="142" t="str">
        <f>VLOOKUP(C304,tab_corredor!$A$2:$B$50,2,0)</f>
        <v>SE-NE</v>
      </c>
      <c r="E304" s="23">
        <v>1500</v>
      </c>
      <c r="F304" s="23" t="s">
        <v>2724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2672</v>
      </c>
      <c r="M304" s="23">
        <v>2015</v>
      </c>
      <c r="N304" s="23">
        <v>2100</v>
      </c>
      <c r="O304" s="292">
        <v>25</v>
      </c>
      <c r="P304" s="293">
        <v>2100</v>
      </c>
      <c r="Q304" s="294">
        <v>1</v>
      </c>
      <c r="R304" s="23"/>
      <c r="S304" s="148">
        <f t="shared" si="22"/>
        <v>2100</v>
      </c>
      <c r="T304" s="148">
        <f ca="1">IF(S304=0,"",S304*(OFFSET(cod_desembolso!$A$1,Q304,23)))</f>
        <v>2182.3840175367854</v>
      </c>
      <c r="U304" s="149">
        <f>(constantes!$B$3*(1+constantes!$B$3)^(O304))/((1+constantes!$B$3)^(O304)-1)</f>
        <v>9.3678779051968114E-2</v>
      </c>
      <c r="V304" s="148">
        <f t="shared" ca="1" si="21"/>
        <v>204.44307018537503</v>
      </c>
      <c r="W304" s="148">
        <f ca="1">(IF(S304=0,"",V304/constantes!$B$3))*1</f>
        <v>2555.538377317188</v>
      </c>
      <c r="X304" s="150">
        <f ca="1">IF(S304=0,"",PV(constantes!$B$3,O304,-V304)*constantes!$B$3)</f>
        <v>174.59072140294285</v>
      </c>
      <c r="Y304" s="85">
        <f t="shared" si="23"/>
        <v>1400</v>
      </c>
      <c r="Z304">
        <v>84</v>
      </c>
    </row>
    <row r="305" spans="1:26">
      <c r="A305" s="290">
        <v>7085</v>
      </c>
      <c r="B305" s="23" t="str">
        <f t="shared" si="20"/>
        <v>SE-NE_1500__kV_85</v>
      </c>
      <c r="C305" s="23">
        <v>802</v>
      </c>
      <c r="D305" s="142" t="str">
        <f>VLOOKUP(C305,tab_corredor!$A$2:$B$50,2,0)</f>
        <v>SE-NE</v>
      </c>
      <c r="E305" s="23">
        <v>1500</v>
      </c>
      <c r="F305" s="23" t="s">
        <v>2724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2672</v>
      </c>
      <c r="M305" s="23">
        <v>2015</v>
      </c>
      <c r="N305" s="23">
        <v>2100</v>
      </c>
      <c r="O305" s="292">
        <v>25</v>
      </c>
      <c r="P305" s="293">
        <v>2100</v>
      </c>
      <c r="Q305" s="294">
        <v>1</v>
      </c>
      <c r="R305" s="23"/>
      <c r="S305" s="148">
        <f t="shared" si="22"/>
        <v>2100</v>
      </c>
      <c r="T305" s="148">
        <f ca="1">IF(S305=0,"",S305*(OFFSET(cod_desembolso!$A$1,Q305,23)))</f>
        <v>2182.3840175367854</v>
      </c>
      <c r="U305" s="149">
        <f>(constantes!$B$3*(1+constantes!$B$3)^(O305))/((1+constantes!$B$3)^(O305)-1)</f>
        <v>9.3678779051968114E-2</v>
      </c>
      <c r="V305" s="148">
        <f t="shared" ca="1" si="21"/>
        <v>204.44307018537503</v>
      </c>
      <c r="W305" s="148">
        <f ca="1">(IF(S305=0,"",V305/constantes!$B$3))*1</f>
        <v>2555.538377317188</v>
      </c>
      <c r="X305" s="150">
        <f ca="1">IF(S305=0,"",PV(constantes!$B$3,O305,-V305)*constantes!$B$3)</f>
        <v>174.59072140294285</v>
      </c>
      <c r="Y305" s="85">
        <f t="shared" si="23"/>
        <v>1400</v>
      </c>
      <c r="Z305">
        <v>85</v>
      </c>
    </row>
    <row r="306" spans="1:26">
      <c r="A306" s="290">
        <v>7086</v>
      </c>
      <c r="B306" s="23" t="str">
        <f t="shared" si="20"/>
        <v>SE-NE_1500__kV_86</v>
      </c>
      <c r="C306" s="23">
        <v>802</v>
      </c>
      <c r="D306" s="142" t="str">
        <f>VLOOKUP(C306,tab_corredor!$A$2:$B$50,2,0)</f>
        <v>SE-NE</v>
      </c>
      <c r="E306" s="23">
        <v>1500</v>
      </c>
      <c r="F306" s="23" t="s">
        <v>2724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2672</v>
      </c>
      <c r="M306" s="23">
        <v>2015</v>
      </c>
      <c r="N306" s="23">
        <v>2100</v>
      </c>
      <c r="O306" s="292">
        <v>25</v>
      </c>
      <c r="P306" s="293">
        <v>2100</v>
      </c>
      <c r="Q306" s="294">
        <v>1</v>
      </c>
      <c r="R306" s="23"/>
      <c r="S306" s="148">
        <f t="shared" si="22"/>
        <v>2100</v>
      </c>
      <c r="T306" s="148">
        <f ca="1">IF(S306=0,"",S306*(OFFSET(cod_desembolso!$A$1,Q306,23)))</f>
        <v>2182.3840175367854</v>
      </c>
      <c r="U306" s="149">
        <f>(constantes!$B$3*(1+constantes!$B$3)^(O306))/((1+constantes!$B$3)^(O306)-1)</f>
        <v>9.3678779051968114E-2</v>
      </c>
      <c r="V306" s="148">
        <f t="shared" ca="1" si="21"/>
        <v>204.44307018537503</v>
      </c>
      <c r="W306" s="148">
        <f ca="1">(IF(S306=0,"",V306/constantes!$B$3))*1</f>
        <v>2555.538377317188</v>
      </c>
      <c r="X306" s="150">
        <f ca="1">IF(S306=0,"",PV(constantes!$B$3,O306,-V306)*constantes!$B$3)</f>
        <v>174.59072140294285</v>
      </c>
      <c r="Y306" s="85">
        <f t="shared" si="23"/>
        <v>1400</v>
      </c>
      <c r="Z306">
        <v>86</v>
      </c>
    </row>
    <row r="307" spans="1:26">
      <c r="A307" s="290">
        <v>7087</v>
      </c>
      <c r="B307" s="23" t="str">
        <f t="shared" si="20"/>
        <v>SE-NE_1500__kV_87</v>
      </c>
      <c r="C307" s="23">
        <v>802</v>
      </c>
      <c r="D307" s="142" t="str">
        <f>VLOOKUP(C307,tab_corredor!$A$2:$B$50,2,0)</f>
        <v>SE-NE</v>
      </c>
      <c r="E307" s="23">
        <v>1500</v>
      </c>
      <c r="F307" s="23" t="s">
        <v>2724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2672</v>
      </c>
      <c r="M307" s="23">
        <v>2015</v>
      </c>
      <c r="N307" s="23">
        <v>2100</v>
      </c>
      <c r="O307" s="292">
        <v>25</v>
      </c>
      <c r="P307" s="293">
        <v>2100</v>
      </c>
      <c r="Q307" s="294">
        <v>1</v>
      </c>
      <c r="R307" s="23"/>
      <c r="S307" s="148">
        <f t="shared" si="22"/>
        <v>2100</v>
      </c>
      <c r="T307" s="148">
        <f ca="1">IF(S307=0,"",S307*(OFFSET(cod_desembolso!$A$1,Q307,23)))</f>
        <v>2182.3840175367854</v>
      </c>
      <c r="U307" s="149">
        <f>(constantes!$B$3*(1+constantes!$B$3)^(O307))/((1+constantes!$B$3)^(O307)-1)</f>
        <v>9.3678779051968114E-2</v>
      </c>
      <c r="V307" s="148">
        <f t="shared" ca="1" si="21"/>
        <v>204.44307018537503</v>
      </c>
      <c r="W307" s="148">
        <f ca="1">(IF(S307=0,"",V307/constantes!$B$3))*1</f>
        <v>2555.538377317188</v>
      </c>
      <c r="X307" s="150">
        <f ca="1">IF(S307=0,"",PV(constantes!$B$3,O307,-V307)*constantes!$B$3)</f>
        <v>174.59072140294285</v>
      </c>
      <c r="Y307" s="85">
        <f t="shared" si="23"/>
        <v>1400</v>
      </c>
      <c r="Z307">
        <v>87</v>
      </c>
    </row>
    <row r="308" spans="1:26">
      <c r="A308" s="290">
        <v>7088</v>
      </c>
      <c r="B308" s="23" t="str">
        <f t="shared" si="20"/>
        <v>SE-NE_1500__kV_88</v>
      </c>
      <c r="C308" s="23">
        <v>802</v>
      </c>
      <c r="D308" s="142" t="str">
        <f>VLOOKUP(C308,tab_corredor!$A$2:$B$50,2,0)</f>
        <v>SE-NE</v>
      </c>
      <c r="E308" s="23">
        <v>1500</v>
      </c>
      <c r="F308" s="23" t="s">
        <v>2724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2672</v>
      </c>
      <c r="M308" s="23">
        <v>2015</v>
      </c>
      <c r="N308" s="23">
        <v>2100</v>
      </c>
      <c r="O308" s="292">
        <v>25</v>
      </c>
      <c r="P308" s="293">
        <v>2100</v>
      </c>
      <c r="Q308" s="294">
        <v>1</v>
      </c>
      <c r="R308" s="23"/>
      <c r="S308" s="148">
        <f t="shared" si="22"/>
        <v>2100</v>
      </c>
      <c r="T308" s="148">
        <f ca="1">IF(S308=0,"",S308*(OFFSET(cod_desembolso!$A$1,Q308,23)))</f>
        <v>2182.3840175367854</v>
      </c>
      <c r="U308" s="149">
        <f>(constantes!$B$3*(1+constantes!$B$3)^(O308))/((1+constantes!$B$3)^(O308)-1)</f>
        <v>9.3678779051968114E-2</v>
      </c>
      <c r="V308" s="148">
        <f t="shared" ca="1" si="21"/>
        <v>204.44307018537503</v>
      </c>
      <c r="W308" s="148">
        <f ca="1">(IF(S308=0,"",V308/constantes!$B$3))*1</f>
        <v>2555.538377317188</v>
      </c>
      <c r="X308" s="150">
        <f ca="1">IF(S308=0,"",PV(constantes!$B$3,O308,-V308)*constantes!$B$3)</f>
        <v>174.59072140294285</v>
      </c>
      <c r="Y308" s="85">
        <f t="shared" si="23"/>
        <v>1400</v>
      </c>
      <c r="Z308">
        <v>88</v>
      </c>
    </row>
    <row r="309" spans="1:26">
      <c r="A309" s="290">
        <v>7089</v>
      </c>
      <c r="B309" s="23" t="str">
        <f t="shared" si="20"/>
        <v>SE-NE_1500__kV_89</v>
      </c>
      <c r="C309" s="23">
        <v>802</v>
      </c>
      <c r="D309" s="142" t="str">
        <f>VLOOKUP(C309,tab_corredor!$A$2:$B$50,2,0)</f>
        <v>SE-NE</v>
      </c>
      <c r="E309" s="23">
        <v>1500</v>
      </c>
      <c r="F309" s="23" t="s">
        <v>2724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2672</v>
      </c>
      <c r="M309" s="23">
        <v>2015</v>
      </c>
      <c r="N309" s="23">
        <v>2100</v>
      </c>
      <c r="O309" s="292">
        <v>25</v>
      </c>
      <c r="P309" s="293">
        <v>2100</v>
      </c>
      <c r="Q309" s="294">
        <v>1</v>
      </c>
      <c r="R309" s="23"/>
      <c r="S309" s="148">
        <f t="shared" si="22"/>
        <v>2100</v>
      </c>
      <c r="T309" s="148">
        <f ca="1">IF(S309=0,"",S309*(OFFSET(cod_desembolso!$A$1,Q309,23)))</f>
        <v>2182.3840175367854</v>
      </c>
      <c r="U309" s="149">
        <f>(constantes!$B$3*(1+constantes!$B$3)^(O309))/((1+constantes!$B$3)^(O309)-1)</f>
        <v>9.3678779051968114E-2</v>
      </c>
      <c r="V309" s="148">
        <f t="shared" ca="1" si="21"/>
        <v>204.44307018537503</v>
      </c>
      <c r="W309" s="148">
        <f ca="1">(IF(S309=0,"",V309/constantes!$B$3))*1</f>
        <v>2555.538377317188</v>
      </c>
      <c r="X309" s="150">
        <f ca="1">IF(S309=0,"",PV(constantes!$B$3,O309,-V309)*constantes!$B$3)</f>
        <v>174.59072140294285</v>
      </c>
      <c r="Y309" s="85">
        <f t="shared" si="23"/>
        <v>1400</v>
      </c>
      <c r="Z309">
        <v>89</v>
      </c>
    </row>
    <row r="310" spans="1:26">
      <c r="A310" s="290">
        <v>7090</v>
      </c>
      <c r="B310" s="23" t="str">
        <f t="shared" si="20"/>
        <v>SE-NE_1500__kV_90</v>
      </c>
      <c r="C310" s="23">
        <v>802</v>
      </c>
      <c r="D310" s="142" t="str">
        <f>VLOOKUP(C310,tab_corredor!$A$2:$B$50,2,0)</f>
        <v>SE-NE</v>
      </c>
      <c r="E310" s="23">
        <v>1500</v>
      </c>
      <c r="F310" s="23" t="s">
        <v>2724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2672</v>
      </c>
      <c r="M310" s="23">
        <v>2015</v>
      </c>
      <c r="N310" s="23">
        <v>2100</v>
      </c>
      <c r="O310" s="292">
        <v>25</v>
      </c>
      <c r="P310" s="293">
        <v>2100</v>
      </c>
      <c r="Q310" s="294">
        <v>1</v>
      </c>
      <c r="R310" s="23"/>
      <c r="S310" s="148">
        <f t="shared" si="22"/>
        <v>2100</v>
      </c>
      <c r="T310" s="148">
        <f ca="1">IF(S310=0,"",S310*(OFFSET(cod_desembolso!$A$1,Q310,23)))</f>
        <v>2182.3840175367854</v>
      </c>
      <c r="U310" s="149">
        <f>(constantes!$B$3*(1+constantes!$B$3)^(O310))/((1+constantes!$B$3)^(O310)-1)</f>
        <v>9.3678779051968114E-2</v>
      </c>
      <c r="V310" s="148">
        <f t="shared" ca="1" si="21"/>
        <v>204.44307018537503</v>
      </c>
      <c r="W310" s="148">
        <f ca="1">(IF(S310=0,"",V310/constantes!$B$3))*1</f>
        <v>2555.538377317188</v>
      </c>
      <c r="X310" s="150">
        <f ca="1">IF(S310=0,"",PV(constantes!$B$3,O310,-V310)*constantes!$B$3)</f>
        <v>174.59072140294285</v>
      </c>
      <c r="Y310" s="85">
        <f t="shared" si="23"/>
        <v>1400</v>
      </c>
      <c r="Z310">
        <v>90</v>
      </c>
    </row>
    <row r="311" spans="1:26">
      <c r="A311" s="290">
        <v>7091</v>
      </c>
      <c r="B311" s="23" t="str">
        <f t="shared" si="20"/>
        <v>SE-NE_1500__kV_91</v>
      </c>
      <c r="C311" s="23">
        <v>802</v>
      </c>
      <c r="D311" s="142" t="str">
        <f>VLOOKUP(C311,tab_corredor!$A$2:$B$50,2,0)</f>
        <v>SE-NE</v>
      </c>
      <c r="E311" s="23">
        <v>1500</v>
      </c>
      <c r="F311" s="23" t="s">
        <v>2724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2672</v>
      </c>
      <c r="M311" s="23">
        <v>2015</v>
      </c>
      <c r="N311" s="23">
        <v>2100</v>
      </c>
      <c r="O311" s="292">
        <v>25</v>
      </c>
      <c r="P311" s="293">
        <v>2100</v>
      </c>
      <c r="Q311" s="294">
        <v>1</v>
      </c>
      <c r="R311" s="23"/>
      <c r="S311" s="148">
        <f t="shared" si="22"/>
        <v>2100</v>
      </c>
      <c r="T311" s="148">
        <f ca="1">IF(S311=0,"",S311*(OFFSET(cod_desembolso!$A$1,Q311,23)))</f>
        <v>2182.3840175367854</v>
      </c>
      <c r="U311" s="149">
        <f>(constantes!$B$3*(1+constantes!$B$3)^(O311))/((1+constantes!$B$3)^(O311)-1)</f>
        <v>9.3678779051968114E-2</v>
      </c>
      <c r="V311" s="148">
        <f t="shared" ca="1" si="21"/>
        <v>204.44307018537503</v>
      </c>
      <c r="W311" s="148">
        <f ca="1">(IF(S311=0,"",V311/constantes!$B$3))*1</f>
        <v>2555.538377317188</v>
      </c>
      <c r="X311" s="150">
        <f ca="1">IF(S311=0,"",PV(constantes!$B$3,O311,-V311)*constantes!$B$3)</f>
        <v>174.59072140294285</v>
      </c>
      <c r="Y311" s="85">
        <f t="shared" si="23"/>
        <v>1400</v>
      </c>
      <c r="Z311">
        <v>91</v>
      </c>
    </row>
    <row r="312" spans="1:26">
      <c r="A312" s="290">
        <v>7092</v>
      </c>
      <c r="B312" s="23" t="str">
        <f t="shared" si="20"/>
        <v>SE-NE_1500__kV_92</v>
      </c>
      <c r="C312" s="23">
        <v>802</v>
      </c>
      <c r="D312" s="142" t="str">
        <f>VLOOKUP(C312,tab_corredor!$A$2:$B$50,2,0)</f>
        <v>SE-NE</v>
      </c>
      <c r="E312" s="23">
        <v>1500</v>
      </c>
      <c r="F312" s="23" t="s">
        <v>2724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2672</v>
      </c>
      <c r="M312" s="23">
        <v>2015</v>
      </c>
      <c r="N312" s="23">
        <v>2100</v>
      </c>
      <c r="O312" s="292">
        <v>25</v>
      </c>
      <c r="P312" s="293">
        <v>2100</v>
      </c>
      <c r="Q312" s="294">
        <v>1</v>
      </c>
      <c r="R312" s="23"/>
      <c r="S312" s="148">
        <f t="shared" si="22"/>
        <v>2100</v>
      </c>
      <c r="T312" s="148">
        <f ca="1">IF(S312=0,"",S312*(OFFSET(cod_desembolso!$A$1,Q312,23)))</f>
        <v>2182.3840175367854</v>
      </c>
      <c r="U312" s="149">
        <f>(constantes!$B$3*(1+constantes!$B$3)^(O312))/((1+constantes!$B$3)^(O312)-1)</f>
        <v>9.3678779051968114E-2</v>
      </c>
      <c r="V312" s="148">
        <f t="shared" ca="1" si="21"/>
        <v>204.44307018537503</v>
      </c>
      <c r="W312" s="148">
        <f ca="1">(IF(S312=0,"",V312/constantes!$B$3))*1</f>
        <v>2555.538377317188</v>
      </c>
      <c r="X312" s="150">
        <f ca="1">IF(S312=0,"",PV(constantes!$B$3,O312,-V312)*constantes!$B$3)</f>
        <v>174.59072140294285</v>
      </c>
      <c r="Y312" s="85">
        <f t="shared" si="23"/>
        <v>1400</v>
      </c>
      <c r="Z312">
        <v>92</v>
      </c>
    </row>
    <row r="313" spans="1:26">
      <c r="A313" s="290">
        <v>7093</v>
      </c>
      <c r="B313" s="23" t="str">
        <f t="shared" si="20"/>
        <v>SE-NE_1500__kV_93</v>
      </c>
      <c r="C313" s="23">
        <v>802</v>
      </c>
      <c r="D313" s="142" t="str">
        <f>VLOOKUP(C313,tab_corredor!$A$2:$B$50,2,0)</f>
        <v>SE-NE</v>
      </c>
      <c r="E313" s="23">
        <v>1500</v>
      </c>
      <c r="F313" s="23" t="s">
        <v>2724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2672</v>
      </c>
      <c r="M313" s="23">
        <v>2015</v>
      </c>
      <c r="N313" s="23">
        <v>2100</v>
      </c>
      <c r="O313" s="292">
        <v>25</v>
      </c>
      <c r="P313" s="293">
        <v>2100</v>
      </c>
      <c r="Q313" s="294">
        <v>1</v>
      </c>
      <c r="R313" s="23"/>
      <c r="S313" s="148">
        <f t="shared" si="22"/>
        <v>2100</v>
      </c>
      <c r="T313" s="148">
        <f ca="1">IF(S313=0,"",S313*(OFFSET(cod_desembolso!$A$1,Q313,23)))</f>
        <v>2182.3840175367854</v>
      </c>
      <c r="U313" s="149">
        <f>(constantes!$B$3*(1+constantes!$B$3)^(O313))/((1+constantes!$B$3)^(O313)-1)</f>
        <v>9.3678779051968114E-2</v>
      </c>
      <c r="V313" s="148">
        <f t="shared" ca="1" si="21"/>
        <v>204.44307018537503</v>
      </c>
      <c r="W313" s="148">
        <f ca="1">(IF(S313=0,"",V313/constantes!$B$3))*1</f>
        <v>2555.538377317188</v>
      </c>
      <c r="X313" s="150">
        <f ca="1">IF(S313=0,"",PV(constantes!$B$3,O313,-V313)*constantes!$B$3)</f>
        <v>174.59072140294285</v>
      </c>
      <c r="Y313" s="85">
        <f t="shared" si="23"/>
        <v>1400</v>
      </c>
      <c r="Z313">
        <v>93</v>
      </c>
    </row>
    <row r="314" spans="1:26">
      <c r="A314" s="290">
        <v>7094</v>
      </c>
      <c r="B314" s="23" t="str">
        <f t="shared" si="20"/>
        <v>SE-NE_1500__kV_94</v>
      </c>
      <c r="C314" s="23">
        <v>802</v>
      </c>
      <c r="D314" s="142" t="str">
        <f>VLOOKUP(C314,tab_corredor!$A$2:$B$50,2,0)</f>
        <v>SE-NE</v>
      </c>
      <c r="E314" s="23">
        <v>1500</v>
      </c>
      <c r="F314" s="23" t="s">
        <v>2724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2672</v>
      </c>
      <c r="M314" s="23">
        <v>2015</v>
      </c>
      <c r="N314" s="23">
        <v>2100</v>
      </c>
      <c r="O314" s="292">
        <v>25</v>
      </c>
      <c r="P314" s="293">
        <v>2100</v>
      </c>
      <c r="Q314" s="294">
        <v>1</v>
      </c>
      <c r="R314" s="23"/>
      <c r="S314" s="148">
        <f t="shared" si="22"/>
        <v>2100</v>
      </c>
      <c r="T314" s="148">
        <f ca="1">IF(S314=0,"",S314*(OFFSET(cod_desembolso!$A$1,Q314,23)))</f>
        <v>2182.3840175367854</v>
      </c>
      <c r="U314" s="149">
        <f>(constantes!$B$3*(1+constantes!$B$3)^(O314))/((1+constantes!$B$3)^(O314)-1)</f>
        <v>9.3678779051968114E-2</v>
      </c>
      <c r="V314" s="148">
        <f t="shared" ca="1" si="21"/>
        <v>204.44307018537503</v>
      </c>
      <c r="W314" s="148">
        <f ca="1">(IF(S314=0,"",V314/constantes!$B$3))*1</f>
        <v>2555.538377317188</v>
      </c>
      <c r="X314" s="150">
        <f ca="1">IF(S314=0,"",PV(constantes!$B$3,O314,-V314)*constantes!$B$3)</f>
        <v>174.59072140294285</v>
      </c>
      <c r="Y314" s="85">
        <f t="shared" si="23"/>
        <v>1400</v>
      </c>
      <c r="Z314">
        <v>94</v>
      </c>
    </row>
    <row r="315" spans="1:26">
      <c r="A315" s="290">
        <v>7095</v>
      </c>
      <c r="B315" s="23" t="str">
        <f t="shared" si="20"/>
        <v>SE-NE_1500__kV_95</v>
      </c>
      <c r="C315" s="23">
        <v>802</v>
      </c>
      <c r="D315" s="142" t="str">
        <f>VLOOKUP(C315,tab_corredor!$A$2:$B$50,2,0)</f>
        <v>SE-NE</v>
      </c>
      <c r="E315" s="23">
        <v>1500</v>
      </c>
      <c r="F315" s="23" t="s">
        <v>2724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2672</v>
      </c>
      <c r="M315" s="23">
        <v>2015</v>
      </c>
      <c r="N315" s="23">
        <v>2100</v>
      </c>
      <c r="O315" s="292">
        <v>25</v>
      </c>
      <c r="P315" s="293">
        <v>2100</v>
      </c>
      <c r="Q315" s="294">
        <v>1</v>
      </c>
      <c r="R315" s="23"/>
      <c r="S315" s="148">
        <f t="shared" si="22"/>
        <v>2100</v>
      </c>
      <c r="T315" s="148">
        <f ca="1">IF(S315=0,"",S315*(OFFSET(cod_desembolso!$A$1,Q315,23)))</f>
        <v>2182.3840175367854</v>
      </c>
      <c r="U315" s="149">
        <f>(constantes!$B$3*(1+constantes!$B$3)^(O315))/((1+constantes!$B$3)^(O315)-1)</f>
        <v>9.3678779051968114E-2</v>
      </c>
      <c r="V315" s="148">
        <f t="shared" ca="1" si="21"/>
        <v>204.44307018537503</v>
      </c>
      <c r="W315" s="148">
        <f ca="1">(IF(S315=0,"",V315/constantes!$B$3))*1</f>
        <v>2555.538377317188</v>
      </c>
      <c r="X315" s="150">
        <f ca="1">IF(S315=0,"",PV(constantes!$B$3,O315,-V315)*constantes!$B$3)</f>
        <v>174.59072140294285</v>
      </c>
      <c r="Y315" s="85">
        <f t="shared" si="23"/>
        <v>1400</v>
      </c>
      <c r="Z315">
        <v>95</v>
      </c>
    </row>
    <row r="316" spans="1:26">
      <c r="A316" s="290">
        <v>7096</v>
      </c>
      <c r="B316" s="23" t="str">
        <f t="shared" si="20"/>
        <v>SE-NE_1500__kV_96</v>
      </c>
      <c r="C316" s="23">
        <v>802</v>
      </c>
      <c r="D316" s="142" t="str">
        <f>VLOOKUP(C316,tab_corredor!$A$2:$B$50,2,0)</f>
        <v>SE-NE</v>
      </c>
      <c r="E316" s="23">
        <v>1500</v>
      </c>
      <c r="F316" s="23" t="s">
        <v>2724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2672</v>
      </c>
      <c r="M316" s="23">
        <v>2015</v>
      </c>
      <c r="N316" s="23">
        <v>2100</v>
      </c>
      <c r="O316" s="292">
        <v>25</v>
      </c>
      <c r="P316" s="293">
        <v>2100</v>
      </c>
      <c r="Q316" s="294">
        <v>1</v>
      </c>
      <c r="R316" s="23"/>
      <c r="S316" s="148">
        <f t="shared" si="22"/>
        <v>2100</v>
      </c>
      <c r="T316" s="148">
        <f ca="1">IF(S316=0,"",S316*(OFFSET(cod_desembolso!$A$1,Q316,23)))</f>
        <v>2182.3840175367854</v>
      </c>
      <c r="U316" s="149">
        <f>(constantes!$B$3*(1+constantes!$B$3)^(O316))/((1+constantes!$B$3)^(O316)-1)</f>
        <v>9.3678779051968114E-2</v>
      </c>
      <c r="V316" s="148">
        <f t="shared" ca="1" si="21"/>
        <v>204.44307018537503</v>
      </c>
      <c r="W316" s="148">
        <f ca="1">(IF(S316=0,"",V316/constantes!$B$3))*1</f>
        <v>2555.538377317188</v>
      </c>
      <c r="X316" s="150">
        <f ca="1">IF(S316=0,"",PV(constantes!$B$3,O316,-V316)*constantes!$B$3)</f>
        <v>174.59072140294285</v>
      </c>
      <c r="Y316" s="85">
        <f t="shared" si="23"/>
        <v>1400</v>
      </c>
      <c r="Z316">
        <v>96</v>
      </c>
    </row>
    <row r="317" spans="1:26">
      <c r="A317" s="290">
        <v>7097</v>
      </c>
      <c r="B317" s="23" t="str">
        <f t="shared" si="20"/>
        <v>SE-NE_1500__kV_97</v>
      </c>
      <c r="C317" s="23">
        <v>802</v>
      </c>
      <c r="D317" s="142" t="str">
        <f>VLOOKUP(C317,tab_corredor!$A$2:$B$50,2,0)</f>
        <v>SE-NE</v>
      </c>
      <c r="E317" s="23">
        <v>1500</v>
      </c>
      <c r="F317" s="23" t="s">
        <v>2724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2672</v>
      </c>
      <c r="M317" s="23">
        <v>2015</v>
      </c>
      <c r="N317" s="23">
        <v>2100</v>
      </c>
      <c r="O317" s="292">
        <v>25</v>
      </c>
      <c r="P317" s="293">
        <v>2100</v>
      </c>
      <c r="Q317" s="294">
        <v>1</v>
      </c>
      <c r="R317" s="23"/>
      <c r="S317" s="148">
        <f t="shared" si="22"/>
        <v>2100</v>
      </c>
      <c r="T317" s="148">
        <f ca="1">IF(S317=0,"",S317*(OFFSET(cod_desembolso!$A$1,Q317,23)))</f>
        <v>2182.3840175367854</v>
      </c>
      <c r="U317" s="149">
        <f>(constantes!$B$3*(1+constantes!$B$3)^(O317))/((1+constantes!$B$3)^(O317)-1)</f>
        <v>9.3678779051968114E-2</v>
      </c>
      <c r="V317" s="148">
        <f t="shared" ca="1" si="21"/>
        <v>204.44307018537503</v>
      </c>
      <c r="W317" s="148">
        <f ca="1">(IF(S317=0,"",V317/constantes!$B$3))*1</f>
        <v>2555.538377317188</v>
      </c>
      <c r="X317" s="150">
        <f ca="1">IF(S317=0,"",PV(constantes!$B$3,O317,-V317)*constantes!$B$3)</f>
        <v>174.59072140294285</v>
      </c>
      <c r="Y317" s="85">
        <f t="shared" si="23"/>
        <v>1400</v>
      </c>
      <c r="Z317">
        <v>97</v>
      </c>
    </row>
    <row r="318" spans="1:26">
      <c r="A318" s="290">
        <v>7098</v>
      </c>
      <c r="B318" s="23" t="str">
        <f t="shared" si="20"/>
        <v>SE-NE_1500__kV_98</v>
      </c>
      <c r="C318" s="23">
        <v>802</v>
      </c>
      <c r="D318" s="142" t="str">
        <f>VLOOKUP(C318,tab_corredor!$A$2:$B$50,2,0)</f>
        <v>SE-NE</v>
      </c>
      <c r="E318" s="23">
        <v>1500</v>
      </c>
      <c r="F318" s="23" t="s">
        <v>2724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2672</v>
      </c>
      <c r="M318" s="23">
        <v>2015</v>
      </c>
      <c r="N318" s="23">
        <v>2100</v>
      </c>
      <c r="O318" s="292">
        <v>25</v>
      </c>
      <c r="P318" s="293">
        <v>2100</v>
      </c>
      <c r="Q318" s="294">
        <v>1</v>
      </c>
      <c r="R318" s="23"/>
      <c r="S318" s="148">
        <f t="shared" si="22"/>
        <v>2100</v>
      </c>
      <c r="T318" s="148">
        <f ca="1">IF(S318=0,"",S318*(OFFSET(cod_desembolso!$A$1,Q318,23)))</f>
        <v>2182.3840175367854</v>
      </c>
      <c r="U318" s="149">
        <f>(constantes!$B$3*(1+constantes!$B$3)^(O318))/((1+constantes!$B$3)^(O318)-1)</f>
        <v>9.3678779051968114E-2</v>
      </c>
      <c r="V318" s="148">
        <f t="shared" ca="1" si="21"/>
        <v>204.44307018537503</v>
      </c>
      <c r="W318" s="148">
        <f ca="1">(IF(S318=0,"",V318/constantes!$B$3))*1</f>
        <v>2555.538377317188</v>
      </c>
      <c r="X318" s="150">
        <f ca="1">IF(S318=0,"",PV(constantes!$B$3,O318,-V318)*constantes!$B$3)</f>
        <v>174.59072140294285</v>
      </c>
      <c r="Y318" s="85">
        <f t="shared" si="23"/>
        <v>1400</v>
      </c>
      <c r="Z318">
        <v>98</v>
      </c>
    </row>
    <row r="319" spans="1:26">
      <c r="A319" s="290">
        <v>7099</v>
      </c>
      <c r="B319" s="23" t="str">
        <f t="shared" si="20"/>
        <v>SE-NE_1500__kV_99</v>
      </c>
      <c r="C319" s="23">
        <v>802</v>
      </c>
      <c r="D319" s="142" t="str">
        <f>VLOOKUP(C319,tab_corredor!$A$2:$B$50,2,0)</f>
        <v>SE-NE</v>
      </c>
      <c r="E319" s="23">
        <v>1500</v>
      </c>
      <c r="F319" s="23" t="s">
        <v>2724</v>
      </c>
      <c r="G319" s="23">
        <v>1500</v>
      </c>
      <c r="H319" s="23">
        <v>1500</v>
      </c>
      <c r="I319" s="394">
        <v>5.0000000000000004E-6</v>
      </c>
      <c r="J319" s="394">
        <v>5.0000000000000004E-6</v>
      </c>
      <c r="K319" s="290">
        <v>1</v>
      </c>
      <c r="L319" s="291" t="s">
        <v>2672</v>
      </c>
      <c r="M319" s="23">
        <v>2015</v>
      </c>
      <c r="N319" s="23">
        <v>2100</v>
      </c>
      <c r="O319" s="292">
        <v>25</v>
      </c>
      <c r="P319" s="293">
        <v>2100</v>
      </c>
      <c r="Q319" s="294">
        <v>1</v>
      </c>
      <c r="R319" s="23"/>
      <c r="S319" s="148">
        <f t="shared" si="22"/>
        <v>2100</v>
      </c>
      <c r="T319" s="148">
        <f ca="1">IF(S319=0,"",S319*(OFFSET(cod_desembolso!$A$1,Q319,23)))</f>
        <v>2182.3840175367854</v>
      </c>
      <c r="U319" s="149">
        <f>(constantes!$B$3*(1+constantes!$B$3)^(O319))/((1+constantes!$B$3)^(O319)-1)</f>
        <v>9.3678779051968114E-2</v>
      </c>
      <c r="V319" s="148">
        <f t="shared" ca="1" si="21"/>
        <v>204.44307018537503</v>
      </c>
      <c r="W319" s="148">
        <f ca="1">(IF(S319=0,"",V319/constantes!$B$3))*1</f>
        <v>2555.538377317188</v>
      </c>
      <c r="X319" s="150">
        <f ca="1">IF(S319=0,"",PV(constantes!$B$3,O319,-V319)*constantes!$B$3)</f>
        <v>174.59072140294285</v>
      </c>
      <c r="Y319" s="85">
        <f t="shared" si="23"/>
        <v>1400</v>
      </c>
      <c r="Z319">
        <v>99</v>
      </c>
    </row>
    <row r="320" spans="1:26">
      <c r="A320" s="290">
        <v>7001</v>
      </c>
      <c r="B320" s="23" t="str">
        <f t="shared" si="20"/>
        <v>SE-Sul_1500__kV_1</v>
      </c>
      <c r="C320" s="23">
        <v>801</v>
      </c>
      <c r="D320" s="142" t="str">
        <f>VLOOKUP(C320,tab_corredor!$A$2:$B$50,2,0)</f>
        <v>SE-Sul</v>
      </c>
      <c r="E320" s="23">
        <v>1500</v>
      </c>
      <c r="F320" s="23" t="s">
        <v>2724</v>
      </c>
      <c r="G320" s="23">
        <v>1500</v>
      </c>
      <c r="H320" s="23">
        <v>1500</v>
      </c>
      <c r="I320" s="394">
        <v>5.0000000000000004E-6</v>
      </c>
      <c r="J320" s="394">
        <v>5.0000000000000004E-6</v>
      </c>
      <c r="K320" s="290">
        <v>1</v>
      </c>
      <c r="L320" s="291" t="s">
        <v>2672</v>
      </c>
      <c r="M320" s="23">
        <v>2015</v>
      </c>
      <c r="N320" s="23">
        <v>2100</v>
      </c>
      <c r="O320" s="292">
        <v>25</v>
      </c>
      <c r="P320" s="293">
        <v>1200</v>
      </c>
      <c r="Q320" s="294">
        <v>1</v>
      </c>
      <c r="R320" s="23"/>
      <c r="S320" s="148">
        <f t="shared" si="22"/>
        <v>1200</v>
      </c>
      <c r="T320" s="148">
        <f ca="1">IF(S320=0,"",S320*(OFFSET(cod_desembolso!$A$1,Q320,23)))</f>
        <v>1247.0765814495917</v>
      </c>
      <c r="U320" s="149">
        <f>(constantes!$B$3*(1+constantes!$B$3)^(O320))/((1+constantes!$B$3)^(O320)-1)</f>
        <v>9.3678779051968114E-2</v>
      </c>
      <c r="V320" s="148">
        <f t="shared" ca="1" si="21"/>
        <v>116.82461153450002</v>
      </c>
      <c r="W320" s="148">
        <f ca="1">(IF(S320=0,"",V320/constantes!$B$3))*1</f>
        <v>1460.3076441812502</v>
      </c>
      <c r="X320" s="150">
        <f ca="1">IF(S320=0,"",PV(constantes!$B$3,O320,-V320)*constantes!$B$3)</f>
        <v>99.766126515967343</v>
      </c>
      <c r="Y320" s="85">
        <f t="shared" si="23"/>
        <v>800</v>
      </c>
      <c r="Z320">
        <v>1</v>
      </c>
    </row>
    <row r="321" spans="1:26">
      <c r="A321" s="290">
        <v>7010</v>
      </c>
      <c r="B321" s="23" t="str">
        <f t="shared" si="20"/>
        <v>SE-Sul_1500__kV_10</v>
      </c>
      <c r="C321" s="23">
        <v>801</v>
      </c>
      <c r="D321" s="142" t="str">
        <f>VLOOKUP(C321,tab_corredor!$A$2:$B$50,2,0)</f>
        <v>SE-Sul</v>
      </c>
      <c r="E321" s="23">
        <v>1500</v>
      </c>
      <c r="F321" s="23" t="s">
        <v>2724</v>
      </c>
      <c r="G321" s="23">
        <v>1500</v>
      </c>
      <c r="H321" s="23">
        <v>1500</v>
      </c>
      <c r="I321" s="394">
        <v>5.0000000000000004E-6</v>
      </c>
      <c r="J321" s="394">
        <v>5.0000000000000004E-6</v>
      </c>
      <c r="K321" s="290">
        <v>1</v>
      </c>
      <c r="L321" s="291" t="s">
        <v>2672</v>
      </c>
      <c r="M321" s="23">
        <v>2015</v>
      </c>
      <c r="N321" s="23">
        <v>2100</v>
      </c>
      <c r="O321" s="292">
        <v>25</v>
      </c>
      <c r="P321" s="293">
        <v>1200</v>
      </c>
      <c r="Q321" s="294">
        <v>1</v>
      </c>
      <c r="R321" s="23"/>
      <c r="S321" s="148">
        <f t="shared" si="22"/>
        <v>1200</v>
      </c>
      <c r="T321" s="148">
        <f ca="1">IF(S321=0,"",S321*(OFFSET(cod_desembolso!$A$1,Q321,23)))</f>
        <v>1247.0765814495917</v>
      </c>
      <c r="U321" s="149">
        <f>(constantes!$B$3*(1+constantes!$B$3)^(O321))/((1+constantes!$B$3)^(O321)-1)</f>
        <v>9.3678779051968114E-2</v>
      </c>
      <c r="V321" s="148">
        <f t="shared" ca="1" si="21"/>
        <v>116.82461153450002</v>
      </c>
      <c r="W321" s="148">
        <f ca="1">(IF(S321=0,"",V321/constantes!$B$3))*1</f>
        <v>1460.3076441812502</v>
      </c>
      <c r="X321" s="150">
        <f ca="1">IF(S321=0,"",PV(constantes!$B$3,O321,-V321)*constantes!$B$3)</f>
        <v>99.766126515967343</v>
      </c>
      <c r="Y321" s="85">
        <f t="shared" si="23"/>
        <v>800</v>
      </c>
      <c r="Z321">
        <v>10</v>
      </c>
    </row>
    <row r="322" spans="1:26">
      <c r="A322" s="290">
        <v>7011</v>
      </c>
      <c r="B322" s="23" t="str">
        <f t="shared" ref="B322:B382" si="24">D322&amp;"_"&amp;E322&amp;"_"&amp;F322&amp;IF(F322="DC","","kV")&amp;"_"&amp;Z322</f>
        <v>SE-Sul_1500__kV_11</v>
      </c>
      <c r="C322" s="23">
        <v>801</v>
      </c>
      <c r="D322" s="142" t="str">
        <f>VLOOKUP(C322,tab_corredor!$A$2:$B$50,2,0)</f>
        <v>SE-Sul</v>
      </c>
      <c r="E322" s="23">
        <v>1500</v>
      </c>
      <c r="F322" s="23" t="s">
        <v>2724</v>
      </c>
      <c r="G322" s="23">
        <v>1500</v>
      </c>
      <c r="H322" s="23">
        <v>1500</v>
      </c>
      <c r="I322" s="394">
        <v>5.0000000000000004E-6</v>
      </c>
      <c r="J322" s="394">
        <v>5.0000000000000004E-6</v>
      </c>
      <c r="K322" s="290">
        <v>1</v>
      </c>
      <c r="L322" s="291" t="s">
        <v>2672</v>
      </c>
      <c r="M322" s="23">
        <v>2015</v>
      </c>
      <c r="N322" s="23">
        <v>2100</v>
      </c>
      <c r="O322" s="292">
        <v>25</v>
      </c>
      <c r="P322" s="293">
        <v>1200</v>
      </c>
      <c r="Q322" s="294">
        <v>1</v>
      </c>
      <c r="R322" s="23"/>
      <c r="S322" s="148">
        <f t="shared" si="22"/>
        <v>1200</v>
      </c>
      <c r="T322" s="148">
        <f ca="1">IF(S322=0,"",S322*(OFFSET(cod_desembolso!$A$1,Q322,23)))</f>
        <v>1247.0765814495917</v>
      </c>
      <c r="U322" s="149">
        <f>(constantes!$B$3*(1+constantes!$B$3)^(O322))/((1+constantes!$B$3)^(O322)-1)</f>
        <v>9.3678779051968114E-2</v>
      </c>
      <c r="V322" s="148">
        <f t="shared" ref="V322:V382" ca="1" si="25">IF(S322=0,"",T322*U322)</f>
        <v>116.82461153450002</v>
      </c>
      <c r="W322" s="148">
        <f ca="1">(IF(S322=0,"",V322/constantes!$B$3))*1</f>
        <v>1460.3076441812502</v>
      </c>
      <c r="X322" s="150">
        <f ca="1">IF(S322=0,"",PV(constantes!$B$3,O322,-V322)*constantes!$B$3)</f>
        <v>99.766126515967343</v>
      </c>
      <c r="Y322" s="85">
        <f t="shared" si="23"/>
        <v>800</v>
      </c>
      <c r="Z322">
        <v>11</v>
      </c>
    </row>
    <row r="323" spans="1:26">
      <c r="A323" s="290">
        <v>7012</v>
      </c>
      <c r="B323" s="23" t="str">
        <f t="shared" si="24"/>
        <v>SE-Sul_1500__kV_12</v>
      </c>
      <c r="C323" s="23">
        <v>801</v>
      </c>
      <c r="D323" s="142" t="str">
        <f>VLOOKUP(C323,tab_corredor!$A$2:$B$50,2,0)</f>
        <v>SE-Sul</v>
      </c>
      <c r="E323" s="23">
        <v>1500</v>
      </c>
      <c r="F323" s="23" t="s">
        <v>2724</v>
      </c>
      <c r="G323" s="23">
        <v>1500</v>
      </c>
      <c r="H323" s="23">
        <v>1500</v>
      </c>
      <c r="I323" s="394">
        <v>5.0000000000000004E-6</v>
      </c>
      <c r="J323" s="394">
        <v>5.0000000000000004E-6</v>
      </c>
      <c r="K323" s="290">
        <v>1</v>
      </c>
      <c r="L323" s="291" t="s">
        <v>2672</v>
      </c>
      <c r="M323" s="23">
        <v>2015</v>
      </c>
      <c r="N323" s="23">
        <v>2100</v>
      </c>
      <c r="O323" s="292">
        <v>25</v>
      </c>
      <c r="P323" s="293">
        <v>1200</v>
      </c>
      <c r="Q323" s="294">
        <v>1</v>
      </c>
      <c r="R323" s="23"/>
      <c r="S323" s="148">
        <f t="shared" si="22"/>
        <v>1200</v>
      </c>
      <c r="T323" s="148">
        <f ca="1">IF(S323=0,"",S323*(OFFSET(cod_desembolso!$A$1,Q323,23)))</f>
        <v>1247.0765814495917</v>
      </c>
      <c r="U323" s="149">
        <f>(constantes!$B$3*(1+constantes!$B$3)^(O323))/((1+constantes!$B$3)^(O323)-1)</f>
        <v>9.3678779051968114E-2</v>
      </c>
      <c r="V323" s="148">
        <f t="shared" ca="1" si="25"/>
        <v>116.82461153450002</v>
      </c>
      <c r="W323" s="148">
        <f ca="1">(IF(S323=0,"",V323/constantes!$B$3))*1</f>
        <v>1460.3076441812502</v>
      </c>
      <c r="X323" s="150">
        <f ca="1">IF(S323=0,"",PV(constantes!$B$3,O323,-V323)*constantes!$B$3)</f>
        <v>99.766126515967343</v>
      </c>
      <c r="Y323" s="85">
        <f t="shared" si="23"/>
        <v>800</v>
      </c>
      <c r="Z323">
        <v>12</v>
      </c>
    </row>
    <row r="324" spans="1:26">
      <c r="A324" s="290">
        <v>7002</v>
      </c>
      <c r="B324" s="23" t="str">
        <f t="shared" si="24"/>
        <v>SE-Sul_1500__kV_2</v>
      </c>
      <c r="C324" s="23">
        <v>801</v>
      </c>
      <c r="D324" s="142" t="str">
        <f>VLOOKUP(C324,tab_corredor!$A$2:$B$50,2,0)</f>
        <v>SE-Sul</v>
      </c>
      <c r="E324" s="23">
        <v>1500</v>
      </c>
      <c r="F324" s="23" t="s">
        <v>2724</v>
      </c>
      <c r="G324" s="23">
        <v>1500</v>
      </c>
      <c r="H324" s="23">
        <v>1500</v>
      </c>
      <c r="I324" s="394">
        <v>5.0000000000000004E-6</v>
      </c>
      <c r="J324" s="394">
        <v>5.0000000000000004E-6</v>
      </c>
      <c r="K324" s="290">
        <v>1</v>
      </c>
      <c r="L324" s="291" t="s">
        <v>2672</v>
      </c>
      <c r="M324" s="23">
        <v>2015</v>
      </c>
      <c r="N324" s="23">
        <v>2100</v>
      </c>
      <c r="O324" s="292">
        <v>25</v>
      </c>
      <c r="P324" s="293">
        <v>1200</v>
      </c>
      <c r="Q324" s="294">
        <v>1</v>
      </c>
      <c r="R324" s="23"/>
      <c r="S324" s="148">
        <f t="shared" si="22"/>
        <v>1200</v>
      </c>
      <c r="T324" s="148">
        <f ca="1">IF(S324=0,"",S324*(OFFSET(cod_desembolso!$A$1,Q324,23)))</f>
        <v>1247.0765814495917</v>
      </c>
      <c r="U324" s="149">
        <f>(constantes!$B$3*(1+constantes!$B$3)^(O324))/((1+constantes!$B$3)^(O324)-1)</f>
        <v>9.3678779051968114E-2</v>
      </c>
      <c r="V324" s="148">
        <f t="shared" ca="1" si="25"/>
        <v>116.82461153450002</v>
      </c>
      <c r="W324" s="148">
        <f ca="1">(IF(S324=0,"",V324/constantes!$B$3))*1</f>
        <v>1460.3076441812502</v>
      </c>
      <c r="X324" s="150">
        <f ca="1">IF(S324=0,"",PV(constantes!$B$3,O324,-V324)*constantes!$B$3)</f>
        <v>99.766126515967343</v>
      </c>
      <c r="Y324" s="85">
        <f t="shared" si="23"/>
        <v>800</v>
      </c>
      <c r="Z324">
        <v>2</v>
      </c>
    </row>
    <row r="325" spans="1:26">
      <c r="A325" s="290">
        <v>7265</v>
      </c>
      <c r="B325" s="23" t="str">
        <f t="shared" si="24"/>
        <v>SE-Sul_1500__kV_265</v>
      </c>
      <c r="C325" s="23">
        <v>801</v>
      </c>
      <c r="D325" s="142" t="str">
        <f>VLOOKUP(C325,tab_corredor!$A$2:$B$50,2,0)</f>
        <v>SE-Sul</v>
      </c>
      <c r="E325" s="23">
        <v>1500</v>
      </c>
      <c r="F325" s="23" t="s">
        <v>2724</v>
      </c>
      <c r="G325" s="23">
        <v>1500</v>
      </c>
      <c r="H325" s="23">
        <v>1500</v>
      </c>
      <c r="I325" s="394">
        <v>5.0000000000000004E-6</v>
      </c>
      <c r="J325" s="394">
        <v>5.0000000000000004E-6</v>
      </c>
      <c r="K325" s="290">
        <v>1</v>
      </c>
      <c r="L325" s="291" t="s">
        <v>2672</v>
      </c>
      <c r="M325" s="23">
        <v>2015</v>
      </c>
      <c r="N325" s="23">
        <v>2100</v>
      </c>
      <c r="O325" s="292">
        <v>25</v>
      </c>
      <c r="P325" s="293">
        <v>1200</v>
      </c>
      <c r="Q325" s="294">
        <v>1</v>
      </c>
      <c r="R325" s="23"/>
      <c r="S325" s="148">
        <f t="shared" si="22"/>
        <v>1200</v>
      </c>
      <c r="T325" s="148">
        <f ca="1">IF(S325=0,"",S325*(OFFSET(cod_desembolso!$A$1,Q325,23)))</f>
        <v>1247.0765814495917</v>
      </c>
      <c r="U325" s="149">
        <f>(constantes!$B$3*(1+constantes!$B$3)^(O325))/((1+constantes!$B$3)^(O325)-1)</f>
        <v>9.3678779051968114E-2</v>
      </c>
      <c r="V325" s="148">
        <f t="shared" ca="1" si="25"/>
        <v>116.82461153450002</v>
      </c>
      <c r="W325" s="148">
        <f ca="1">(IF(S325=0,"",V325/constantes!$B$3))*1</f>
        <v>1460.3076441812502</v>
      </c>
      <c r="X325" s="150">
        <f ca="1">IF(S325=0,"",PV(constantes!$B$3,O325,-V325)*constantes!$B$3)</f>
        <v>99.766126515967343</v>
      </c>
      <c r="Y325" s="85">
        <f t="shared" si="23"/>
        <v>800</v>
      </c>
      <c r="Z325">
        <v>265</v>
      </c>
    </row>
    <row r="326" spans="1:26">
      <c r="A326" s="290">
        <v>7266</v>
      </c>
      <c r="B326" s="23" t="str">
        <f t="shared" si="24"/>
        <v>SE-Sul_1500__kV_266</v>
      </c>
      <c r="C326" s="23">
        <v>801</v>
      </c>
      <c r="D326" s="142" t="str">
        <f>VLOOKUP(C326,tab_corredor!$A$2:$B$50,2,0)</f>
        <v>SE-Sul</v>
      </c>
      <c r="E326" s="23">
        <v>1500</v>
      </c>
      <c r="F326" s="23" t="s">
        <v>2724</v>
      </c>
      <c r="G326" s="23">
        <v>1500</v>
      </c>
      <c r="H326" s="23">
        <v>1500</v>
      </c>
      <c r="I326" s="394">
        <v>5.0000000000000004E-6</v>
      </c>
      <c r="J326" s="394">
        <v>5.0000000000000004E-6</v>
      </c>
      <c r="K326" s="290">
        <v>1</v>
      </c>
      <c r="L326" s="291" t="s">
        <v>2672</v>
      </c>
      <c r="M326" s="23">
        <v>2015</v>
      </c>
      <c r="N326" s="23">
        <v>2100</v>
      </c>
      <c r="O326" s="292">
        <v>25</v>
      </c>
      <c r="P326" s="293">
        <v>1200</v>
      </c>
      <c r="Q326" s="294">
        <v>1</v>
      </c>
      <c r="R326" s="23"/>
      <c r="S326" s="148">
        <f t="shared" si="22"/>
        <v>1200</v>
      </c>
      <c r="T326" s="148">
        <f ca="1">IF(S326=0,"",S326*(OFFSET(cod_desembolso!$A$1,Q326,23)))</f>
        <v>1247.0765814495917</v>
      </c>
      <c r="U326" s="149">
        <f>(constantes!$B$3*(1+constantes!$B$3)^(O326))/((1+constantes!$B$3)^(O326)-1)</f>
        <v>9.3678779051968114E-2</v>
      </c>
      <c r="V326" s="148">
        <f t="shared" ca="1" si="25"/>
        <v>116.82461153450002</v>
      </c>
      <c r="W326" s="148">
        <f ca="1">(IF(S326=0,"",V326/constantes!$B$3))*1</f>
        <v>1460.3076441812502</v>
      </c>
      <c r="X326" s="150">
        <f ca="1">IF(S326=0,"",PV(constantes!$B$3,O326,-V326)*constantes!$B$3)</f>
        <v>99.766126515967343</v>
      </c>
      <c r="Y326" s="85">
        <f t="shared" si="23"/>
        <v>800</v>
      </c>
      <c r="Z326">
        <v>266</v>
      </c>
    </row>
    <row r="327" spans="1:26">
      <c r="A327" s="290">
        <v>7267</v>
      </c>
      <c r="B327" s="23" t="str">
        <f t="shared" si="24"/>
        <v>SE-Sul_1500__kV_267</v>
      </c>
      <c r="C327" s="23">
        <v>801</v>
      </c>
      <c r="D327" s="142" t="str">
        <f>VLOOKUP(C327,tab_corredor!$A$2:$B$50,2,0)</f>
        <v>SE-Sul</v>
      </c>
      <c r="E327" s="23">
        <v>1500</v>
      </c>
      <c r="F327" s="23" t="s">
        <v>2724</v>
      </c>
      <c r="G327" s="23">
        <v>1500</v>
      </c>
      <c r="H327" s="23">
        <v>1500</v>
      </c>
      <c r="I327" s="394">
        <v>5.0000000000000004E-6</v>
      </c>
      <c r="J327" s="394">
        <v>5.0000000000000004E-6</v>
      </c>
      <c r="K327" s="290">
        <v>1</v>
      </c>
      <c r="L327" s="291" t="s">
        <v>2672</v>
      </c>
      <c r="M327" s="23">
        <v>2015</v>
      </c>
      <c r="N327" s="23">
        <v>2100</v>
      </c>
      <c r="O327" s="292">
        <v>25</v>
      </c>
      <c r="P327" s="293">
        <v>1200</v>
      </c>
      <c r="Q327" s="294">
        <v>1</v>
      </c>
      <c r="R327" s="23"/>
      <c r="S327" s="148">
        <f t="shared" si="22"/>
        <v>1200</v>
      </c>
      <c r="T327" s="148">
        <f ca="1">IF(S327=0,"",S327*(OFFSET(cod_desembolso!$A$1,Q327,23)))</f>
        <v>1247.0765814495917</v>
      </c>
      <c r="U327" s="149">
        <f>(constantes!$B$3*(1+constantes!$B$3)^(O327))/((1+constantes!$B$3)^(O327)-1)</f>
        <v>9.3678779051968114E-2</v>
      </c>
      <c r="V327" s="148">
        <f t="shared" ca="1" si="25"/>
        <v>116.82461153450002</v>
      </c>
      <c r="W327" s="148">
        <f ca="1">(IF(S327=0,"",V327/constantes!$B$3))*1</f>
        <v>1460.3076441812502</v>
      </c>
      <c r="X327" s="150">
        <f ca="1">IF(S327=0,"",PV(constantes!$B$3,O327,-V327)*constantes!$B$3)</f>
        <v>99.766126515967343</v>
      </c>
      <c r="Y327" s="85">
        <f t="shared" si="23"/>
        <v>800</v>
      </c>
      <c r="Z327">
        <v>267</v>
      </c>
    </row>
    <row r="328" spans="1:26">
      <c r="A328" s="290">
        <v>7268</v>
      </c>
      <c r="B328" s="23" t="str">
        <f t="shared" si="24"/>
        <v>SE-Sul_1500__kV_268</v>
      </c>
      <c r="C328" s="23">
        <v>801</v>
      </c>
      <c r="D328" s="142" t="str">
        <f>VLOOKUP(C328,tab_corredor!$A$2:$B$50,2,0)</f>
        <v>SE-Sul</v>
      </c>
      <c r="E328" s="23">
        <v>1500</v>
      </c>
      <c r="F328" s="23" t="s">
        <v>2724</v>
      </c>
      <c r="G328" s="23">
        <v>1500</v>
      </c>
      <c r="H328" s="23">
        <v>1500</v>
      </c>
      <c r="I328" s="394">
        <v>5.0000000000000004E-6</v>
      </c>
      <c r="J328" s="394">
        <v>5.0000000000000004E-6</v>
      </c>
      <c r="K328" s="290">
        <v>1</v>
      </c>
      <c r="L328" s="291" t="s">
        <v>2672</v>
      </c>
      <c r="M328" s="23">
        <v>2015</v>
      </c>
      <c r="N328" s="23">
        <v>2100</v>
      </c>
      <c r="O328" s="292">
        <v>25</v>
      </c>
      <c r="P328" s="293">
        <v>1200</v>
      </c>
      <c r="Q328" s="294">
        <v>1</v>
      </c>
      <c r="R328" s="23"/>
      <c r="S328" s="148">
        <f t="shared" si="22"/>
        <v>1200</v>
      </c>
      <c r="T328" s="148">
        <f ca="1">IF(S328=0,"",S328*(OFFSET(cod_desembolso!$A$1,Q328,23)))</f>
        <v>1247.0765814495917</v>
      </c>
      <c r="U328" s="149">
        <f>(constantes!$B$3*(1+constantes!$B$3)^(O328))/((1+constantes!$B$3)^(O328)-1)</f>
        <v>9.3678779051968114E-2</v>
      </c>
      <c r="V328" s="148">
        <f t="shared" ca="1" si="25"/>
        <v>116.82461153450002</v>
      </c>
      <c r="W328" s="148">
        <f ca="1">(IF(S328=0,"",V328/constantes!$B$3))*1</f>
        <v>1460.3076441812502</v>
      </c>
      <c r="X328" s="150">
        <f ca="1">IF(S328=0,"",PV(constantes!$B$3,O328,-V328)*constantes!$B$3)</f>
        <v>99.766126515967343</v>
      </c>
      <c r="Y328" s="85">
        <f t="shared" si="23"/>
        <v>800</v>
      </c>
      <c r="Z328">
        <v>268</v>
      </c>
    </row>
    <row r="329" spans="1:26">
      <c r="A329" s="290">
        <v>7269</v>
      </c>
      <c r="B329" s="23" t="str">
        <f t="shared" si="24"/>
        <v>SE-Sul_1500__kV_269</v>
      </c>
      <c r="C329" s="23">
        <v>801</v>
      </c>
      <c r="D329" s="142" t="str">
        <f>VLOOKUP(C329,tab_corredor!$A$2:$B$50,2,0)</f>
        <v>SE-Sul</v>
      </c>
      <c r="E329" s="23">
        <v>1500</v>
      </c>
      <c r="F329" s="23" t="s">
        <v>2724</v>
      </c>
      <c r="G329" s="23">
        <v>1500</v>
      </c>
      <c r="H329" s="23">
        <v>1500</v>
      </c>
      <c r="I329" s="394">
        <v>5.0000000000000004E-6</v>
      </c>
      <c r="J329" s="394">
        <v>5.0000000000000004E-6</v>
      </c>
      <c r="K329" s="290">
        <v>1</v>
      </c>
      <c r="L329" s="291" t="s">
        <v>2672</v>
      </c>
      <c r="M329" s="23">
        <v>2015</v>
      </c>
      <c r="N329" s="23">
        <v>2100</v>
      </c>
      <c r="O329" s="292">
        <v>25</v>
      </c>
      <c r="P329" s="293">
        <v>1200</v>
      </c>
      <c r="Q329" s="294">
        <v>1</v>
      </c>
      <c r="R329" s="23"/>
      <c r="S329" s="148">
        <f t="shared" si="22"/>
        <v>1200</v>
      </c>
      <c r="T329" s="148">
        <f ca="1">IF(S329=0,"",S329*(OFFSET(cod_desembolso!$A$1,Q329,23)))</f>
        <v>1247.0765814495917</v>
      </c>
      <c r="U329" s="149">
        <f>(constantes!$B$3*(1+constantes!$B$3)^(O329))/((1+constantes!$B$3)^(O329)-1)</f>
        <v>9.3678779051968114E-2</v>
      </c>
      <c r="V329" s="148">
        <f t="shared" ca="1" si="25"/>
        <v>116.82461153450002</v>
      </c>
      <c r="W329" s="148">
        <f ca="1">(IF(S329=0,"",V329/constantes!$B$3))*1</f>
        <v>1460.3076441812502</v>
      </c>
      <c r="X329" s="150">
        <f ca="1">IF(S329=0,"",PV(constantes!$B$3,O329,-V329)*constantes!$B$3)</f>
        <v>99.766126515967343</v>
      </c>
      <c r="Y329" s="85">
        <f t="shared" si="23"/>
        <v>800</v>
      </c>
      <c r="Z329">
        <v>269</v>
      </c>
    </row>
    <row r="330" spans="1:26">
      <c r="A330" s="290">
        <v>7270</v>
      </c>
      <c r="B330" s="23" t="str">
        <f t="shared" si="24"/>
        <v>SE-Sul_1500__kV_270</v>
      </c>
      <c r="C330" s="23">
        <v>801</v>
      </c>
      <c r="D330" s="142" t="str">
        <f>VLOOKUP(C330,tab_corredor!$A$2:$B$50,2,0)</f>
        <v>SE-Sul</v>
      </c>
      <c r="E330" s="23">
        <v>1500</v>
      </c>
      <c r="F330" s="23" t="s">
        <v>2724</v>
      </c>
      <c r="G330" s="23">
        <v>1500</v>
      </c>
      <c r="H330" s="23">
        <v>1500</v>
      </c>
      <c r="I330" s="394">
        <v>5.0000000000000004E-6</v>
      </c>
      <c r="J330" s="394">
        <v>5.0000000000000004E-6</v>
      </c>
      <c r="K330" s="290">
        <v>1</v>
      </c>
      <c r="L330" s="291" t="s">
        <v>2672</v>
      </c>
      <c r="M330" s="23">
        <v>2015</v>
      </c>
      <c r="N330" s="23">
        <v>2100</v>
      </c>
      <c r="O330" s="292">
        <v>25</v>
      </c>
      <c r="P330" s="293">
        <v>1200</v>
      </c>
      <c r="Q330" s="294">
        <v>1</v>
      </c>
      <c r="R330" s="23"/>
      <c r="S330" s="148">
        <f t="shared" si="22"/>
        <v>1200</v>
      </c>
      <c r="T330" s="148">
        <f ca="1">IF(S330=0,"",S330*(OFFSET(cod_desembolso!$A$1,Q330,23)))</f>
        <v>1247.0765814495917</v>
      </c>
      <c r="U330" s="149">
        <f>(constantes!$B$3*(1+constantes!$B$3)^(O330))/((1+constantes!$B$3)^(O330)-1)</f>
        <v>9.3678779051968114E-2</v>
      </c>
      <c r="V330" s="148">
        <f t="shared" ca="1" si="25"/>
        <v>116.82461153450002</v>
      </c>
      <c r="W330" s="148">
        <f ca="1">(IF(S330=0,"",V330/constantes!$B$3))*1</f>
        <v>1460.3076441812502</v>
      </c>
      <c r="X330" s="150">
        <f ca="1">IF(S330=0,"",PV(constantes!$B$3,O330,-V330)*constantes!$B$3)</f>
        <v>99.766126515967343</v>
      </c>
      <c r="Y330" s="85">
        <f t="shared" si="23"/>
        <v>800</v>
      </c>
      <c r="Z330">
        <v>270</v>
      </c>
    </row>
    <row r="331" spans="1:26">
      <c r="A331" s="290">
        <v>7271</v>
      </c>
      <c r="B331" s="23" t="str">
        <f t="shared" si="24"/>
        <v>SE-Sul_1500__kV_271</v>
      </c>
      <c r="C331" s="23">
        <v>801</v>
      </c>
      <c r="D331" s="142" t="str">
        <f>VLOOKUP(C331,tab_corredor!$A$2:$B$50,2,0)</f>
        <v>SE-Sul</v>
      </c>
      <c r="E331" s="23">
        <v>1500</v>
      </c>
      <c r="F331" s="23" t="s">
        <v>2724</v>
      </c>
      <c r="G331" s="23">
        <v>1500</v>
      </c>
      <c r="H331" s="23">
        <v>1500</v>
      </c>
      <c r="I331" s="394">
        <v>5.0000000000000004E-6</v>
      </c>
      <c r="J331" s="394">
        <v>5.0000000000000004E-6</v>
      </c>
      <c r="K331" s="290">
        <v>1</v>
      </c>
      <c r="L331" s="291" t="s">
        <v>2672</v>
      </c>
      <c r="M331" s="23">
        <v>2015</v>
      </c>
      <c r="N331" s="23">
        <v>2100</v>
      </c>
      <c r="O331" s="292">
        <v>25</v>
      </c>
      <c r="P331" s="293">
        <v>1200</v>
      </c>
      <c r="Q331" s="294">
        <v>1</v>
      </c>
      <c r="R331" s="23"/>
      <c r="S331" s="148">
        <f t="shared" si="22"/>
        <v>1200</v>
      </c>
      <c r="T331" s="148">
        <f ca="1">IF(S331=0,"",S331*(OFFSET(cod_desembolso!$A$1,Q331,23)))</f>
        <v>1247.0765814495917</v>
      </c>
      <c r="U331" s="149">
        <f>(constantes!$B$3*(1+constantes!$B$3)^(O331))/((1+constantes!$B$3)^(O331)-1)</f>
        <v>9.3678779051968114E-2</v>
      </c>
      <c r="V331" s="148">
        <f t="shared" ca="1" si="25"/>
        <v>116.82461153450002</v>
      </c>
      <c r="W331" s="148">
        <f ca="1">(IF(S331=0,"",V331/constantes!$B$3))*1</f>
        <v>1460.3076441812502</v>
      </c>
      <c r="X331" s="150">
        <f ca="1">IF(S331=0,"",PV(constantes!$B$3,O331,-V331)*constantes!$B$3)</f>
        <v>99.766126515967343</v>
      </c>
      <c r="Y331" s="85">
        <f t="shared" si="23"/>
        <v>800</v>
      </c>
      <c r="Z331">
        <v>271</v>
      </c>
    </row>
    <row r="332" spans="1:26">
      <c r="A332" s="290">
        <v>7272</v>
      </c>
      <c r="B332" s="23" t="str">
        <f t="shared" si="24"/>
        <v>SE-Sul_1500__kV_272</v>
      </c>
      <c r="C332" s="23">
        <v>801</v>
      </c>
      <c r="D332" s="142" t="str">
        <f>VLOOKUP(C332,tab_corredor!$A$2:$B$50,2,0)</f>
        <v>SE-Sul</v>
      </c>
      <c r="E332" s="23">
        <v>1500</v>
      </c>
      <c r="F332" s="23" t="s">
        <v>2724</v>
      </c>
      <c r="G332" s="23">
        <v>1500</v>
      </c>
      <c r="H332" s="23">
        <v>1500</v>
      </c>
      <c r="I332" s="394">
        <v>5.0000000000000004E-6</v>
      </c>
      <c r="J332" s="394">
        <v>5.0000000000000004E-6</v>
      </c>
      <c r="K332" s="290">
        <v>1</v>
      </c>
      <c r="L332" s="291" t="s">
        <v>2672</v>
      </c>
      <c r="M332" s="23">
        <v>2015</v>
      </c>
      <c r="N332" s="23">
        <v>2100</v>
      </c>
      <c r="O332" s="292">
        <v>25</v>
      </c>
      <c r="P332" s="293">
        <v>1200</v>
      </c>
      <c r="Q332" s="294">
        <v>1</v>
      </c>
      <c r="R332" s="23"/>
      <c r="S332" s="148">
        <f t="shared" si="22"/>
        <v>1200</v>
      </c>
      <c r="T332" s="148">
        <f ca="1">IF(S332=0,"",S332*(OFFSET(cod_desembolso!$A$1,Q332,23)))</f>
        <v>1247.0765814495917</v>
      </c>
      <c r="U332" s="149">
        <f>(constantes!$B$3*(1+constantes!$B$3)^(O332))/((1+constantes!$B$3)^(O332)-1)</f>
        <v>9.3678779051968114E-2</v>
      </c>
      <c r="V332" s="148">
        <f t="shared" ca="1" si="25"/>
        <v>116.82461153450002</v>
      </c>
      <c r="W332" s="148">
        <f ca="1">(IF(S332=0,"",V332/constantes!$B$3))*1</f>
        <v>1460.3076441812502</v>
      </c>
      <c r="X332" s="150">
        <f ca="1">IF(S332=0,"",PV(constantes!$B$3,O332,-V332)*constantes!$B$3)</f>
        <v>99.766126515967343</v>
      </c>
      <c r="Y332" s="85">
        <f t="shared" si="23"/>
        <v>800</v>
      </c>
      <c r="Z332">
        <v>272</v>
      </c>
    </row>
    <row r="333" spans="1:26">
      <c r="A333" s="290">
        <v>7273</v>
      </c>
      <c r="B333" s="23" t="str">
        <f t="shared" si="24"/>
        <v>SE-Sul_1500__kV_273</v>
      </c>
      <c r="C333" s="23">
        <v>801</v>
      </c>
      <c r="D333" s="142" t="str">
        <f>VLOOKUP(C333,tab_corredor!$A$2:$B$50,2,0)</f>
        <v>SE-Sul</v>
      </c>
      <c r="E333" s="23">
        <v>1500</v>
      </c>
      <c r="F333" s="23" t="s">
        <v>2724</v>
      </c>
      <c r="G333" s="23">
        <v>1500</v>
      </c>
      <c r="H333" s="23">
        <v>1500</v>
      </c>
      <c r="I333" s="394">
        <v>5.0000000000000004E-6</v>
      </c>
      <c r="J333" s="394">
        <v>5.0000000000000004E-6</v>
      </c>
      <c r="K333" s="290">
        <v>1</v>
      </c>
      <c r="L333" s="291" t="s">
        <v>2672</v>
      </c>
      <c r="M333" s="23">
        <v>2015</v>
      </c>
      <c r="N333" s="23">
        <v>2100</v>
      </c>
      <c r="O333" s="292">
        <v>25</v>
      </c>
      <c r="P333" s="293">
        <v>1200</v>
      </c>
      <c r="Q333" s="294">
        <v>1</v>
      </c>
      <c r="R333" s="23"/>
      <c r="S333" s="148">
        <f t="shared" si="22"/>
        <v>1200</v>
      </c>
      <c r="T333" s="148">
        <f ca="1">IF(S333=0,"",S333*(OFFSET(cod_desembolso!$A$1,Q333,23)))</f>
        <v>1247.0765814495917</v>
      </c>
      <c r="U333" s="149">
        <f>(constantes!$B$3*(1+constantes!$B$3)^(O333))/((1+constantes!$B$3)^(O333)-1)</f>
        <v>9.3678779051968114E-2</v>
      </c>
      <c r="V333" s="148">
        <f t="shared" ca="1" si="25"/>
        <v>116.82461153450002</v>
      </c>
      <c r="W333" s="148">
        <f ca="1">(IF(S333=0,"",V333/constantes!$B$3))*1</f>
        <v>1460.3076441812502</v>
      </c>
      <c r="X333" s="150">
        <f ca="1">IF(S333=0,"",PV(constantes!$B$3,O333,-V333)*constantes!$B$3)</f>
        <v>99.766126515967343</v>
      </c>
      <c r="Y333" s="85">
        <f t="shared" si="23"/>
        <v>800</v>
      </c>
      <c r="Z333">
        <v>273</v>
      </c>
    </row>
    <row r="334" spans="1:26">
      <c r="A334" s="290">
        <v>7274</v>
      </c>
      <c r="B334" s="23" t="str">
        <f t="shared" si="24"/>
        <v>SE-Sul_1500__kV_274</v>
      </c>
      <c r="C334" s="23">
        <v>801</v>
      </c>
      <c r="D334" s="142" t="str">
        <f>VLOOKUP(C334,tab_corredor!$A$2:$B$50,2,0)</f>
        <v>SE-Sul</v>
      </c>
      <c r="E334" s="23">
        <v>1500</v>
      </c>
      <c r="F334" s="23" t="s">
        <v>2724</v>
      </c>
      <c r="G334" s="23">
        <v>1500</v>
      </c>
      <c r="H334" s="23">
        <v>1500</v>
      </c>
      <c r="I334" s="394">
        <v>5.0000000000000004E-6</v>
      </c>
      <c r="J334" s="394">
        <v>5.0000000000000004E-6</v>
      </c>
      <c r="K334" s="290">
        <v>1</v>
      </c>
      <c r="L334" s="291" t="s">
        <v>2672</v>
      </c>
      <c r="M334" s="23">
        <v>2015</v>
      </c>
      <c r="N334" s="23">
        <v>2100</v>
      </c>
      <c r="O334" s="292">
        <v>25</v>
      </c>
      <c r="P334" s="293">
        <v>1200</v>
      </c>
      <c r="Q334" s="294">
        <v>1</v>
      </c>
      <c r="R334" s="23"/>
      <c r="S334" s="148">
        <f t="shared" si="22"/>
        <v>1200</v>
      </c>
      <c r="T334" s="148">
        <f ca="1">IF(S334=0,"",S334*(OFFSET(cod_desembolso!$A$1,Q334,23)))</f>
        <v>1247.0765814495917</v>
      </c>
      <c r="U334" s="149">
        <f>(constantes!$B$3*(1+constantes!$B$3)^(O334))/((1+constantes!$B$3)^(O334)-1)</f>
        <v>9.3678779051968114E-2</v>
      </c>
      <c r="V334" s="148">
        <f t="shared" ca="1" si="25"/>
        <v>116.82461153450002</v>
      </c>
      <c r="W334" s="148">
        <f ca="1">(IF(S334=0,"",V334/constantes!$B$3))*1</f>
        <v>1460.3076441812502</v>
      </c>
      <c r="X334" s="150">
        <f ca="1">IF(S334=0,"",PV(constantes!$B$3,O334,-V334)*constantes!$B$3)</f>
        <v>99.766126515967343</v>
      </c>
      <c r="Y334" s="85">
        <f t="shared" si="23"/>
        <v>800</v>
      </c>
      <c r="Z334">
        <v>274</v>
      </c>
    </row>
    <row r="335" spans="1:26">
      <c r="A335" s="290">
        <v>7275</v>
      </c>
      <c r="B335" s="23" t="str">
        <f t="shared" si="24"/>
        <v>SE-Sul_1500__kV_275</v>
      </c>
      <c r="C335" s="23">
        <v>801</v>
      </c>
      <c r="D335" s="142" t="str">
        <f>VLOOKUP(C335,tab_corredor!$A$2:$B$50,2,0)</f>
        <v>SE-Sul</v>
      </c>
      <c r="E335" s="23">
        <v>1500</v>
      </c>
      <c r="F335" s="23" t="s">
        <v>2724</v>
      </c>
      <c r="G335" s="23">
        <v>1500</v>
      </c>
      <c r="H335" s="23">
        <v>1500</v>
      </c>
      <c r="I335" s="394">
        <v>5.0000000000000004E-6</v>
      </c>
      <c r="J335" s="394">
        <v>5.0000000000000004E-6</v>
      </c>
      <c r="K335" s="290">
        <v>1</v>
      </c>
      <c r="L335" s="291" t="s">
        <v>2672</v>
      </c>
      <c r="M335" s="23">
        <v>2015</v>
      </c>
      <c r="N335" s="23">
        <v>2100</v>
      </c>
      <c r="O335" s="292">
        <v>25</v>
      </c>
      <c r="P335" s="293">
        <v>1200</v>
      </c>
      <c r="Q335" s="294">
        <v>1</v>
      </c>
      <c r="R335" s="23"/>
      <c r="S335" s="148">
        <f t="shared" si="22"/>
        <v>1200</v>
      </c>
      <c r="T335" s="148">
        <f ca="1">IF(S335=0,"",S335*(OFFSET(cod_desembolso!$A$1,Q335,23)))</f>
        <v>1247.0765814495917</v>
      </c>
      <c r="U335" s="149">
        <f>(constantes!$B$3*(1+constantes!$B$3)^(O335))/((1+constantes!$B$3)^(O335)-1)</f>
        <v>9.3678779051968114E-2</v>
      </c>
      <c r="V335" s="148">
        <f t="shared" ca="1" si="25"/>
        <v>116.82461153450002</v>
      </c>
      <c r="W335" s="148">
        <f ca="1">(IF(S335=0,"",V335/constantes!$B$3))*1</f>
        <v>1460.3076441812502</v>
      </c>
      <c r="X335" s="150">
        <f ca="1">IF(S335=0,"",PV(constantes!$B$3,O335,-V335)*constantes!$B$3)</f>
        <v>99.766126515967343</v>
      </c>
      <c r="Y335" s="85">
        <f t="shared" si="23"/>
        <v>800</v>
      </c>
      <c r="Z335">
        <v>275</v>
      </c>
    </row>
    <row r="336" spans="1:26">
      <c r="A336" s="290">
        <v>7276</v>
      </c>
      <c r="B336" s="23" t="str">
        <f t="shared" si="24"/>
        <v>SE-Sul_1500__kV_276</v>
      </c>
      <c r="C336" s="23">
        <v>801</v>
      </c>
      <c r="D336" s="142" t="str">
        <f>VLOOKUP(C336,tab_corredor!$A$2:$B$50,2,0)</f>
        <v>SE-Sul</v>
      </c>
      <c r="E336" s="23">
        <v>1500</v>
      </c>
      <c r="F336" s="23" t="s">
        <v>2724</v>
      </c>
      <c r="G336" s="23">
        <v>1500</v>
      </c>
      <c r="H336" s="23">
        <v>1500</v>
      </c>
      <c r="I336" s="394">
        <v>5.0000000000000004E-6</v>
      </c>
      <c r="J336" s="394">
        <v>5.0000000000000004E-6</v>
      </c>
      <c r="K336" s="290">
        <v>1</v>
      </c>
      <c r="L336" s="291" t="s">
        <v>2672</v>
      </c>
      <c r="M336" s="23">
        <v>2015</v>
      </c>
      <c r="N336" s="23">
        <v>2100</v>
      </c>
      <c r="O336" s="292">
        <v>25</v>
      </c>
      <c r="P336" s="293">
        <v>1200</v>
      </c>
      <c r="Q336" s="294">
        <v>1</v>
      </c>
      <c r="R336" s="23"/>
      <c r="S336" s="148">
        <f t="shared" si="22"/>
        <v>1200</v>
      </c>
      <c r="T336" s="148">
        <f ca="1">IF(S336=0,"",S336*(OFFSET(cod_desembolso!$A$1,Q336,23)))</f>
        <v>1247.0765814495917</v>
      </c>
      <c r="U336" s="149">
        <f>(constantes!$B$3*(1+constantes!$B$3)^(O336))/((1+constantes!$B$3)^(O336)-1)</f>
        <v>9.3678779051968114E-2</v>
      </c>
      <c r="V336" s="148">
        <f t="shared" ca="1" si="25"/>
        <v>116.82461153450002</v>
      </c>
      <c r="W336" s="148">
        <f ca="1">(IF(S336=0,"",V336/constantes!$B$3))*1</f>
        <v>1460.3076441812502</v>
      </c>
      <c r="X336" s="150">
        <f ca="1">IF(S336=0,"",PV(constantes!$B$3,O336,-V336)*constantes!$B$3)</f>
        <v>99.766126515967343</v>
      </c>
      <c r="Y336" s="85">
        <f t="shared" si="23"/>
        <v>800</v>
      </c>
      <c r="Z336">
        <v>276</v>
      </c>
    </row>
    <row r="337" spans="1:26">
      <c r="A337" s="290">
        <v>7277</v>
      </c>
      <c r="B337" s="23" t="str">
        <f t="shared" si="24"/>
        <v>SE-Sul_1500__kV_277</v>
      </c>
      <c r="C337" s="23">
        <v>801</v>
      </c>
      <c r="D337" s="142" t="str">
        <f>VLOOKUP(C337,tab_corredor!$A$2:$B$50,2,0)</f>
        <v>SE-Sul</v>
      </c>
      <c r="E337" s="23">
        <v>1500</v>
      </c>
      <c r="F337" s="23" t="s">
        <v>2724</v>
      </c>
      <c r="G337" s="23">
        <v>1500</v>
      </c>
      <c r="H337" s="23">
        <v>1500</v>
      </c>
      <c r="I337" s="394">
        <v>5.0000000000000004E-6</v>
      </c>
      <c r="J337" s="394">
        <v>5.0000000000000004E-6</v>
      </c>
      <c r="K337" s="290">
        <v>1</v>
      </c>
      <c r="L337" s="291" t="s">
        <v>2672</v>
      </c>
      <c r="M337" s="23">
        <v>2015</v>
      </c>
      <c r="N337" s="23">
        <v>2100</v>
      </c>
      <c r="O337" s="292">
        <v>25</v>
      </c>
      <c r="P337" s="293">
        <v>1200</v>
      </c>
      <c r="Q337" s="294">
        <v>1</v>
      </c>
      <c r="R337" s="23"/>
      <c r="S337" s="148">
        <f t="shared" ref="S337:S382" si="26">P337+R337</f>
        <v>1200</v>
      </c>
      <c r="T337" s="148">
        <f ca="1">IF(S337=0,"",S337*(OFFSET(cod_desembolso!$A$1,Q337,23)))</f>
        <v>1247.0765814495917</v>
      </c>
      <c r="U337" s="149">
        <f>(constantes!$B$3*(1+constantes!$B$3)^(O337))/((1+constantes!$B$3)^(O337)-1)</f>
        <v>9.3678779051968114E-2</v>
      </c>
      <c r="V337" s="148">
        <f t="shared" ca="1" si="25"/>
        <v>116.82461153450002</v>
      </c>
      <c r="W337" s="148">
        <f ca="1">(IF(S337=0,"",V337/constantes!$B$3))*1</f>
        <v>1460.3076441812502</v>
      </c>
      <c r="X337" s="150">
        <f ca="1">IF(S337=0,"",PV(constantes!$B$3,O337,-V337)*constantes!$B$3)</f>
        <v>99.766126515967343</v>
      </c>
      <c r="Y337" s="85">
        <f t="shared" ref="Y337:Y382" si="27">S337/E337*1000</f>
        <v>800</v>
      </c>
      <c r="Z337">
        <v>277</v>
      </c>
    </row>
    <row r="338" spans="1:26">
      <c r="A338" s="290">
        <v>7003</v>
      </c>
      <c r="B338" s="23" t="str">
        <f t="shared" si="24"/>
        <v>SE-Sul_1500__kV_3</v>
      </c>
      <c r="C338" s="23">
        <v>801</v>
      </c>
      <c r="D338" s="142" t="str">
        <f>VLOOKUP(C338,tab_corredor!$A$2:$B$50,2,0)</f>
        <v>SE-Sul</v>
      </c>
      <c r="E338" s="23">
        <v>1500</v>
      </c>
      <c r="F338" s="23" t="s">
        <v>2724</v>
      </c>
      <c r="G338" s="23">
        <v>1500</v>
      </c>
      <c r="H338" s="23">
        <v>1500</v>
      </c>
      <c r="I338" s="394">
        <v>5.0000000000000004E-6</v>
      </c>
      <c r="J338" s="394">
        <v>5.0000000000000004E-6</v>
      </c>
      <c r="K338" s="290">
        <v>1</v>
      </c>
      <c r="L338" s="291" t="s">
        <v>2672</v>
      </c>
      <c r="M338" s="23">
        <v>2015</v>
      </c>
      <c r="N338" s="23">
        <v>2100</v>
      </c>
      <c r="O338" s="292">
        <v>25</v>
      </c>
      <c r="P338" s="293">
        <v>1200</v>
      </c>
      <c r="Q338" s="294">
        <v>1</v>
      </c>
      <c r="R338" s="23"/>
      <c r="S338" s="148">
        <f t="shared" si="26"/>
        <v>1200</v>
      </c>
      <c r="T338" s="148">
        <f ca="1">IF(S338=0,"",S338*(OFFSET(cod_desembolso!$A$1,Q338,23)))</f>
        <v>1247.0765814495917</v>
      </c>
      <c r="U338" s="149">
        <f>(constantes!$B$3*(1+constantes!$B$3)^(O338))/((1+constantes!$B$3)^(O338)-1)</f>
        <v>9.3678779051968114E-2</v>
      </c>
      <c r="V338" s="148">
        <f t="shared" ca="1" si="25"/>
        <v>116.82461153450002</v>
      </c>
      <c r="W338" s="148">
        <f ca="1">(IF(S338=0,"",V338/constantes!$B$3))*1</f>
        <v>1460.3076441812502</v>
      </c>
      <c r="X338" s="150">
        <f ca="1">IF(S338=0,"",PV(constantes!$B$3,O338,-V338)*constantes!$B$3)</f>
        <v>99.766126515967343</v>
      </c>
      <c r="Y338" s="85">
        <f t="shared" si="27"/>
        <v>800</v>
      </c>
      <c r="Z338">
        <v>3</v>
      </c>
    </row>
    <row r="339" spans="1:26">
      <c r="A339" s="290">
        <v>7004</v>
      </c>
      <c r="B339" s="23" t="str">
        <f t="shared" si="24"/>
        <v>SE-Sul_1500__kV_4</v>
      </c>
      <c r="C339" s="23">
        <v>801</v>
      </c>
      <c r="D339" s="142" t="str">
        <f>VLOOKUP(C339,tab_corredor!$A$2:$B$50,2,0)</f>
        <v>SE-Sul</v>
      </c>
      <c r="E339" s="23">
        <v>1500</v>
      </c>
      <c r="F339" s="23" t="s">
        <v>2724</v>
      </c>
      <c r="G339" s="23">
        <v>1500</v>
      </c>
      <c r="H339" s="23">
        <v>1500</v>
      </c>
      <c r="I339" s="394">
        <v>5.0000000000000004E-6</v>
      </c>
      <c r="J339" s="394">
        <v>5.0000000000000004E-6</v>
      </c>
      <c r="K339" s="290">
        <v>1</v>
      </c>
      <c r="L339" s="291" t="s">
        <v>2672</v>
      </c>
      <c r="M339" s="23">
        <v>2015</v>
      </c>
      <c r="N339" s="23">
        <v>2100</v>
      </c>
      <c r="O339" s="292">
        <v>25</v>
      </c>
      <c r="P339" s="293">
        <v>1200</v>
      </c>
      <c r="Q339" s="294">
        <v>1</v>
      </c>
      <c r="R339" s="23"/>
      <c r="S339" s="148">
        <f t="shared" si="26"/>
        <v>1200</v>
      </c>
      <c r="T339" s="148">
        <f ca="1">IF(S339=0,"",S339*(OFFSET(cod_desembolso!$A$1,Q339,23)))</f>
        <v>1247.0765814495917</v>
      </c>
      <c r="U339" s="149">
        <f>(constantes!$B$3*(1+constantes!$B$3)^(O339))/((1+constantes!$B$3)^(O339)-1)</f>
        <v>9.3678779051968114E-2</v>
      </c>
      <c r="V339" s="148">
        <f t="shared" ca="1" si="25"/>
        <v>116.82461153450002</v>
      </c>
      <c r="W339" s="148">
        <f ca="1">(IF(S339=0,"",V339/constantes!$B$3))*1</f>
        <v>1460.3076441812502</v>
      </c>
      <c r="X339" s="150">
        <f ca="1">IF(S339=0,"",PV(constantes!$B$3,O339,-V339)*constantes!$B$3)</f>
        <v>99.766126515967343</v>
      </c>
      <c r="Y339" s="85">
        <f t="shared" si="27"/>
        <v>800</v>
      </c>
      <c r="Z339">
        <v>4</v>
      </c>
    </row>
    <row r="340" spans="1:26">
      <c r="A340" s="290">
        <v>7005</v>
      </c>
      <c r="B340" s="23" t="str">
        <f t="shared" si="24"/>
        <v>SE-Sul_1500__kV_5</v>
      </c>
      <c r="C340" s="23">
        <v>801</v>
      </c>
      <c r="D340" s="142" t="str">
        <f>VLOOKUP(C340,tab_corredor!$A$2:$B$50,2,0)</f>
        <v>SE-Sul</v>
      </c>
      <c r="E340" s="23">
        <v>1500</v>
      </c>
      <c r="F340" s="23" t="s">
        <v>2724</v>
      </c>
      <c r="G340" s="23">
        <v>1500</v>
      </c>
      <c r="H340" s="23">
        <v>1500</v>
      </c>
      <c r="I340" s="394">
        <v>5.0000000000000004E-6</v>
      </c>
      <c r="J340" s="394">
        <v>5.0000000000000004E-6</v>
      </c>
      <c r="K340" s="290">
        <v>1</v>
      </c>
      <c r="L340" s="291" t="s">
        <v>2672</v>
      </c>
      <c r="M340" s="23">
        <v>2015</v>
      </c>
      <c r="N340" s="23">
        <v>2100</v>
      </c>
      <c r="O340" s="292">
        <v>25</v>
      </c>
      <c r="P340" s="293">
        <v>1200</v>
      </c>
      <c r="Q340" s="294">
        <v>1</v>
      </c>
      <c r="R340" s="23"/>
      <c r="S340" s="148">
        <f t="shared" si="26"/>
        <v>1200</v>
      </c>
      <c r="T340" s="148">
        <f ca="1">IF(S340=0,"",S340*(OFFSET(cod_desembolso!$A$1,Q340,23)))</f>
        <v>1247.0765814495917</v>
      </c>
      <c r="U340" s="149">
        <f>(constantes!$B$3*(1+constantes!$B$3)^(O340))/((1+constantes!$B$3)^(O340)-1)</f>
        <v>9.3678779051968114E-2</v>
      </c>
      <c r="V340" s="148">
        <f t="shared" ca="1" si="25"/>
        <v>116.82461153450002</v>
      </c>
      <c r="W340" s="148">
        <f ca="1">(IF(S340=0,"",V340/constantes!$B$3))*1</f>
        <v>1460.3076441812502</v>
      </c>
      <c r="X340" s="150">
        <f ca="1">IF(S340=0,"",PV(constantes!$B$3,O340,-V340)*constantes!$B$3)</f>
        <v>99.766126515967343</v>
      </c>
      <c r="Y340" s="85">
        <f t="shared" si="27"/>
        <v>800</v>
      </c>
      <c r="Z340">
        <v>5</v>
      </c>
    </row>
    <row r="341" spans="1:26">
      <c r="A341" s="290">
        <v>7006</v>
      </c>
      <c r="B341" s="23" t="str">
        <f t="shared" si="24"/>
        <v>SE-Sul_1500__kV_6</v>
      </c>
      <c r="C341" s="23">
        <v>801</v>
      </c>
      <c r="D341" s="142" t="str">
        <f>VLOOKUP(C341,tab_corredor!$A$2:$B$50,2,0)</f>
        <v>SE-Sul</v>
      </c>
      <c r="E341" s="23">
        <v>1500</v>
      </c>
      <c r="F341" s="23" t="s">
        <v>2724</v>
      </c>
      <c r="G341" s="23">
        <v>1500</v>
      </c>
      <c r="H341" s="23">
        <v>1500</v>
      </c>
      <c r="I341" s="394">
        <v>5.0000000000000004E-6</v>
      </c>
      <c r="J341" s="394">
        <v>5.0000000000000004E-6</v>
      </c>
      <c r="K341" s="290">
        <v>1</v>
      </c>
      <c r="L341" s="291" t="s">
        <v>2672</v>
      </c>
      <c r="M341" s="23">
        <v>2015</v>
      </c>
      <c r="N341" s="23">
        <v>2100</v>
      </c>
      <c r="O341" s="292">
        <v>25</v>
      </c>
      <c r="P341" s="293">
        <v>1200</v>
      </c>
      <c r="Q341" s="294">
        <v>1</v>
      </c>
      <c r="R341" s="23"/>
      <c r="S341" s="148">
        <f t="shared" si="26"/>
        <v>1200</v>
      </c>
      <c r="T341" s="148">
        <f ca="1">IF(S341=0,"",S341*(OFFSET(cod_desembolso!$A$1,Q341,23)))</f>
        <v>1247.0765814495917</v>
      </c>
      <c r="U341" s="149">
        <f>(constantes!$B$3*(1+constantes!$B$3)^(O341))/((1+constantes!$B$3)^(O341)-1)</f>
        <v>9.3678779051968114E-2</v>
      </c>
      <c r="V341" s="148">
        <f t="shared" ca="1" si="25"/>
        <v>116.82461153450002</v>
      </c>
      <c r="W341" s="148">
        <f ca="1">(IF(S341=0,"",V341/constantes!$B$3))*1</f>
        <v>1460.3076441812502</v>
      </c>
      <c r="X341" s="150">
        <f ca="1">IF(S341=0,"",PV(constantes!$B$3,O341,-V341)*constantes!$B$3)</f>
        <v>99.766126515967343</v>
      </c>
      <c r="Y341" s="85">
        <f t="shared" si="27"/>
        <v>800</v>
      </c>
      <c r="Z341">
        <v>6</v>
      </c>
    </row>
    <row r="342" spans="1:26">
      <c r="A342" s="290">
        <v>7007</v>
      </c>
      <c r="B342" s="23" t="str">
        <f t="shared" si="24"/>
        <v>SE-Sul_1500__kV_7</v>
      </c>
      <c r="C342" s="23">
        <v>801</v>
      </c>
      <c r="D342" s="142" t="str">
        <f>VLOOKUP(C342,tab_corredor!$A$2:$B$50,2,0)</f>
        <v>SE-Sul</v>
      </c>
      <c r="E342" s="23">
        <v>1500</v>
      </c>
      <c r="F342" s="23" t="s">
        <v>2724</v>
      </c>
      <c r="G342" s="23">
        <v>1500</v>
      </c>
      <c r="H342" s="23">
        <v>1500</v>
      </c>
      <c r="I342" s="394">
        <v>5.0000000000000004E-6</v>
      </c>
      <c r="J342" s="394">
        <v>5.0000000000000004E-6</v>
      </c>
      <c r="K342" s="290">
        <v>1</v>
      </c>
      <c r="L342" s="291" t="s">
        <v>2672</v>
      </c>
      <c r="M342" s="23">
        <v>2015</v>
      </c>
      <c r="N342" s="23">
        <v>2100</v>
      </c>
      <c r="O342" s="292">
        <v>25</v>
      </c>
      <c r="P342" s="293">
        <v>1200</v>
      </c>
      <c r="Q342" s="294">
        <v>1</v>
      </c>
      <c r="R342" s="23"/>
      <c r="S342" s="148">
        <f t="shared" si="26"/>
        <v>1200</v>
      </c>
      <c r="T342" s="148">
        <f ca="1">IF(S342=0,"",S342*(OFFSET(cod_desembolso!$A$1,Q342,23)))</f>
        <v>1247.0765814495917</v>
      </c>
      <c r="U342" s="149">
        <f>(constantes!$B$3*(1+constantes!$B$3)^(O342))/((1+constantes!$B$3)^(O342)-1)</f>
        <v>9.3678779051968114E-2</v>
      </c>
      <c r="V342" s="148">
        <f t="shared" ca="1" si="25"/>
        <v>116.82461153450002</v>
      </c>
      <c r="W342" s="148">
        <f ca="1">(IF(S342=0,"",V342/constantes!$B$3))*1</f>
        <v>1460.3076441812502</v>
      </c>
      <c r="X342" s="150">
        <f ca="1">IF(S342=0,"",PV(constantes!$B$3,O342,-V342)*constantes!$B$3)</f>
        <v>99.766126515967343</v>
      </c>
      <c r="Y342" s="85">
        <f t="shared" si="27"/>
        <v>800</v>
      </c>
      <c r="Z342">
        <v>7</v>
      </c>
    </row>
    <row r="343" spans="1:26">
      <c r="A343" s="290">
        <v>7008</v>
      </c>
      <c r="B343" s="23" t="str">
        <f t="shared" si="24"/>
        <v>SE-Sul_1500__kV_8</v>
      </c>
      <c r="C343" s="23">
        <v>801</v>
      </c>
      <c r="D343" s="142" t="str">
        <f>VLOOKUP(C343,tab_corredor!$A$2:$B$50,2,0)</f>
        <v>SE-Sul</v>
      </c>
      <c r="E343" s="23">
        <v>1500</v>
      </c>
      <c r="F343" s="23" t="s">
        <v>2724</v>
      </c>
      <c r="G343" s="23">
        <v>1500</v>
      </c>
      <c r="H343" s="23">
        <v>1500</v>
      </c>
      <c r="I343" s="394">
        <v>5.0000000000000004E-6</v>
      </c>
      <c r="J343" s="394">
        <v>5.0000000000000004E-6</v>
      </c>
      <c r="K343" s="290">
        <v>1</v>
      </c>
      <c r="L343" s="291" t="s">
        <v>2672</v>
      </c>
      <c r="M343" s="23">
        <v>2015</v>
      </c>
      <c r="N343" s="23">
        <v>2100</v>
      </c>
      <c r="O343" s="292">
        <v>25</v>
      </c>
      <c r="P343" s="293">
        <v>1200</v>
      </c>
      <c r="Q343" s="294">
        <v>1</v>
      </c>
      <c r="R343" s="23"/>
      <c r="S343" s="148">
        <f t="shared" si="26"/>
        <v>1200</v>
      </c>
      <c r="T343" s="148">
        <f ca="1">IF(S343=0,"",S343*(OFFSET(cod_desembolso!$A$1,Q343,23)))</f>
        <v>1247.0765814495917</v>
      </c>
      <c r="U343" s="149">
        <f>(constantes!$B$3*(1+constantes!$B$3)^(O343))/((1+constantes!$B$3)^(O343)-1)</f>
        <v>9.3678779051968114E-2</v>
      </c>
      <c r="V343" s="148">
        <f t="shared" ca="1" si="25"/>
        <v>116.82461153450002</v>
      </c>
      <c r="W343" s="148">
        <f ca="1">(IF(S343=0,"",V343/constantes!$B$3))*1</f>
        <v>1460.3076441812502</v>
      </c>
      <c r="X343" s="150">
        <f ca="1">IF(S343=0,"",PV(constantes!$B$3,O343,-V343)*constantes!$B$3)</f>
        <v>99.766126515967343</v>
      </c>
      <c r="Y343" s="85">
        <f t="shared" si="27"/>
        <v>800</v>
      </c>
      <c r="Z343">
        <v>8</v>
      </c>
    </row>
    <row r="344" spans="1:26">
      <c r="A344" s="290">
        <v>7009</v>
      </c>
      <c r="B344" s="23" t="str">
        <f t="shared" si="24"/>
        <v>SE-Sul_1500__kV_9</v>
      </c>
      <c r="C344" s="23">
        <v>801</v>
      </c>
      <c r="D344" s="142" t="str">
        <f>VLOOKUP(C344,tab_corredor!$A$2:$B$50,2,0)</f>
        <v>SE-Sul</v>
      </c>
      <c r="E344" s="23">
        <v>1500</v>
      </c>
      <c r="F344" s="23" t="s">
        <v>2724</v>
      </c>
      <c r="G344" s="23">
        <v>1500</v>
      </c>
      <c r="H344" s="23">
        <v>1500</v>
      </c>
      <c r="I344" s="394">
        <v>5.0000000000000004E-6</v>
      </c>
      <c r="J344" s="394">
        <v>5.0000000000000004E-6</v>
      </c>
      <c r="K344" s="290">
        <v>1</v>
      </c>
      <c r="L344" s="291" t="s">
        <v>2672</v>
      </c>
      <c r="M344" s="23">
        <v>2015</v>
      </c>
      <c r="N344" s="23">
        <v>2100</v>
      </c>
      <c r="O344" s="292">
        <v>25</v>
      </c>
      <c r="P344" s="293">
        <v>1200</v>
      </c>
      <c r="Q344" s="294">
        <v>1</v>
      </c>
      <c r="R344" s="23"/>
      <c r="S344" s="148">
        <f t="shared" si="26"/>
        <v>1200</v>
      </c>
      <c r="T344" s="148">
        <f ca="1">IF(S344=0,"",S344*(OFFSET(cod_desembolso!$A$1,Q344,23)))</f>
        <v>1247.0765814495917</v>
      </c>
      <c r="U344" s="149">
        <f>(constantes!$B$3*(1+constantes!$B$3)^(O344))/((1+constantes!$B$3)^(O344)-1)</f>
        <v>9.3678779051968114E-2</v>
      </c>
      <c r="V344" s="148">
        <f t="shared" ca="1" si="25"/>
        <v>116.82461153450002</v>
      </c>
      <c r="W344" s="148">
        <f ca="1">(IF(S344=0,"",V344/constantes!$B$3))*1</f>
        <v>1460.3076441812502</v>
      </c>
      <c r="X344" s="150">
        <f ca="1">IF(S344=0,"",PV(constantes!$B$3,O344,-V344)*constantes!$B$3)</f>
        <v>99.766126515967343</v>
      </c>
      <c r="Y344" s="85">
        <f t="shared" si="27"/>
        <v>800</v>
      </c>
      <c r="Z344">
        <v>9</v>
      </c>
    </row>
    <row r="345" spans="1:26">
      <c r="A345" s="290">
        <v>7227</v>
      </c>
      <c r="B345" s="23" t="str">
        <f t="shared" si="24"/>
        <v>Tap-N_1500__kV_227</v>
      </c>
      <c r="C345" s="23">
        <v>814</v>
      </c>
      <c r="D345" s="142" t="str">
        <f>VLOOKUP(C345,tab_corredor!$A$2:$B$50,2,0)</f>
        <v>Tap-N</v>
      </c>
      <c r="E345" s="23">
        <v>1500</v>
      </c>
      <c r="F345" s="23" t="s">
        <v>2724</v>
      </c>
      <c r="G345" s="23">
        <v>1500</v>
      </c>
      <c r="H345" s="23">
        <v>1500</v>
      </c>
      <c r="I345" s="394">
        <v>5.0000000000000004E-6</v>
      </c>
      <c r="J345" s="394">
        <v>5.0000000000000004E-6</v>
      </c>
      <c r="K345" s="290">
        <v>1</v>
      </c>
      <c r="L345" s="291" t="s">
        <v>2672</v>
      </c>
      <c r="M345" s="23">
        <v>2015</v>
      </c>
      <c r="N345" s="23">
        <v>2100</v>
      </c>
      <c r="O345" s="292">
        <v>25</v>
      </c>
      <c r="P345" s="293">
        <v>2700</v>
      </c>
      <c r="Q345" s="294">
        <v>1</v>
      </c>
      <c r="R345" s="23"/>
      <c r="S345" s="409">
        <f t="shared" si="26"/>
        <v>2700</v>
      </c>
      <c r="T345" s="148">
        <f ca="1">IF(S345=0,"",S345*(OFFSET(cod_desembolso!$A$1,Q345,23)))</f>
        <v>2805.9223082615817</v>
      </c>
      <c r="U345" s="149">
        <f>(constantes!$B$3*(1+constantes!$B$3)^(O345))/((1+constantes!$B$3)^(O345)-1)</f>
        <v>9.3678779051968114E-2</v>
      </c>
      <c r="V345" s="148">
        <f t="shared" ca="1" si="25"/>
        <v>262.85537595262508</v>
      </c>
      <c r="W345" s="148">
        <f ca="1">(IF(S345=0,"",V345/constantes!$B$3))*1</f>
        <v>3285.6921994078134</v>
      </c>
      <c r="X345" s="150">
        <f ca="1">IF(S345=0,"",PV(constantes!$B$3,O345,-V345)*constantes!$B$3)</f>
        <v>224.47378466092658</v>
      </c>
      <c r="Y345" s="85">
        <f t="shared" si="27"/>
        <v>1800</v>
      </c>
      <c r="Z345">
        <v>227</v>
      </c>
    </row>
    <row r="346" spans="1:26">
      <c r="A346" s="290">
        <v>7228</v>
      </c>
      <c r="B346" s="23" t="str">
        <f t="shared" si="24"/>
        <v>Tap-N_1500__kV_228</v>
      </c>
      <c r="C346" s="23">
        <v>814</v>
      </c>
      <c r="D346" s="142" t="str">
        <f>VLOOKUP(C346,tab_corredor!$A$2:$B$50,2,0)</f>
        <v>Tap-N</v>
      </c>
      <c r="E346" s="23">
        <v>1500</v>
      </c>
      <c r="F346" s="23" t="s">
        <v>2724</v>
      </c>
      <c r="G346" s="23">
        <v>1500</v>
      </c>
      <c r="H346" s="23">
        <v>1500</v>
      </c>
      <c r="I346" s="394">
        <v>5.0000000000000004E-6</v>
      </c>
      <c r="J346" s="394">
        <v>5.0000000000000004E-6</v>
      </c>
      <c r="K346" s="290">
        <v>1</v>
      </c>
      <c r="L346" s="291" t="s">
        <v>2672</v>
      </c>
      <c r="M346" s="23">
        <v>2015</v>
      </c>
      <c r="N346" s="23">
        <v>2100</v>
      </c>
      <c r="O346" s="292">
        <v>25</v>
      </c>
      <c r="P346" s="293">
        <v>2700</v>
      </c>
      <c r="Q346" s="294">
        <v>1</v>
      </c>
      <c r="R346" s="23"/>
      <c r="S346" s="148">
        <f t="shared" si="26"/>
        <v>2700</v>
      </c>
      <c r="T346" s="148">
        <f ca="1">IF(S346=0,"",S346*(OFFSET(cod_desembolso!$A$1,Q346,23)))</f>
        <v>2805.9223082615817</v>
      </c>
      <c r="U346" s="149">
        <f>(constantes!$B$3*(1+constantes!$B$3)^(O346))/((1+constantes!$B$3)^(O346)-1)</f>
        <v>9.3678779051968114E-2</v>
      </c>
      <c r="V346" s="148">
        <f t="shared" ca="1" si="25"/>
        <v>262.85537595262508</v>
      </c>
      <c r="W346" s="148">
        <f ca="1">(IF(S346=0,"",V346/constantes!$B$3))*1</f>
        <v>3285.6921994078134</v>
      </c>
      <c r="X346" s="150">
        <f ca="1">IF(S346=0,"",PV(constantes!$B$3,O346,-V346)*constantes!$B$3)</f>
        <v>224.47378466092658</v>
      </c>
      <c r="Y346" s="85">
        <f t="shared" si="27"/>
        <v>1800</v>
      </c>
      <c r="Z346">
        <v>228</v>
      </c>
    </row>
    <row r="347" spans="1:26">
      <c r="A347" s="290">
        <v>7229</v>
      </c>
      <c r="B347" s="23" t="str">
        <f t="shared" si="24"/>
        <v>Tap-N_1500__kV_229</v>
      </c>
      <c r="C347" s="23">
        <v>814</v>
      </c>
      <c r="D347" s="142" t="str">
        <f>VLOOKUP(C347,tab_corredor!$A$2:$B$50,2,0)</f>
        <v>Tap-N</v>
      </c>
      <c r="E347" s="23">
        <v>1500</v>
      </c>
      <c r="F347" s="23" t="s">
        <v>2724</v>
      </c>
      <c r="G347" s="23">
        <v>1500</v>
      </c>
      <c r="H347" s="23">
        <v>1500</v>
      </c>
      <c r="I347" s="394">
        <v>5.0000000000000004E-6</v>
      </c>
      <c r="J347" s="394">
        <v>5.0000000000000004E-6</v>
      </c>
      <c r="K347" s="290">
        <v>1</v>
      </c>
      <c r="L347" s="291" t="s">
        <v>2672</v>
      </c>
      <c r="M347" s="23">
        <v>2015</v>
      </c>
      <c r="N347" s="23">
        <v>2100</v>
      </c>
      <c r="O347" s="292">
        <v>25</v>
      </c>
      <c r="P347" s="293">
        <v>2700</v>
      </c>
      <c r="Q347" s="294">
        <v>1</v>
      </c>
      <c r="R347" s="23"/>
      <c r="S347" s="148">
        <f t="shared" si="26"/>
        <v>2700</v>
      </c>
      <c r="T347" s="148">
        <f ca="1">IF(S347=0,"",S347*(OFFSET(cod_desembolso!$A$1,Q347,23)))</f>
        <v>2805.9223082615817</v>
      </c>
      <c r="U347" s="149">
        <f>(constantes!$B$3*(1+constantes!$B$3)^(O347))/((1+constantes!$B$3)^(O347)-1)</f>
        <v>9.3678779051968114E-2</v>
      </c>
      <c r="V347" s="148">
        <f t="shared" ca="1" si="25"/>
        <v>262.85537595262508</v>
      </c>
      <c r="W347" s="148">
        <f ca="1">(IF(S347=0,"",V347/constantes!$B$3))*1</f>
        <v>3285.6921994078134</v>
      </c>
      <c r="X347" s="150">
        <f ca="1">IF(S347=0,"",PV(constantes!$B$3,O347,-V347)*constantes!$B$3)</f>
        <v>224.47378466092658</v>
      </c>
      <c r="Y347" s="85">
        <f t="shared" si="27"/>
        <v>1800</v>
      </c>
      <c r="Z347">
        <v>229</v>
      </c>
    </row>
    <row r="348" spans="1:26">
      <c r="A348" s="290">
        <v>7230</v>
      </c>
      <c r="B348" s="23" t="str">
        <f t="shared" si="24"/>
        <v>Tap-N_1500__kV_230</v>
      </c>
      <c r="C348" s="23">
        <v>814</v>
      </c>
      <c r="D348" s="142" t="str">
        <f>VLOOKUP(C348,tab_corredor!$A$2:$B$50,2,0)</f>
        <v>Tap-N</v>
      </c>
      <c r="E348" s="23">
        <v>1500</v>
      </c>
      <c r="F348" s="23" t="s">
        <v>2724</v>
      </c>
      <c r="G348" s="23">
        <v>1500</v>
      </c>
      <c r="H348" s="23">
        <v>1500</v>
      </c>
      <c r="I348" s="394">
        <v>5.0000000000000004E-6</v>
      </c>
      <c r="J348" s="394">
        <v>5.0000000000000004E-6</v>
      </c>
      <c r="K348" s="290">
        <v>1</v>
      </c>
      <c r="L348" s="291" t="s">
        <v>2672</v>
      </c>
      <c r="M348" s="23">
        <v>2015</v>
      </c>
      <c r="N348" s="23">
        <v>2100</v>
      </c>
      <c r="O348" s="292">
        <v>25</v>
      </c>
      <c r="P348" s="293">
        <v>2700</v>
      </c>
      <c r="Q348" s="294">
        <v>1</v>
      </c>
      <c r="R348" s="23"/>
      <c r="S348" s="148">
        <f t="shared" si="26"/>
        <v>2700</v>
      </c>
      <c r="T348" s="148">
        <f ca="1">IF(S348=0,"",S348*(OFFSET(cod_desembolso!$A$1,Q348,23)))</f>
        <v>2805.9223082615817</v>
      </c>
      <c r="U348" s="149">
        <f>(constantes!$B$3*(1+constantes!$B$3)^(O348))/((1+constantes!$B$3)^(O348)-1)</f>
        <v>9.3678779051968114E-2</v>
      </c>
      <c r="V348" s="148">
        <f t="shared" ca="1" si="25"/>
        <v>262.85537595262508</v>
      </c>
      <c r="W348" s="148">
        <f ca="1">(IF(S348=0,"",V348/constantes!$B$3))*1</f>
        <v>3285.6921994078134</v>
      </c>
      <c r="X348" s="150">
        <f ca="1">IF(S348=0,"",PV(constantes!$B$3,O348,-V348)*constantes!$B$3)</f>
        <v>224.47378466092658</v>
      </c>
      <c r="Y348" s="85">
        <f t="shared" si="27"/>
        <v>1800</v>
      </c>
      <c r="Z348">
        <v>230</v>
      </c>
    </row>
    <row r="349" spans="1:26">
      <c r="A349" s="290">
        <v>7231</v>
      </c>
      <c r="B349" s="23" t="str">
        <f t="shared" si="24"/>
        <v>Tap-N_1500__kV_231</v>
      </c>
      <c r="C349" s="23">
        <v>814</v>
      </c>
      <c r="D349" s="142" t="str">
        <f>VLOOKUP(C349,tab_corredor!$A$2:$B$50,2,0)</f>
        <v>Tap-N</v>
      </c>
      <c r="E349" s="23">
        <v>1500</v>
      </c>
      <c r="F349" s="23" t="s">
        <v>2724</v>
      </c>
      <c r="G349" s="23">
        <v>1500</v>
      </c>
      <c r="H349" s="23">
        <v>1500</v>
      </c>
      <c r="I349" s="394">
        <v>5.0000000000000004E-6</v>
      </c>
      <c r="J349" s="394">
        <v>5.0000000000000004E-6</v>
      </c>
      <c r="K349" s="290">
        <v>1</v>
      </c>
      <c r="L349" s="291" t="s">
        <v>2672</v>
      </c>
      <c r="M349" s="23">
        <v>2015</v>
      </c>
      <c r="N349" s="23">
        <v>2100</v>
      </c>
      <c r="O349" s="292">
        <v>25</v>
      </c>
      <c r="P349" s="293">
        <v>2700</v>
      </c>
      <c r="Q349" s="294">
        <v>1</v>
      </c>
      <c r="R349" s="23"/>
      <c r="S349" s="148">
        <f t="shared" si="26"/>
        <v>2700</v>
      </c>
      <c r="T349" s="148">
        <f ca="1">IF(S349=0,"",S349*(OFFSET(cod_desembolso!$A$1,Q349,23)))</f>
        <v>2805.9223082615817</v>
      </c>
      <c r="U349" s="149">
        <f>(constantes!$B$3*(1+constantes!$B$3)^(O349))/((1+constantes!$B$3)^(O349)-1)</f>
        <v>9.3678779051968114E-2</v>
      </c>
      <c r="V349" s="148">
        <f t="shared" ca="1" si="25"/>
        <v>262.85537595262508</v>
      </c>
      <c r="W349" s="148">
        <f ca="1">(IF(S349=0,"",V349/constantes!$B$3))*1</f>
        <v>3285.6921994078134</v>
      </c>
      <c r="X349" s="150">
        <f ca="1">IF(S349=0,"",PV(constantes!$B$3,O349,-V349)*constantes!$B$3)</f>
        <v>224.47378466092658</v>
      </c>
      <c r="Y349" s="85">
        <f t="shared" si="27"/>
        <v>1800</v>
      </c>
      <c r="Z349">
        <v>231</v>
      </c>
    </row>
    <row r="350" spans="1:26">
      <c r="A350" s="290">
        <v>7232</v>
      </c>
      <c r="B350" s="23" t="str">
        <f t="shared" si="24"/>
        <v>Tap-N_1500__kV_232</v>
      </c>
      <c r="C350" s="23">
        <v>814</v>
      </c>
      <c r="D350" s="142" t="str">
        <f>VLOOKUP(C350,tab_corredor!$A$2:$B$50,2,0)</f>
        <v>Tap-N</v>
      </c>
      <c r="E350" s="23">
        <v>1500</v>
      </c>
      <c r="F350" s="23" t="s">
        <v>2724</v>
      </c>
      <c r="G350" s="23">
        <v>1500</v>
      </c>
      <c r="H350" s="23">
        <v>1500</v>
      </c>
      <c r="I350" s="394">
        <v>5.0000000000000004E-6</v>
      </c>
      <c r="J350" s="394">
        <v>5.0000000000000004E-6</v>
      </c>
      <c r="K350" s="290">
        <v>1</v>
      </c>
      <c r="L350" s="291" t="s">
        <v>2672</v>
      </c>
      <c r="M350" s="23">
        <v>2015</v>
      </c>
      <c r="N350" s="23">
        <v>2100</v>
      </c>
      <c r="O350" s="292">
        <v>25</v>
      </c>
      <c r="P350" s="293">
        <v>2700</v>
      </c>
      <c r="Q350" s="294">
        <v>1</v>
      </c>
      <c r="R350" s="23"/>
      <c r="S350" s="148">
        <f t="shared" si="26"/>
        <v>2700</v>
      </c>
      <c r="T350" s="148">
        <f ca="1">IF(S350=0,"",S350*(OFFSET(cod_desembolso!$A$1,Q350,23)))</f>
        <v>2805.9223082615817</v>
      </c>
      <c r="U350" s="149">
        <f>(constantes!$B$3*(1+constantes!$B$3)^(O350))/((1+constantes!$B$3)^(O350)-1)</f>
        <v>9.3678779051968114E-2</v>
      </c>
      <c r="V350" s="148">
        <f t="shared" ca="1" si="25"/>
        <v>262.85537595262508</v>
      </c>
      <c r="W350" s="148">
        <f ca="1">(IF(S350=0,"",V350/constantes!$B$3))*1</f>
        <v>3285.6921994078134</v>
      </c>
      <c r="X350" s="150">
        <f ca="1">IF(S350=0,"",PV(constantes!$B$3,O350,-V350)*constantes!$B$3)</f>
        <v>224.47378466092658</v>
      </c>
      <c r="Y350" s="85">
        <f t="shared" si="27"/>
        <v>1800</v>
      </c>
      <c r="Z350">
        <v>232</v>
      </c>
    </row>
    <row r="351" spans="1:26">
      <c r="A351" s="290">
        <v>7233</v>
      </c>
      <c r="B351" s="23" t="str">
        <f t="shared" si="24"/>
        <v>Tap-N_1500__kV_233</v>
      </c>
      <c r="C351" s="23">
        <v>814</v>
      </c>
      <c r="D351" s="142" t="str">
        <f>VLOOKUP(C351,tab_corredor!$A$2:$B$50,2,0)</f>
        <v>Tap-N</v>
      </c>
      <c r="E351" s="23">
        <v>1500</v>
      </c>
      <c r="F351" s="23" t="s">
        <v>2724</v>
      </c>
      <c r="G351" s="23">
        <v>1500</v>
      </c>
      <c r="H351" s="23">
        <v>1500</v>
      </c>
      <c r="I351" s="394">
        <v>5.0000000000000004E-6</v>
      </c>
      <c r="J351" s="394">
        <v>5.0000000000000004E-6</v>
      </c>
      <c r="K351" s="290">
        <v>1</v>
      </c>
      <c r="L351" s="291" t="s">
        <v>2672</v>
      </c>
      <c r="M351" s="23">
        <v>2015</v>
      </c>
      <c r="N351" s="23">
        <v>2100</v>
      </c>
      <c r="O351" s="292">
        <v>25</v>
      </c>
      <c r="P351" s="293">
        <v>2700</v>
      </c>
      <c r="Q351" s="294">
        <v>1</v>
      </c>
      <c r="R351" s="23"/>
      <c r="S351" s="148">
        <f t="shared" si="26"/>
        <v>2700</v>
      </c>
      <c r="T351" s="148">
        <f ca="1">IF(S351=0,"",S351*(OFFSET(cod_desembolso!$A$1,Q351,23)))</f>
        <v>2805.9223082615817</v>
      </c>
      <c r="U351" s="149">
        <f>(constantes!$B$3*(1+constantes!$B$3)^(O351))/((1+constantes!$B$3)^(O351)-1)</f>
        <v>9.3678779051968114E-2</v>
      </c>
      <c r="V351" s="148">
        <f t="shared" ca="1" si="25"/>
        <v>262.85537595262508</v>
      </c>
      <c r="W351" s="148">
        <f ca="1">(IF(S351=0,"",V351/constantes!$B$3))*1</f>
        <v>3285.6921994078134</v>
      </c>
      <c r="X351" s="150">
        <f ca="1">IF(S351=0,"",PV(constantes!$B$3,O351,-V351)*constantes!$B$3)</f>
        <v>224.47378466092658</v>
      </c>
      <c r="Y351" s="85">
        <f t="shared" si="27"/>
        <v>1800</v>
      </c>
      <c r="Z351">
        <v>233</v>
      </c>
    </row>
    <row r="352" spans="1:26">
      <c r="A352" s="290">
        <v>7234</v>
      </c>
      <c r="B352" s="23" t="str">
        <f t="shared" si="24"/>
        <v>Tap-N_1500__kV_234</v>
      </c>
      <c r="C352" s="23">
        <v>814</v>
      </c>
      <c r="D352" s="142" t="str">
        <f>VLOOKUP(C352,tab_corredor!$A$2:$B$50,2,0)</f>
        <v>Tap-N</v>
      </c>
      <c r="E352" s="23">
        <v>1500</v>
      </c>
      <c r="F352" s="23" t="s">
        <v>2724</v>
      </c>
      <c r="G352" s="23">
        <v>1500</v>
      </c>
      <c r="H352" s="23">
        <v>1500</v>
      </c>
      <c r="I352" s="394">
        <v>5.0000000000000004E-6</v>
      </c>
      <c r="J352" s="394">
        <v>5.0000000000000004E-6</v>
      </c>
      <c r="K352" s="290">
        <v>1</v>
      </c>
      <c r="L352" s="291" t="s">
        <v>2672</v>
      </c>
      <c r="M352" s="23">
        <v>2015</v>
      </c>
      <c r="N352" s="23">
        <v>2100</v>
      </c>
      <c r="O352" s="292">
        <v>25</v>
      </c>
      <c r="P352" s="293">
        <v>2700</v>
      </c>
      <c r="Q352" s="294">
        <v>1</v>
      </c>
      <c r="R352" s="23"/>
      <c r="S352" s="148">
        <f t="shared" si="26"/>
        <v>2700</v>
      </c>
      <c r="T352" s="148">
        <f ca="1">IF(S352=0,"",S352*(OFFSET(cod_desembolso!$A$1,Q352,23)))</f>
        <v>2805.9223082615817</v>
      </c>
      <c r="U352" s="149">
        <f>(constantes!$B$3*(1+constantes!$B$3)^(O352))/((1+constantes!$B$3)^(O352)-1)</f>
        <v>9.3678779051968114E-2</v>
      </c>
      <c r="V352" s="148">
        <f t="shared" ca="1" si="25"/>
        <v>262.85537595262508</v>
      </c>
      <c r="W352" s="148">
        <f ca="1">(IF(S352=0,"",V352/constantes!$B$3))*1</f>
        <v>3285.6921994078134</v>
      </c>
      <c r="X352" s="150">
        <f ca="1">IF(S352=0,"",PV(constantes!$B$3,O352,-V352)*constantes!$B$3)</f>
        <v>224.47378466092658</v>
      </c>
      <c r="Y352" s="85">
        <f t="shared" si="27"/>
        <v>1800</v>
      </c>
      <c r="Z352">
        <v>234</v>
      </c>
    </row>
    <row r="353" spans="1:26">
      <c r="A353" s="290">
        <v>7235</v>
      </c>
      <c r="B353" s="23" t="str">
        <f t="shared" si="24"/>
        <v>Tap-N_1500__kV_235</v>
      </c>
      <c r="C353" s="23">
        <v>814</v>
      </c>
      <c r="D353" s="142" t="str">
        <f>VLOOKUP(C353,tab_corredor!$A$2:$B$50,2,0)</f>
        <v>Tap-N</v>
      </c>
      <c r="E353" s="23">
        <v>1500</v>
      </c>
      <c r="F353" s="23" t="s">
        <v>2724</v>
      </c>
      <c r="G353" s="23">
        <v>1500</v>
      </c>
      <c r="H353" s="23">
        <v>1500</v>
      </c>
      <c r="I353" s="394">
        <v>5.0000000000000004E-6</v>
      </c>
      <c r="J353" s="394">
        <v>5.0000000000000004E-6</v>
      </c>
      <c r="K353" s="290">
        <v>1</v>
      </c>
      <c r="L353" s="291" t="s">
        <v>2672</v>
      </c>
      <c r="M353" s="23">
        <v>2015</v>
      </c>
      <c r="N353" s="23">
        <v>2100</v>
      </c>
      <c r="O353" s="292">
        <v>25</v>
      </c>
      <c r="P353" s="293">
        <v>2700</v>
      </c>
      <c r="Q353" s="294">
        <v>1</v>
      </c>
      <c r="R353" s="23"/>
      <c r="S353" s="148">
        <f t="shared" si="26"/>
        <v>2700</v>
      </c>
      <c r="T353" s="148">
        <f ca="1">IF(S353=0,"",S353*(OFFSET(cod_desembolso!$A$1,Q353,23)))</f>
        <v>2805.9223082615817</v>
      </c>
      <c r="U353" s="149">
        <f>(constantes!$B$3*(1+constantes!$B$3)^(O353))/((1+constantes!$B$3)^(O353)-1)</f>
        <v>9.3678779051968114E-2</v>
      </c>
      <c r="V353" s="148">
        <f t="shared" ca="1" si="25"/>
        <v>262.85537595262508</v>
      </c>
      <c r="W353" s="148">
        <f ca="1">(IF(S353=0,"",V353/constantes!$B$3))*1</f>
        <v>3285.6921994078134</v>
      </c>
      <c r="X353" s="150">
        <f ca="1">IF(S353=0,"",PV(constantes!$B$3,O353,-V353)*constantes!$B$3)</f>
        <v>224.47378466092658</v>
      </c>
      <c r="Y353" s="85">
        <f t="shared" si="27"/>
        <v>1800</v>
      </c>
      <c r="Z353">
        <v>235</v>
      </c>
    </row>
    <row r="354" spans="1:26">
      <c r="A354" s="290">
        <v>7236</v>
      </c>
      <c r="B354" s="23" t="str">
        <f t="shared" si="24"/>
        <v>Tap-N_1500__kV_236</v>
      </c>
      <c r="C354" s="23">
        <v>814</v>
      </c>
      <c r="D354" s="142" t="str">
        <f>VLOOKUP(C354,tab_corredor!$A$2:$B$50,2,0)</f>
        <v>Tap-N</v>
      </c>
      <c r="E354" s="23">
        <v>1500</v>
      </c>
      <c r="F354" s="23" t="s">
        <v>2724</v>
      </c>
      <c r="G354" s="23">
        <v>1500</v>
      </c>
      <c r="H354" s="23">
        <v>1500</v>
      </c>
      <c r="I354" s="394">
        <v>5.0000000000000004E-6</v>
      </c>
      <c r="J354" s="394">
        <v>5.0000000000000004E-6</v>
      </c>
      <c r="K354" s="290">
        <v>1</v>
      </c>
      <c r="L354" s="291" t="s">
        <v>2672</v>
      </c>
      <c r="M354" s="23">
        <v>2015</v>
      </c>
      <c r="N354" s="23">
        <v>2100</v>
      </c>
      <c r="O354" s="292">
        <v>25</v>
      </c>
      <c r="P354" s="293">
        <v>2700</v>
      </c>
      <c r="Q354" s="294">
        <v>1</v>
      </c>
      <c r="R354" s="23"/>
      <c r="S354" s="148">
        <f t="shared" si="26"/>
        <v>2700</v>
      </c>
      <c r="T354" s="148">
        <f ca="1">IF(S354=0,"",S354*(OFFSET(cod_desembolso!$A$1,Q354,23)))</f>
        <v>2805.9223082615817</v>
      </c>
      <c r="U354" s="149">
        <f>(constantes!$B$3*(1+constantes!$B$3)^(O354))/((1+constantes!$B$3)^(O354)-1)</f>
        <v>9.3678779051968114E-2</v>
      </c>
      <c r="V354" s="148">
        <f t="shared" ca="1" si="25"/>
        <v>262.85537595262508</v>
      </c>
      <c r="W354" s="148">
        <f ca="1">(IF(S354=0,"",V354/constantes!$B$3))*1</f>
        <v>3285.6921994078134</v>
      </c>
      <c r="X354" s="150">
        <f ca="1">IF(S354=0,"",PV(constantes!$B$3,O354,-V354)*constantes!$B$3)</f>
        <v>224.47378466092658</v>
      </c>
      <c r="Y354" s="85">
        <f t="shared" si="27"/>
        <v>1800</v>
      </c>
      <c r="Z354">
        <v>236</v>
      </c>
    </row>
    <row r="355" spans="1:26">
      <c r="A355" s="290">
        <v>7237</v>
      </c>
      <c r="B355" s="23" t="str">
        <f t="shared" si="24"/>
        <v>Tap-N_1500__kV_237</v>
      </c>
      <c r="C355" s="23">
        <v>814</v>
      </c>
      <c r="D355" s="142" t="str">
        <f>VLOOKUP(C355,tab_corredor!$A$2:$B$50,2,0)</f>
        <v>Tap-N</v>
      </c>
      <c r="E355" s="23">
        <v>1500</v>
      </c>
      <c r="F355" s="23" t="s">
        <v>2724</v>
      </c>
      <c r="G355" s="23">
        <v>1500</v>
      </c>
      <c r="H355" s="23">
        <v>1500</v>
      </c>
      <c r="I355" s="394">
        <v>5.0000000000000004E-6</v>
      </c>
      <c r="J355" s="394">
        <v>5.0000000000000004E-6</v>
      </c>
      <c r="K355" s="290">
        <v>1</v>
      </c>
      <c r="L355" s="291" t="s">
        <v>2672</v>
      </c>
      <c r="M355" s="23">
        <v>2015</v>
      </c>
      <c r="N355" s="23">
        <v>2100</v>
      </c>
      <c r="O355" s="292">
        <v>25</v>
      </c>
      <c r="P355" s="293">
        <v>2700</v>
      </c>
      <c r="Q355" s="294">
        <v>1</v>
      </c>
      <c r="R355" s="23"/>
      <c r="S355" s="148">
        <f t="shared" si="26"/>
        <v>2700</v>
      </c>
      <c r="T355" s="148">
        <f ca="1">IF(S355=0,"",S355*(OFFSET(cod_desembolso!$A$1,Q355,23)))</f>
        <v>2805.9223082615817</v>
      </c>
      <c r="U355" s="149">
        <f>(constantes!$B$3*(1+constantes!$B$3)^(O355))/((1+constantes!$B$3)^(O355)-1)</f>
        <v>9.3678779051968114E-2</v>
      </c>
      <c r="V355" s="148">
        <f t="shared" ca="1" si="25"/>
        <v>262.85537595262508</v>
      </c>
      <c r="W355" s="148">
        <f ca="1">(IF(S355=0,"",V355/constantes!$B$3))*1</f>
        <v>3285.6921994078134</v>
      </c>
      <c r="X355" s="150">
        <f ca="1">IF(S355=0,"",PV(constantes!$B$3,O355,-V355)*constantes!$B$3)</f>
        <v>224.47378466092658</v>
      </c>
      <c r="Y355" s="85">
        <f t="shared" si="27"/>
        <v>1800</v>
      </c>
      <c r="Z355">
        <v>237</v>
      </c>
    </row>
    <row r="356" spans="1:26">
      <c r="A356" s="290">
        <v>7238</v>
      </c>
      <c r="B356" s="23" t="str">
        <f t="shared" si="24"/>
        <v>Tap-N_1500__kV_238</v>
      </c>
      <c r="C356" s="23">
        <v>814</v>
      </c>
      <c r="D356" s="142" t="str">
        <f>VLOOKUP(C356,tab_corredor!$A$2:$B$50,2,0)</f>
        <v>Tap-N</v>
      </c>
      <c r="E356" s="23">
        <v>1500</v>
      </c>
      <c r="F356" s="23" t="s">
        <v>2724</v>
      </c>
      <c r="G356" s="23">
        <v>1500</v>
      </c>
      <c r="H356" s="23">
        <v>1500</v>
      </c>
      <c r="I356" s="394">
        <v>5.0000000000000004E-6</v>
      </c>
      <c r="J356" s="394">
        <v>5.0000000000000004E-6</v>
      </c>
      <c r="K356" s="290">
        <v>1</v>
      </c>
      <c r="L356" s="291" t="s">
        <v>2672</v>
      </c>
      <c r="M356" s="23">
        <v>2015</v>
      </c>
      <c r="N356" s="23">
        <v>2100</v>
      </c>
      <c r="O356" s="292">
        <v>25</v>
      </c>
      <c r="P356" s="293">
        <v>2700</v>
      </c>
      <c r="Q356" s="294">
        <v>1</v>
      </c>
      <c r="R356" s="23"/>
      <c r="S356" s="148">
        <f t="shared" si="26"/>
        <v>2700</v>
      </c>
      <c r="T356" s="148">
        <f ca="1">IF(S356=0,"",S356*(OFFSET(cod_desembolso!$A$1,Q356,23)))</f>
        <v>2805.9223082615817</v>
      </c>
      <c r="U356" s="149">
        <f>(constantes!$B$3*(1+constantes!$B$3)^(O356))/((1+constantes!$B$3)^(O356)-1)</f>
        <v>9.3678779051968114E-2</v>
      </c>
      <c r="V356" s="148">
        <f t="shared" ca="1" si="25"/>
        <v>262.85537595262508</v>
      </c>
      <c r="W356" s="148">
        <f ca="1">(IF(S356=0,"",V356/constantes!$B$3))*1</f>
        <v>3285.6921994078134</v>
      </c>
      <c r="X356" s="150">
        <f ca="1">IF(S356=0,"",PV(constantes!$B$3,O356,-V356)*constantes!$B$3)</f>
        <v>224.47378466092658</v>
      </c>
      <c r="Y356" s="85">
        <f t="shared" si="27"/>
        <v>1800</v>
      </c>
      <c r="Z356">
        <v>238</v>
      </c>
    </row>
    <row r="357" spans="1:26">
      <c r="A357" s="290">
        <v>7239</v>
      </c>
      <c r="B357" s="23" t="str">
        <f t="shared" si="24"/>
        <v>Tap-SE/CO_1500__kV_239</v>
      </c>
      <c r="C357" s="23">
        <v>815</v>
      </c>
      <c r="D357" s="142" t="str">
        <f>VLOOKUP(C357,tab_corredor!$A$2:$B$50,2,0)</f>
        <v>Tap-SE/CO</v>
      </c>
      <c r="E357" s="23">
        <v>1500</v>
      </c>
      <c r="F357" s="23" t="s">
        <v>2724</v>
      </c>
      <c r="G357" s="23">
        <v>1500</v>
      </c>
      <c r="H357" s="23">
        <v>1500</v>
      </c>
      <c r="I357" s="394">
        <v>5.0000000000000004E-6</v>
      </c>
      <c r="J357" s="394">
        <v>5.0000000000000004E-6</v>
      </c>
      <c r="K357" s="290">
        <v>1</v>
      </c>
      <c r="L357" s="291" t="s">
        <v>2672</v>
      </c>
      <c r="M357" s="23">
        <v>2015</v>
      </c>
      <c r="N357" s="23">
        <v>2100</v>
      </c>
      <c r="O357" s="292">
        <v>25</v>
      </c>
      <c r="P357" s="293">
        <v>2700</v>
      </c>
      <c r="Q357" s="294">
        <v>1</v>
      </c>
      <c r="R357" s="23"/>
      <c r="S357" s="148">
        <f t="shared" si="26"/>
        <v>2700</v>
      </c>
      <c r="T357" s="148">
        <f ca="1">IF(S357=0,"",S357*(OFFSET(cod_desembolso!$A$1,Q357,23)))</f>
        <v>2805.9223082615817</v>
      </c>
      <c r="U357" s="149">
        <f>(constantes!$B$3*(1+constantes!$B$3)^(O357))/((1+constantes!$B$3)^(O357)-1)</f>
        <v>9.3678779051968114E-2</v>
      </c>
      <c r="V357" s="148">
        <f t="shared" ca="1" si="25"/>
        <v>262.85537595262508</v>
      </c>
      <c r="W357" s="148">
        <f ca="1">(IF(S357=0,"",V357/constantes!$B$3))*1</f>
        <v>3285.6921994078134</v>
      </c>
      <c r="X357" s="150">
        <f ca="1">IF(S357=0,"",PV(constantes!$B$3,O357,-V357)*constantes!$B$3)</f>
        <v>224.47378466092658</v>
      </c>
      <c r="Y357" s="85">
        <f t="shared" si="27"/>
        <v>1800</v>
      </c>
      <c r="Z357">
        <v>239</v>
      </c>
    </row>
    <row r="358" spans="1:26">
      <c r="A358" s="290">
        <v>7240</v>
      </c>
      <c r="B358" s="23" t="str">
        <f t="shared" si="24"/>
        <v>Tap-SE/CO_1500__kV_240</v>
      </c>
      <c r="C358" s="23">
        <v>815</v>
      </c>
      <c r="D358" s="142" t="str">
        <f>VLOOKUP(C358,tab_corredor!$A$2:$B$50,2,0)</f>
        <v>Tap-SE/CO</v>
      </c>
      <c r="E358" s="23">
        <v>1500</v>
      </c>
      <c r="F358" s="23" t="s">
        <v>2724</v>
      </c>
      <c r="G358" s="23">
        <v>1500</v>
      </c>
      <c r="H358" s="23">
        <v>1500</v>
      </c>
      <c r="I358" s="394">
        <v>5.0000000000000004E-6</v>
      </c>
      <c r="J358" s="394">
        <v>5.0000000000000004E-6</v>
      </c>
      <c r="K358" s="290">
        <v>1</v>
      </c>
      <c r="L358" s="291" t="s">
        <v>2672</v>
      </c>
      <c r="M358" s="23">
        <v>2015</v>
      </c>
      <c r="N358" s="23">
        <v>2100</v>
      </c>
      <c r="O358" s="292">
        <v>25</v>
      </c>
      <c r="P358" s="293">
        <v>2700</v>
      </c>
      <c r="Q358" s="294">
        <v>1</v>
      </c>
      <c r="R358" s="23"/>
      <c r="S358" s="148">
        <f t="shared" si="26"/>
        <v>2700</v>
      </c>
      <c r="T358" s="148">
        <f ca="1">IF(S358=0,"",S358*(OFFSET(cod_desembolso!$A$1,Q358,23)))</f>
        <v>2805.9223082615817</v>
      </c>
      <c r="U358" s="149">
        <f>(constantes!$B$3*(1+constantes!$B$3)^(O358))/((1+constantes!$B$3)^(O358)-1)</f>
        <v>9.3678779051968114E-2</v>
      </c>
      <c r="V358" s="148">
        <f t="shared" ca="1" si="25"/>
        <v>262.85537595262508</v>
      </c>
      <c r="W358" s="148">
        <f ca="1">(IF(S358=0,"",V358/constantes!$B$3))*1</f>
        <v>3285.6921994078134</v>
      </c>
      <c r="X358" s="150">
        <f ca="1">IF(S358=0,"",PV(constantes!$B$3,O358,-V358)*constantes!$B$3)</f>
        <v>224.47378466092658</v>
      </c>
      <c r="Y358" s="85">
        <f t="shared" si="27"/>
        <v>1800</v>
      </c>
      <c r="Z358">
        <v>240</v>
      </c>
    </row>
    <row r="359" spans="1:26">
      <c r="A359" s="290">
        <v>7241</v>
      </c>
      <c r="B359" s="23" t="str">
        <f t="shared" si="24"/>
        <v>Tap-SE/CO_1500__kV_241</v>
      </c>
      <c r="C359" s="23">
        <v>815</v>
      </c>
      <c r="D359" s="142" t="str">
        <f>VLOOKUP(C359,tab_corredor!$A$2:$B$50,2,0)</f>
        <v>Tap-SE/CO</v>
      </c>
      <c r="E359" s="23">
        <v>1500</v>
      </c>
      <c r="F359" s="23" t="s">
        <v>2724</v>
      </c>
      <c r="G359" s="23">
        <v>1500</v>
      </c>
      <c r="H359" s="23">
        <v>1500</v>
      </c>
      <c r="I359" s="394">
        <v>5.0000000000000004E-6</v>
      </c>
      <c r="J359" s="394">
        <v>5.0000000000000004E-6</v>
      </c>
      <c r="K359" s="290">
        <v>1</v>
      </c>
      <c r="L359" s="291" t="s">
        <v>2672</v>
      </c>
      <c r="M359" s="23">
        <v>2015</v>
      </c>
      <c r="N359" s="23">
        <v>2100</v>
      </c>
      <c r="O359" s="292">
        <v>25</v>
      </c>
      <c r="P359" s="293">
        <v>2700</v>
      </c>
      <c r="Q359" s="294">
        <v>1</v>
      </c>
      <c r="R359" s="23"/>
      <c r="S359" s="148">
        <f t="shared" si="26"/>
        <v>2700</v>
      </c>
      <c r="T359" s="148">
        <f ca="1">IF(S359=0,"",S359*(OFFSET(cod_desembolso!$A$1,Q359,23)))</f>
        <v>2805.9223082615817</v>
      </c>
      <c r="U359" s="149">
        <f>(constantes!$B$3*(1+constantes!$B$3)^(O359))/((1+constantes!$B$3)^(O359)-1)</f>
        <v>9.3678779051968114E-2</v>
      </c>
      <c r="V359" s="148">
        <f t="shared" ca="1" si="25"/>
        <v>262.85537595262508</v>
      </c>
      <c r="W359" s="148">
        <f ca="1">(IF(S359=0,"",V359/constantes!$B$3))*1</f>
        <v>3285.6921994078134</v>
      </c>
      <c r="X359" s="150">
        <f ca="1">IF(S359=0,"",PV(constantes!$B$3,O359,-V359)*constantes!$B$3)</f>
        <v>224.47378466092658</v>
      </c>
      <c r="Y359" s="85">
        <f t="shared" si="27"/>
        <v>1800</v>
      </c>
      <c r="Z359">
        <v>241</v>
      </c>
    </row>
    <row r="360" spans="1:26">
      <c r="A360" s="290">
        <v>7242</v>
      </c>
      <c r="B360" s="23" t="str">
        <f t="shared" si="24"/>
        <v>Tap-SE/CO_1500__kV_242</v>
      </c>
      <c r="C360" s="23">
        <v>815</v>
      </c>
      <c r="D360" s="142" t="str">
        <f>VLOOKUP(C360,tab_corredor!$A$2:$B$50,2,0)</f>
        <v>Tap-SE/CO</v>
      </c>
      <c r="E360" s="23">
        <v>1500</v>
      </c>
      <c r="F360" s="23" t="s">
        <v>2724</v>
      </c>
      <c r="G360" s="23">
        <v>1500</v>
      </c>
      <c r="H360" s="23">
        <v>1500</v>
      </c>
      <c r="I360" s="394">
        <v>5.0000000000000004E-6</v>
      </c>
      <c r="J360" s="394">
        <v>5.0000000000000004E-6</v>
      </c>
      <c r="K360" s="290">
        <v>1</v>
      </c>
      <c r="L360" s="291" t="s">
        <v>2672</v>
      </c>
      <c r="M360" s="23">
        <v>2015</v>
      </c>
      <c r="N360" s="23">
        <v>2100</v>
      </c>
      <c r="O360" s="292">
        <v>25</v>
      </c>
      <c r="P360" s="293">
        <v>2700</v>
      </c>
      <c r="Q360" s="294">
        <v>1</v>
      </c>
      <c r="R360" s="23"/>
      <c r="S360" s="148">
        <f t="shared" si="26"/>
        <v>2700</v>
      </c>
      <c r="T360" s="148">
        <f ca="1">IF(S360=0,"",S360*(OFFSET(cod_desembolso!$A$1,Q360,23)))</f>
        <v>2805.9223082615817</v>
      </c>
      <c r="U360" s="149">
        <f>(constantes!$B$3*(1+constantes!$B$3)^(O360))/((1+constantes!$B$3)^(O360)-1)</f>
        <v>9.3678779051968114E-2</v>
      </c>
      <c r="V360" s="148">
        <f t="shared" ca="1" si="25"/>
        <v>262.85537595262508</v>
      </c>
      <c r="W360" s="148">
        <f ca="1">(IF(S360=0,"",V360/constantes!$B$3))*1</f>
        <v>3285.6921994078134</v>
      </c>
      <c r="X360" s="150">
        <f ca="1">IF(S360=0,"",PV(constantes!$B$3,O360,-V360)*constantes!$B$3)</f>
        <v>224.47378466092658</v>
      </c>
      <c r="Y360" s="85">
        <f t="shared" si="27"/>
        <v>1800</v>
      </c>
      <c r="Z360">
        <v>242</v>
      </c>
    </row>
    <row r="361" spans="1:26">
      <c r="A361" s="290">
        <v>7243</v>
      </c>
      <c r="B361" s="23" t="str">
        <f t="shared" si="24"/>
        <v>Tap-SE/CO_1500__kV_243</v>
      </c>
      <c r="C361" s="23">
        <v>815</v>
      </c>
      <c r="D361" s="142" t="str">
        <f>VLOOKUP(C361,tab_corredor!$A$2:$B$50,2,0)</f>
        <v>Tap-SE/CO</v>
      </c>
      <c r="E361" s="23">
        <v>1500</v>
      </c>
      <c r="F361" s="23" t="s">
        <v>2724</v>
      </c>
      <c r="G361" s="23">
        <v>1500</v>
      </c>
      <c r="H361" s="23">
        <v>1500</v>
      </c>
      <c r="I361" s="394">
        <v>5.0000000000000004E-6</v>
      </c>
      <c r="J361" s="394">
        <v>5.0000000000000004E-6</v>
      </c>
      <c r="K361" s="290">
        <v>1</v>
      </c>
      <c r="L361" s="291" t="s">
        <v>2672</v>
      </c>
      <c r="M361" s="23">
        <v>2015</v>
      </c>
      <c r="N361" s="23">
        <v>2100</v>
      </c>
      <c r="O361" s="292">
        <v>25</v>
      </c>
      <c r="P361" s="293">
        <v>2700</v>
      </c>
      <c r="Q361" s="294">
        <v>1</v>
      </c>
      <c r="R361" s="23"/>
      <c r="S361" s="148">
        <f t="shared" si="26"/>
        <v>2700</v>
      </c>
      <c r="T361" s="148">
        <f ca="1">IF(S361=0,"",S361*(OFFSET(cod_desembolso!$A$1,Q361,23)))</f>
        <v>2805.9223082615817</v>
      </c>
      <c r="U361" s="149">
        <f>(constantes!$B$3*(1+constantes!$B$3)^(O361))/((1+constantes!$B$3)^(O361)-1)</f>
        <v>9.3678779051968114E-2</v>
      </c>
      <c r="V361" s="148">
        <f t="shared" ca="1" si="25"/>
        <v>262.85537595262508</v>
      </c>
      <c r="W361" s="148">
        <f ca="1">(IF(S361=0,"",V361/constantes!$B$3))*1</f>
        <v>3285.6921994078134</v>
      </c>
      <c r="X361" s="150">
        <f ca="1">IF(S361=0,"",PV(constantes!$B$3,O361,-V361)*constantes!$B$3)</f>
        <v>224.47378466092658</v>
      </c>
      <c r="Y361" s="85">
        <f t="shared" si="27"/>
        <v>1800</v>
      </c>
      <c r="Z361">
        <v>243</v>
      </c>
    </row>
    <row r="362" spans="1:26">
      <c r="A362" s="290">
        <v>7244</v>
      </c>
      <c r="B362" s="23" t="str">
        <f t="shared" si="24"/>
        <v>Tap-SE/CO_1500__kV_244</v>
      </c>
      <c r="C362" s="23">
        <v>815</v>
      </c>
      <c r="D362" s="142" t="str">
        <f>VLOOKUP(C362,tab_corredor!$A$2:$B$50,2,0)</f>
        <v>Tap-SE/CO</v>
      </c>
      <c r="E362" s="23">
        <v>1500</v>
      </c>
      <c r="F362" s="23" t="s">
        <v>2724</v>
      </c>
      <c r="G362" s="23">
        <v>1500</v>
      </c>
      <c r="H362" s="23">
        <v>1500</v>
      </c>
      <c r="I362" s="394">
        <v>5.0000000000000004E-6</v>
      </c>
      <c r="J362" s="394">
        <v>5.0000000000000004E-6</v>
      </c>
      <c r="K362" s="290">
        <v>1</v>
      </c>
      <c r="L362" s="291" t="s">
        <v>2672</v>
      </c>
      <c r="M362" s="23">
        <v>2015</v>
      </c>
      <c r="N362" s="23">
        <v>2100</v>
      </c>
      <c r="O362" s="292">
        <v>25</v>
      </c>
      <c r="P362" s="293">
        <v>2700</v>
      </c>
      <c r="Q362" s="294">
        <v>1</v>
      </c>
      <c r="R362" s="23"/>
      <c r="S362" s="148">
        <f t="shared" si="26"/>
        <v>2700</v>
      </c>
      <c r="T362" s="148">
        <f ca="1">IF(S362=0,"",S362*(OFFSET(cod_desembolso!$A$1,Q362,23)))</f>
        <v>2805.9223082615817</v>
      </c>
      <c r="U362" s="149">
        <f>(constantes!$B$3*(1+constantes!$B$3)^(O362))/((1+constantes!$B$3)^(O362)-1)</f>
        <v>9.3678779051968114E-2</v>
      </c>
      <c r="V362" s="148">
        <f t="shared" ca="1" si="25"/>
        <v>262.85537595262508</v>
      </c>
      <c r="W362" s="148">
        <f ca="1">(IF(S362=0,"",V362/constantes!$B$3))*1</f>
        <v>3285.6921994078134</v>
      </c>
      <c r="X362" s="150">
        <f ca="1">IF(S362=0,"",PV(constantes!$B$3,O362,-V362)*constantes!$B$3)</f>
        <v>224.47378466092658</v>
      </c>
      <c r="Y362" s="85">
        <f t="shared" si="27"/>
        <v>1800</v>
      </c>
      <c r="Z362">
        <v>244</v>
      </c>
    </row>
    <row r="363" spans="1:26">
      <c r="A363" s="290">
        <v>7245</v>
      </c>
      <c r="B363" s="23" t="str">
        <f t="shared" si="24"/>
        <v>Tap-SE/CO_1500__kV_245</v>
      </c>
      <c r="C363" s="23">
        <v>815</v>
      </c>
      <c r="D363" s="142" t="str">
        <f>VLOOKUP(C363,tab_corredor!$A$2:$B$50,2,0)</f>
        <v>Tap-SE/CO</v>
      </c>
      <c r="E363" s="23">
        <v>1500</v>
      </c>
      <c r="F363" s="23" t="s">
        <v>2724</v>
      </c>
      <c r="G363" s="23">
        <v>1500</v>
      </c>
      <c r="H363" s="23">
        <v>1500</v>
      </c>
      <c r="I363" s="394">
        <v>5.0000000000000004E-6</v>
      </c>
      <c r="J363" s="394">
        <v>5.0000000000000004E-6</v>
      </c>
      <c r="K363" s="290">
        <v>1</v>
      </c>
      <c r="L363" s="291" t="s">
        <v>2672</v>
      </c>
      <c r="M363" s="23">
        <v>2015</v>
      </c>
      <c r="N363" s="23">
        <v>2100</v>
      </c>
      <c r="O363" s="292">
        <v>25</v>
      </c>
      <c r="P363" s="293">
        <v>2700</v>
      </c>
      <c r="Q363" s="294">
        <v>1</v>
      </c>
      <c r="R363" s="23"/>
      <c r="S363" s="148">
        <f t="shared" si="26"/>
        <v>2700</v>
      </c>
      <c r="T363" s="148">
        <f ca="1">IF(S363=0,"",S363*(OFFSET(cod_desembolso!$A$1,Q363,23)))</f>
        <v>2805.9223082615817</v>
      </c>
      <c r="U363" s="149">
        <f>(constantes!$B$3*(1+constantes!$B$3)^(O363))/((1+constantes!$B$3)^(O363)-1)</f>
        <v>9.3678779051968114E-2</v>
      </c>
      <c r="V363" s="148">
        <f t="shared" ca="1" si="25"/>
        <v>262.85537595262508</v>
      </c>
      <c r="W363" s="148">
        <f ca="1">(IF(S363=0,"",V363/constantes!$B$3))*1</f>
        <v>3285.6921994078134</v>
      </c>
      <c r="X363" s="150">
        <f ca="1">IF(S363=0,"",PV(constantes!$B$3,O363,-V363)*constantes!$B$3)</f>
        <v>224.47378466092658</v>
      </c>
      <c r="Y363" s="85">
        <f t="shared" si="27"/>
        <v>1800</v>
      </c>
      <c r="Z363">
        <v>245</v>
      </c>
    </row>
    <row r="364" spans="1:26">
      <c r="A364" s="290">
        <v>7246</v>
      </c>
      <c r="B364" s="23" t="str">
        <f t="shared" si="24"/>
        <v>Tap-SE/CO_1500__kV_246</v>
      </c>
      <c r="C364" s="23">
        <v>815</v>
      </c>
      <c r="D364" s="142" t="str">
        <f>VLOOKUP(C364,tab_corredor!$A$2:$B$50,2,0)</f>
        <v>Tap-SE/CO</v>
      </c>
      <c r="E364" s="23">
        <v>1500</v>
      </c>
      <c r="F364" s="23" t="s">
        <v>2724</v>
      </c>
      <c r="G364" s="23">
        <v>1500</v>
      </c>
      <c r="H364" s="23">
        <v>1500</v>
      </c>
      <c r="I364" s="394">
        <v>5.0000000000000004E-6</v>
      </c>
      <c r="J364" s="394">
        <v>5.0000000000000004E-6</v>
      </c>
      <c r="K364" s="290">
        <v>1</v>
      </c>
      <c r="L364" s="291" t="s">
        <v>2672</v>
      </c>
      <c r="M364" s="23">
        <v>2015</v>
      </c>
      <c r="N364" s="23">
        <v>2100</v>
      </c>
      <c r="O364" s="292">
        <v>25</v>
      </c>
      <c r="P364" s="293">
        <v>2700</v>
      </c>
      <c r="Q364" s="294">
        <v>1</v>
      </c>
      <c r="R364" s="23"/>
      <c r="S364" s="148">
        <f t="shared" si="26"/>
        <v>2700</v>
      </c>
      <c r="T364" s="148">
        <f ca="1">IF(S364=0,"",S364*(OFFSET(cod_desembolso!$A$1,Q364,23)))</f>
        <v>2805.9223082615817</v>
      </c>
      <c r="U364" s="149">
        <f>(constantes!$B$3*(1+constantes!$B$3)^(O364))/((1+constantes!$B$3)^(O364)-1)</f>
        <v>9.3678779051968114E-2</v>
      </c>
      <c r="V364" s="148">
        <f t="shared" ca="1" si="25"/>
        <v>262.85537595262508</v>
      </c>
      <c r="W364" s="148">
        <f ca="1">(IF(S364=0,"",V364/constantes!$B$3))*1</f>
        <v>3285.6921994078134</v>
      </c>
      <c r="X364" s="150">
        <f ca="1">IF(S364=0,"",PV(constantes!$B$3,O364,-V364)*constantes!$B$3)</f>
        <v>224.47378466092658</v>
      </c>
      <c r="Y364" s="85">
        <f t="shared" si="27"/>
        <v>1800</v>
      </c>
      <c r="Z364">
        <v>246</v>
      </c>
    </row>
    <row r="365" spans="1:26">
      <c r="A365" s="290">
        <v>7247</v>
      </c>
      <c r="B365" s="23" t="str">
        <f t="shared" si="24"/>
        <v>Tap-SE/CO_1500__kV_247</v>
      </c>
      <c r="C365" s="23">
        <v>815</v>
      </c>
      <c r="D365" s="142" t="str">
        <f>VLOOKUP(C365,tab_corredor!$A$2:$B$50,2,0)</f>
        <v>Tap-SE/CO</v>
      </c>
      <c r="E365" s="23">
        <v>1500</v>
      </c>
      <c r="F365" s="23" t="s">
        <v>2724</v>
      </c>
      <c r="G365" s="23">
        <v>1500</v>
      </c>
      <c r="H365" s="23">
        <v>1500</v>
      </c>
      <c r="I365" s="394">
        <v>5.0000000000000004E-6</v>
      </c>
      <c r="J365" s="394">
        <v>5.0000000000000004E-6</v>
      </c>
      <c r="K365" s="290">
        <v>1</v>
      </c>
      <c r="L365" s="291" t="s">
        <v>2672</v>
      </c>
      <c r="M365" s="23">
        <v>2015</v>
      </c>
      <c r="N365" s="23">
        <v>2100</v>
      </c>
      <c r="O365" s="292">
        <v>25</v>
      </c>
      <c r="P365" s="293">
        <v>2700</v>
      </c>
      <c r="Q365" s="294">
        <v>1</v>
      </c>
      <c r="R365" s="23"/>
      <c r="S365" s="148">
        <f t="shared" si="26"/>
        <v>2700</v>
      </c>
      <c r="T365" s="148">
        <f ca="1">IF(S365=0,"",S365*(OFFSET(cod_desembolso!$A$1,Q365,23)))</f>
        <v>2805.9223082615817</v>
      </c>
      <c r="U365" s="149">
        <f>(constantes!$B$3*(1+constantes!$B$3)^(O365))/((1+constantes!$B$3)^(O365)-1)</f>
        <v>9.3678779051968114E-2</v>
      </c>
      <c r="V365" s="148">
        <f t="shared" ca="1" si="25"/>
        <v>262.85537595262508</v>
      </c>
      <c r="W365" s="148">
        <f ca="1">(IF(S365=0,"",V365/constantes!$B$3))*1</f>
        <v>3285.6921994078134</v>
      </c>
      <c r="X365" s="150">
        <f ca="1">IF(S365=0,"",PV(constantes!$B$3,O365,-V365)*constantes!$B$3)</f>
        <v>224.47378466092658</v>
      </c>
      <c r="Y365" s="85">
        <f t="shared" si="27"/>
        <v>1800</v>
      </c>
      <c r="Z365">
        <v>247</v>
      </c>
    </row>
    <row r="366" spans="1:26">
      <c r="A366" s="290">
        <v>7248</v>
      </c>
      <c r="B366" s="23" t="str">
        <f t="shared" si="24"/>
        <v>Tap-SE/CO_1500__kV_248</v>
      </c>
      <c r="C366" s="23">
        <v>815</v>
      </c>
      <c r="D366" s="142" t="str">
        <f>VLOOKUP(C366,tab_corredor!$A$2:$B$50,2,0)</f>
        <v>Tap-SE/CO</v>
      </c>
      <c r="E366" s="23">
        <v>1500</v>
      </c>
      <c r="F366" s="23" t="s">
        <v>2724</v>
      </c>
      <c r="G366" s="23">
        <v>1500</v>
      </c>
      <c r="H366" s="23">
        <v>1500</v>
      </c>
      <c r="I366" s="394">
        <v>5.0000000000000004E-6</v>
      </c>
      <c r="J366" s="394">
        <v>5.0000000000000004E-6</v>
      </c>
      <c r="K366" s="290">
        <v>1</v>
      </c>
      <c r="L366" s="291" t="s">
        <v>2672</v>
      </c>
      <c r="M366" s="23">
        <v>2015</v>
      </c>
      <c r="N366" s="23">
        <v>2100</v>
      </c>
      <c r="O366" s="292">
        <v>25</v>
      </c>
      <c r="P366" s="293">
        <v>2700</v>
      </c>
      <c r="Q366" s="294">
        <v>1</v>
      </c>
      <c r="R366" s="23"/>
      <c r="S366" s="148">
        <f t="shared" si="26"/>
        <v>2700</v>
      </c>
      <c r="T366" s="148">
        <f ca="1">IF(S366=0,"",S366*(OFFSET(cod_desembolso!$A$1,Q366,23)))</f>
        <v>2805.9223082615817</v>
      </c>
      <c r="U366" s="149">
        <f>(constantes!$B$3*(1+constantes!$B$3)^(O366))/((1+constantes!$B$3)^(O366)-1)</f>
        <v>9.3678779051968114E-2</v>
      </c>
      <c r="V366" s="148">
        <f t="shared" ca="1" si="25"/>
        <v>262.85537595262508</v>
      </c>
      <c r="W366" s="148">
        <f ca="1">(IF(S366=0,"",V366/constantes!$B$3))*1</f>
        <v>3285.6921994078134</v>
      </c>
      <c r="X366" s="150">
        <f ca="1">IF(S366=0,"",PV(constantes!$B$3,O366,-V366)*constantes!$B$3)</f>
        <v>224.47378466092658</v>
      </c>
      <c r="Y366" s="85">
        <f t="shared" si="27"/>
        <v>1800</v>
      </c>
      <c r="Z366">
        <v>248</v>
      </c>
    </row>
    <row r="367" spans="1:26">
      <c r="A367" s="290">
        <v>7249</v>
      </c>
      <c r="B367" s="23" t="str">
        <f t="shared" si="24"/>
        <v>Tap-SE/CO_1500__kV_249</v>
      </c>
      <c r="C367" s="23">
        <v>815</v>
      </c>
      <c r="D367" s="142" t="str">
        <f>VLOOKUP(C367,tab_corredor!$A$2:$B$50,2,0)</f>
        <v>Tap-SE/CO</v>
      </c>
      <c r="E367" s="23">
        <v>1500</v>
      </c>
      <c r="F367" s="23" t="s">
        <v>2724</v>
      </c>
      <c r="G367" s="23">
        <v>1500</v>
      </c>
      <c r="H367" s="23">
        <v>1500</v>
      </c>
      <c r="I367" s="394">
        <v>5.0000000000000004E-6</v>
      </c>
      <c r="J367" s="394">
        <v>5.0000000000000004E-6</v>
      </c>
      <c r="K367" s="290">
        <v>1</v>
      </c>
      <c r="L367" s="291" t="s">
        <v>2672</v>
      </c>
      <c r="M367" s="23">
        <v>2015</v>
      </c>
      <c r="N367" s="23">
        <v>2100</v>
      </c>
      <c r="O367" s="292">
        <v>25</v>
      </c>
      <c r="P367" s="293">
        <v>2700</v>
      </c>
      <c r="Q367" s="294">
        <v>1</v>
      </c>
      <c r="R367" s="23"/>
      <c r="S367" s="148">
        <f t="shared" si="26"/>
        <v>2700</v>
      </c>
      <c r="T367" s="148">
        <f ca="1">IF(S367=0,"",S367*(OFFSET(cod_desembolso!$A$1,Q367,23)))</f>
        <v>2805.9223082615817</v>
      </c>
      <c r="U367" s="149">
        <f>(constantes!$B$3*(1+constantes!$B$3)^(O367))/((1+constantes!$B$3)^(O367)-1)</f>
        <v>9.3678779051968114E-2</v>
      </c>
      <c r="V367" s="148">
        <f t="shared" ca="1" si="25"/>
        <v>262.85537595262508</v>
      </c>
      <c r="W367" s="148">
        <f ca="1">(IF(S367=0,"",V367/constantes!$B$3))*1</f>
        <v>3285.6921994078134</v>
      </c>
      <c r="X367" s="150">
        <f ca="1">IF(S367=0,"",PV(constantes!$B$3,O367,-V367)*constantes!$B$3)</f>
        <v>224.47378466092658</v>
      </c>
      <c r="Y367" s="85">
        <f t="shared" si="27"/>
        <v>1800</v>
      </c>
      <c r="Z367">
        <v>249</v>
      </c>
    </row>
    <row r="368" spans="1:26">
      <c r="A368" s="290">
        <v>7250</v>
      </c>
      <c r="B368" s="23" t="str">
        <f t="shared" si="24"/>
        <v>TelesP-SE_1500__kV_250</v>
      </c>
      <c r="C368" s="23">
        <v>816</v>
      </c>
      <c r="D368" s="142" t="str">
        <f>VLOOKUP(C368,tab_corredor!$A$2:$B$50,2,0)</f>
        <v>TelesP-SE</v>
      </c>
      <c r="E368" s="23">
        <v>1500</v>
      </c>
      <c r="F368" s="23" t="s">
        <v>2724</v>
      </c>
      <c r="G368" s="23">
        <v>1500</v>
      </c>
      <c r="H368" s="23">
        <v>1500</v>
      </c>
      <c r="I368" s="394">
        <v>5.0000000000000004E-6</v>
      </c>
      <c r="J368" s="394">
        <v>5.0000000000000004E-6</v>
      </c>
      <c r="K368" s="290">
        <v>1</v>
      </c>
      <c r="L368" s="291" t="s">
        <v>2672</v>
      </c>
      <c r="M368" s="23">
        <v>2015</v>
      </c>
      <c r="N368" s="23">
        <v>2100</v>
      </c>
      <c r="O368" s="292">
        <v>25</v>
      </c>
      <c r="P368" s="293">
        <v>2700</v>
      </c>
      <c r="Q368" s="294">
        <v>1</v>
      </c>
      <c r="R368" s="23"/>
      <c r="S368" s="148">
        <f t="shared" si="26"/>
        <v>2700</v>
      </c>
      <c r="T368" s="148">
        <f ca="1">IF(S368=0,"",S368*(OFFSET(cod_desembolso!$A$1,Q368,23)))</f>
        <v>2805.9223082615817</v>
      </c>
      <c r="U368" s="149">
        <f>(constantes!$B$3*(1+constantes!$B$3)^(O368))/((1+constantes!$B$3)^(O368)-1)</f>
        <v>9.3678779051968114E-2</v>
      </c>
      <c r="V368" s="148">
        <f t="shared" ca="1" si="25"/>
        <v>262.85537595262508</v>
      </c>
      <c r="W368" s="148">
        <f ca="1">(IF(S368=0,"",V368/constantes!$B$3))*1</f>
        <v>3285.6921994078134</v>
      </c>
      <c r="X368" s="150">
        <f ca="1">IF(S368=0,"",PV(constantes!$B$3,O368,-V368)*constantes!$B$3)</f>
        <v>224.47378466092658</v>
      </c>
      <c r="Y368" s="85">
        <f t="shared" si="27"/>
        <v>1800</v>
      </c>
      <c r="Z368">
        <v>250</v>
      </c>
    </row>
    <row r="369" spans="1:26">
      <c r="A369" s="290">
        <v>7251</v>
      </c>
      <c r="B369" s="23" t="str">
        <f t="shared" si="24"/>
        <v>TelesP-SE_1500__kV_251</v>
      </c>
      <c r="C369" s="23">
        <v>816</v>
      </c>
      <c r="D369" s="142" t="str">
        <f>VLOOKUP(C369,tab_corredor!$A$2:$B$50,2,0)</f>
        <v>TelesP-SE</v>
      </c>
      <c r="E369" s="23">
        <v>1500</v>
      </c>
      <c r="F369" s="23" t="s">
        <v>2724</v>
      </c>
      <c r="G369" s="23">
        <v>1500</v>
      </c>
      <c r="H369" s="23">
        <v>1500</v>
      </c>
      <c r="I369" s="394">
        <v>5.0000000000000004E-6</v>
      </c>
      <c r="J369" s="394">
        <v>5.0000000000000004E-6</v>
      </c>
      <c r="K369" s="290">
        <v>1</v>
      </c>
      <c r="L369" s="291" t="s">
        <v>2672</v>
      </c>
      <c r="M369" s="23">
        <v>2015</v>
      </c>
      <c r="N369" s="23">
        <v>2100</v>
      </c>
      <c r="O369" s="292">
        <v>25</v>
      </c>
      <c r="P369" s="293">
        <v>2700</v>
      </c>
      <c r="Q369" s="294">
        <v>1</v>
      </c>
      <c r="R369" s="23"/>
      <c r="S369" s="148">
        <f t="shared" si="26"/>
        <v>2700</v>
      </c>
      <c r="T369" s="148">
        <f ca="1">IF(S369=0,"",S369*(OFFSET(cod_desembolso!$A$1,Q369,23)))</f>
        <v>2805.9223082615817</v>
      </c>
      <c r="U369" s="149">
        <f>(constantes!$B$3*(1+constantes!$B$3)^(O369))/((1+constantes!$B$3)^(O369)-1)</f>
        <v>9.3678779051968114E-2</v>
      </c>
      <c r="V369" s="148">
        <f t="shared" ca="1" si="25"/>
        <v>262.85537595262508</v>
      </c>
      <c r="W369" s="148">
        <f ca="1">(IF(S369=0,"",V369/constantes!$B$3))*1</f>
        <v>3285.6921994078134</v>
      </c>
      <c r="X369" s="150">
        <f ca="1">IF(S369=0,"",PV(constantes!$B$3,O369,-V369)*constantes!$B$3)</f>
        <v>224.47378466092658</v>
      </c>
      <c r="Y369" s="85">
        <f t="shared" si="27"/>
        <v>1800</v>
      </c>
      <c r="Z369">
        <v>251</v>
      </c>
    </row>
    <row r="370" spans="1:26">
      <c r="A370" s="290">
        <v>7252</v>
      </c>
      <c r="B370" s="23" t="str">
        <f t="shared" si="24"/>
        <v>TelesP-SE_1500__kV_252</v>
      </c>
      <c r="C370" s="23">
        <v>816</v>
      </c>
      <c r="D370" s="142" t="str">
        <f>VLOOKUP(C370,tab_corredor!$A$2:$B$50,2,0)</f>
        <v>TelesP-SE</v>
      </c>
      <c r="E370" s="23">
        <v>1500</v>
      </c>
      <c r="F370" s="23" t="s">
        <v>2724</v>
      </c>
      <c r="G370" s="23">
        <v>1500</v>
      </c>
      <c r="H370" s="23">
        <v>1500</v>
      </c>
      <c r="I370" s="394">
        <v>5.0000000000000004E-6</v>
      </c>
      <c r="J370" s="394">
        <v>5.0000000000000004E-6</v>
      </c>
      <c r="K370" s="290">
        <v>1</v>
      </c>
      <c r="L370" s="291" t="s">
        <v>2672</v>
      </c>
      <c r="M370" s="23">
        <v>2015</v>
      </c>
      <c r="N370" s="23">
        <v>2100</v>
      </c>
      <c r="O370" s="292">
        <v>25</v>
      </c>
      <c r="P370" s="293">
        <v>2700</v>
      </c>
      <c r="Q370" s="294">
        <v>1</v>
      </c>
      <c r="R370" s="23"/>
      <c r="S370" s="148">
        <f t="shared" si="26"/>
        <v>2700</v>
      </c>
      <c r="T370" s="148">
        <f ca="1">IF(S370=0,"",S370*(OFFSET(cod_desembolso!$A$1,Q370,23)))</f>
        <v>2805.9223082615817</v>
      </c>
      <c r="U370" s="149">
        <f>(constantes!$B$3*(1+constantes!$B$3)^(O370))/((1+constantes!$B$3)^(O370)-1)</f>
        <v>9.3678779051968114E-2</v>
      </c>
      <c r="V370" s="148">
        <f t="shared" ca="1" si="25"/>
        <v>262.85537595262508</v>
      </c>
      <c r="W370" s="148">
        <f ca="1">(IF(S370=0,"",V370/constantes!$B$3))*1</f>
        <v>3285.6921994078134</v>
      </c>
      <c r="X370" s="150">
        <f ca="1">IF(S370=0,"",PV(constantes!$B$3,O370,-V370)*constantes!$B$3)</f>
        <v>224.47378466092658</v>
      </c>
      <c r="Y370" s="85">
        <f t="shared" si="27"/>
        <v>1800</v>
      </c>
      <c r="Z370">
        <v>252</v>
      </c>
    </row>
    <row r="371" spans="1:26">
      <c r="A371" s="290">
        <v>7253</v>
      </c>
      <c r="B371" s="23" t="str">
        <f t="shared" si="24"/>
        <v>TelesP-SE_1500__kV_253</v>
      </c>
      <c r="C371" s="23">
        <v>816</v>
      </c>
      <c r="D371" s="142" t="str">
        <f>VLOOKUP(C371,tab_corredor!$A$2:$B$50,2,0)</f>
        <v>TelesP-SE</v>
      </c>
      <c r="E371" s="23">
        <v>1500</v>
      </c>
      <c r="F371" s="23" t="s">
        <v>2724</v>
      </c>
      <c r="G371" s="23">
        <v>1500</v>
      </c>
      <c r="H371" s="23">
        <v>1500</v>
      </c>
      <c r="I371" s="394">
        <v>5.0000000000000004E-6</v>
      </c>
      <c r="J371" s="394">
        <v>5.0000000000000004E-6</v>
      </c>
      <c r="K371" s="290">
        <v>1</v>
      </c>
      <c r="L371" s="291" t="s">
        <v>2672</v>
      </c>
      <c r="M371" s="23">
        <v>2015</v>
      </c>
      <c r="N371" s="23">
        <v>2100</v>
      </c>
      <c r="O371" s="292">
        <v>25</v>
      </c>
      <c r="P371" s="293">
        <v>2700</v>
      </c>
      <c r="Q371" s="294">
        <v>1</v>
      </c>
      <c r="R371" s="23"/>
      <c r="S371" s="148">
        <f t="shared" si="26"/>
        <v>2700</v>
      </c>
      <c r="T371" s="148">
        <f ca="1">IF(S371=0,"",S371*(OFFSET(cod_desembolso!$A$1,Q371,23)))</f>
        <v>2805.9223082615817</v>
      </c>
      <c r="U371" s="149">
        <f>(constantes!$B$3*(1+constantes!$B$3)^(O371))/((1+constantes!$B$3)^(O371)-1)</f>
        <v>9.3678779051968114E-2</v>
      </c>
      <c r="V371" s="148">
        <f t="shared" ca="1" si="25"/>
        <v>262.85537595262508</v>
      </c>
      <c r="W371" s="148">
        <f ca="1">(IF(S371=0,"",V371/constantes!$B$3))*1</f>
        <v>3285.6921994078134</v>
      </c>
      <c r="X371" s="150">
        <f ca="1">IF(S371=0,"",PV(constantes!$B$3,O371,-V371)*constantes!$B$3)</f>
        <v>224.47378466092658</v>
      </c>
      <c r="Y371" s="85">
        <f t="shared" si="27"/>
        <v>1800</v>
      </c>
      <c r="Z371">
        <v>253</v>
      </c>
    </row>
    <row r="372" spans="1:26">
      <c r="A372" s="290">
        <v>7254</v>
      </c>
      <c r="B372" s="23" t="str">
        <f t="shared" si="24"/>
        <v>TelesP-SE_1500__kV_254</v>
      </c>
      <c r="C372" s="23">
        <v>816</v>
      </c>
      <c r="D372" s="142" t="str">
        <f>VLOOKUP(C372,tab_corredor!$A$2:$B$50,2,0)</f>
        <v>TelesP-SE</v>
      </c>
      <c r="E372" s="23">
        <v>1500</v>
      </c>
      <c r="F372" s="23" t="s">
        <v>2724</v>
      </c>
      <c r="G372" s="23">
        <v>1500</v>
      </c>
      <c r="H372" s="23">
        <v>1500</v>
      </c>
      <c r="I372" s="394">
        <v>5.0000000000000004E-6</v>
      </c>
      <c r="J372" s="394">
        <v>5.0000000000000004E-6</v>
      </c>
      <c r="K372" s="290">
        <v>1</v>
      </c>
      <c r="L372" s="291" t="s">
        <v>2672</v>
      </c>
      <c r="M372" s="23">
        <v>2015</v>
      </c>
      <c r="N372" s="23">
        <v>2100</v>
      </c>
      <c r="O372" s="292">
        <v>25</v>
      </c>
      <c r="P372" s="293">
        <v>2700</v>
      </c>
      <c r="Q372" s="294">
        <v>1</v>
      </c>
      <c r="R372" s="23"/>
      <c r="S372" s="148">
        <f t="shared" si="26"/>
        <v>2700</v>
      </c>
      <c r="T372" s="148">
        <f ca="1">IF(S372=0,"",S372*(OFFSET(cod_desembolso!$A$1,Q372,23)))</f>
        <v>2805.9223082615817</v>
      </c>
      <c r="U372" s="149">
        <f>(constantes!$B$3*(1+constantes!$B$3)^(O372))/((1+constantes!$B$3)^(O372)-1)</f>
        <v>9.3678779051968114E-2</v>
      </c>
      <c r="V372" s="148">
        <f t="shared" ca="1" si="25"/>
        <v>262.85537595262508</v>
      </c>
      <c r="W372" s="148">
        <f ca="1">(IF(S372=0,"",V372/constantes!$B$3))*1</f>
        <v>3285.6921994078134</v>
      </c>
      <c r="X372" s="150">
        <f ca="1">IF(S372=0,"",PV(constantes!$B$3,O372,-V372)*constantes!$B$3)</f>
        <v>224.47378466092658</v>
      </c>
      <c r="Y372" s="85">
        <f t="shared" si="27"/>
        <v>1800</v>
      </c>
      <c r="Z372">
        <v>254</v>
      </c>
    </row>
    <row r="373" spans="1:26">
      <c r="A373" s="290">
        <v>7255</v>
      </c>
      <c r="B373" s="23" t="str">
        <f t="shared" si="24"/>
        <v>TelesP-SE_1500__kV_255</v>
      </c>
      <c r="C373" s="23">
        <v>816</v>
      </c>
      <c r="D373" s="142" t="str">
        <f>VLOOKUP(C373,tab_corredor!$A$2:$B$50,2,0)</f>
        <v>TelesP-SE</v>
      </c>
      <c r="E373" s="23">
        <v>1500</v>
      </c>
      <c r="F373" s="23" t="s">
        <v>2724</v>
      </c>
      <c r="G373" s="23">
        <v>1500</v>
      </c>
      <c r="H373" s="23">
        <v>1500</v>
      </c>
      <c r="I373" s="394">
        <v>5.0000000000000004E-6</v>
      </c>
      <c r="J373" s="394">
        <v>5.0000000000000004E-6</v>
      </c>
      <c r="K373" s="290">
        <v>1</v>
      </c>
      <c r="L373" s="291" t="s">
        <v>2672</v>
      </c>
      <c r="M373" s="23">
        <v>2015</v>
      </c>
      <c r="N373" s="23">
        <v>2100</v>
      </c>
      <c r="O373" s="292">
        <v>25</v>
      </c>
      <c r="P373" s="293">
        <v>2700</v>
      </c>
      <c r="Q373" s="294">
        <v>1</v>
      </c>
      <c r="R373" s="23"/>
      <c r="S373" s="148">
        <f t="shared" si="26"/>
        <v>2700</v>
      </c>
      <c r="T373" s="148">
        <f ca="1">IF(S373=0,"",S373*(OFFSET(cod_desembolso!$A$1,Q373,23)))</f>
        <v>2805.9223082615817</v>
      </c>
      <c r="U373" s="149">
        <f>(constantes!$B$3*(1+constantes!$B$3)^(O373))/((1+constantes!$B$3)^(O373)-1)</f>
        <v>9.3678779051968114E-2</v>
      </c>
      <c r="V373" s="148">
        <f t="shared" ca="1" si="25"/>
        <v>262.85537595262508</v>
      </c>
      <c r="W373" s="148">
        <f ca="1">(IF(S373=0,"",V373/constantes!$B$3))*1</f>
        <v>3285.6921994078134</v>
      </c>
      <c r="X373" s="150">
        <f ca="1">IF(S373=0,"",PV(constantes!$B$3,O373,-V373)*constantes!$B$3)</f>
        <v>224.47378466092658</v>
      </c>
      <c r="Y373" s="85">
        <f t="shared" si="27"/>
        <v>1800</v>
      </c>
      <c r="Z373">
        <v>255</v>
      </c>
    </row>
    <row r="374" spans="1:26">
      <c r="A374" s="290">
        <v>7256</v>
      </c>
      <c r="B374" s="23" t="str">
        <f t="shared" si="24"/>
        <v>TelesP-SE_1500__kV_256</v>
      </c>
      <c r="C374" s="23">
        <v>816</v>
      </c>
      <c r="D374" s="142" t="str">
        <f>VLOOKUP(C374,tab_corredor!$A$2:$B$50,2,0)</f>
        <v>TelesP-SE</v>
      </c>
      <c r="E374" s="23">
        <v>1500</v>
      </c>
      <c r="F374" s="23" t="s">
        <v>2724</v>
      </c>
      <c r="G374" s="23">
        <v>1500</v>
      </c>
      <c r="H374" s="23">
        <v>1500</v>
      </c>
      <c r="I374" s="394">
        <v>5.0000000000000004E-6</v>
      </c>
      <c r="J374" s="394">
        <v>5.0000000000000004E-6</v>
      </c>
      <c r="K374" s="290">
        <v>1</v>
      </c>
      <c r="L374" s="291" t="s">
        <v>2672</v>
      </c>
      <c r="M374" s="23">
        <v>2015</v>
      </c>
      <c r="N374" s="23">
        <v>2100</v>
      </c>
      <c r="O374" s="292">
        <v>25</v>
      </c>
      <c r="P374" s="293">
        <v>2700</v>
      </c>
      <c r="Q374" s="294">
        <v>1</v>
      </c>
      <c r="R374" s="23"/>
      <c r="S374" s="148">
        <f t="shared" si="26"/>
        <v>2700</v>
      </c>
      <c r="T374" s="148">
        <f ca="1">IF(S374=0,"",S374*(OFFSET(cod_desembolso!$A$1,Q374,23)))</f>
        <v>2805.9223082615817</v>
      </c>
      <c r="U374" s="149">
        <f>(constantes!$B$3*(1+constantes!$B$3)^(O374))/((1+constantes!$B$3)^(O374)-1)</f>
        <v>9.3678779051968114E-2</v>
      </c>
      <c r="V374" s="148">
        <f t="shared" ca="1" si="25"/>
        <v>262.85537595262508</v>
      </c>
      <c r="W374" s="148">
        <f ca="1">(IF(S374=0,"",V374/constantes!$B$3))*1</f>
        <v>3285.6921994078134</v>
      </c>
      <c r="X374" s="150">
        <f ca="1">IF(S374=0,"",PV(constantes!$B$3,O374,-V374)*constantes!$B$3)</f>
        <v>224.47378466092658</v>
      </c>
      <c r="Y374" s="85">
        <f t="shared" si="27"/>
        <v>1800</v>
      </c>
      <c r="Z374">
        <v>256</v>
      </c>
    </row>
    <row r="375" spans="1:26">
      <c r="A375" s="290">
        <v>7257</v>
      </c>
      <c r="B375" s="23" t="str">
        <f t="shared" si="24"/>
        <v>TelesP-SE_1500__kV_257</v>
      </c>
      <c r="C375" s="23">
        <v>816</v>
      </c>
      <c r="D375" s="142" t="str">
        <f>VLOOKUP(C375,tab_corredor!$A$2:$B$50,2,0)</f>
        <v>TelesP-SE</v>
      </c>
      <c r="E375" s="23">
        <v>1500</v>
      </c>
      <c r="F375" s="23" t="s">
        <v>2724</v>
      </c>
      <c r="G375" s="23">
        <v>1500</v>
      </c>
      <c r="H375" s="23">
        <v>1500</v>
      </c>
      <c r="I375" s="394">
        <v>5.0000000000000004E-6</v>
      </c>
      <c r="J375" s="394">
        <v>5.0000000000000004E-6</v>
      </c>
      <c r="K375" s="290">
        <v>1</v>
      </c>
      <c r="L375" s="291" t="s">
        <v>2672</v>
      </c>
      <c r="M375" s="23">
        <v>2015</v>
      </c>
      <c r="N375" s="23">
        <v>2100</v>
      </c>
      <c r="O375" s="292">
        <v>25</v>
      </c>
      <c r="P375" s="293">
        <v>2700</v>
      </c>
      <c r="Q375" s="294">
        <v>1</v>
      </c>
      <c r="R375" s="23"/>
      <c r="S375" s="148">
        <f t="shared" si="26"/>
        <v>2700</v>
      </c>
      <c r="T375" s="148">
        <f ca="1">IF(S375=0,"",S375*(OFFSET(cod_desembolso!$A$1,Q375,23)))</f>
        <v>2805.9223082615817</v>
      </c>
      <c r="U375" s="149">
        <f>(constantes!$B$3*(1+constantes!$B$3)^(O375))/((1+constantes!$B$3)^(O375)-1)</f>
        <v>9.3678779051968114E-2</v>
      </c>
      <c r="V375" s="148">
        <f t="shared" ca="1" si="25"/>
        <v>262.85537595262508</v>
      </c>
      <c r="W375" s="148">
        <f ca="1">(IF(S375=0,"",V375/constantes!$B$3))*1</f>
        <v>3285.6921994078134</v>
      </c>
      <c r="X375" s="150">
        <f ca="1">IF(S375=0,"",PV(constantes!$B$3,O375,-V375)*constantes!$B$3)</f>
        <v>224.47378466092658</v>
      </c>
      <c r="Y375" s="85">
        <f t="shared" si="27"/>
        <v>1800</v>
      </c>
      <c r="Z375">
        <v>257</v>
      </c>
    </row>
    <row r="376" spans="1:26">
      <c r="A376" s="290">
        <v>7258</v>
      </c>
      <c r="B376" s="23" t="str">
        <f t="shared" si="24"/>
        <v>TelesP-SE_1500__kV_258</v>
      </c>
      <c r="C376" s="23">
        <v>816</v>
      </c>
      <c r="D376" s="142" t="str">
        <f>VLOOKUP(C376,tab_corredor!$A$2:$B$50,2,0)</f>
        <v>TelesP-SE</v>
      </c>
      <c r="E376" s="23">
        <v>1500</v>
      </c>
      <c r="F376" s="23" t="s">
        <v>2724</v>
      </c>
      <c r="G376" s="23">
        <v>1500</v>
      </c>
      <c r="H376" s="23">
        <v>1500</v>
      </c>
      <c r="I376" s="394">
        <v>5.0000000000000004E-6</v>
      </c>
      <c r="J376" s="394">
        <v>5.0000000000000004E-6</v>
      </c>
      <c r="K376" s="290">
        <v>1</v>
      </c>
      <c r="L376" s="291" t="s">
        <v>2672</v>
      </c>
      <c r="M376" s="23">
        <v>2015</v>
      </c>
      <c r="N376" s="23">
        <v>2100</v>
      </c>
      <c r="O376" s="292">
        <v>25</v>
      </c>
      <c r="P376" s="293">
        <v>2700</v>
      </c>
      <c r="Q376" s="294">
        <v>1</v>
      </c>
      <c r="R376" s="23"/>
      <c r="S376" s="148">
        <f t="shared" si="26"/>
        <v>2700</v>
      </c>
      <c r="T376" s="148">
        <f ca="1">IF(S376=0,"",S376*(OFFSET(cod_desembolso!$A$1,Q376,23)))</f>
        <v>2805.9223082615817</v>
      </c>
      <c r="U376" s="149">
        <f>(constantes!$B$3*(1+constantes!$B$3)^(O376))/((1+constantes!$B$3)^(O376)-1)</f>
        <v>9.3678779051968114E-2</v>
      </c>
      <c r="V376" s="148">
        <f t="shared" ca="1" si="25"/>
        <v>262.85537595262508</v>
      </c>
      <c r="W376" s="148">
        <f ca="1">(IF(S376=0,"",V376/constantes!$B$3))*1</f>
        <v>3285.6921994078134</v>
      </c>
      <c r="X376" s="150">
        <f ca="1">IF(S376=0,"",PV(constantes!$B$3,O376,-V376)*constantes!$B$3)</f>
        <v>224.47378466092658</v>
      </c>
      <c r="Y376" s="85">
        <f t="shared" si="27"/>
        <v>1800</v>
      </c>
      <c r="Z376">
        <v>258</v>
      </c>
    </row>
    <row r="377" spans="1:26">
      <c r="A377" s="290">
        <v>7259</v>
      </c>
      <c r="B377" s="23" t="str">
        <f t="shared" si="24"/>
        <v>TelesP-SE_1500__kV_259</v>
      </c>
      <c r="C377" s="23">
        <v>816</v>
      </c>
      <c r="D377" s="142" t="str">
        <f>VLOOKUP(C377,tab_corredor!$A$2:$B$50,2,0)</f>
        <v>TelesP-SE</v>
      </c>
      <c r="E377" s="23">
        <v>1500</v>
      </c>
      <c r="F377" s="23" t="s">
        <v>2724</v>
      </c>
      <c r="G377" s="23">
        <v>1500</v>
      </c>
      <c r="H377" s="23">
        <v>1500</v>
      </c>
      <c r="I377" s="394">
        <v>5.0000000000000004E-6</v>
      </c>
      <c r="J377" s="394">
        <v>5.0000000000000004E-6</v>
      </c>
      <c r="K377" s="290">
        <v>1</v>
      </c>
      <c r="L377" s="291" t="s">
        <v>2672</v>
      </c>
      <c r="M377" s="23">
        <v>2015</v>
      </c>
      <c r="N377" s="23">
        <v>2100</v>
      </c>
      <c r="O377" s="292">
        <v>25</v>
      </c>
      <c r="P377" s="293">
        <v>2700</v>
      </c>
      <c r="Q377" s="294">
        <v>1</v>
      </c>
      <c r="R377" s="23"/>
      <c r="S377" s="148">
        <f t="shared" si="26"/>
        <v>2700</v>
      </c>
      <c r="T377" s="148">
        <f ca="1">IF(S377=0,"",S377*(OFFSET(cod_desembolso!$A$1,Q377,23)))</f>
        <v>2805.9223082615817</v>
      </c>
      <c r="U377" s="149">
        <f>(constantes!$B$3*(1+constantes!$B$3)^(O377))/((1+constantes!$B$3)^(O377)-1)</f>
        <v>9.3678779051968114E-2</v>
      </c>
      <c r="V377" s="148">
        <f t="shared" ca="1" si="25"/>
        <v>262.85537595262508</v>
      </c>
      <c r="W377" s="148">
        <f ca="1">(IF(S377=0,"",V377/constantes!$B$3))*1</f>
        <v>3285.6921994078134</v>
      </c>
      <c r="X377" s="150">
        <f ca="1">IF(S377=0,"",PV(constantes!$B$3,O377,-V377)*constantes!$B$3)</f>
        <v>224.47378466092658</v>
      </c>
      <c r="Y377" s="85">
        <f t="shared" si="27"/>
        <v>1800</v>
      </c>
      <c r="Z377">
        <v>259</v>
      </c>
    </row>
    <row r="378" spans="1:26">
      <c r="A378" s="290">
        <v>7260</v>
      </c>
      <c r="B378" s="23" t="str">
        <f t="shared" si="24"/>
        <v>TelesP-SE_1500__kV_260</v>
      </c>
      <c r="C378" s="23">
        <v>816</v>
      </c>
      <c r="D378" s="142" t="str">
        <f>VLOOKUP(C378,tab_corredor!$A$2:$B$50,2,0)</f>
        <v>TelesP-SE</v>
      </c>
      <c r="E378" s="23">
        <v>1500</v>
      </c>
      <c r="F378" s="23" t="s">
        <v>2724</v>
      </c>
      <c r="G378" s="23">
        <v>1500</v>
      </c>
      <c r="H378" s="23">
        <v>1500</v>
      </c>
      <c r="I378" s="394">
        <v>5.0000000000000004E-6</v>
      </c>
      <c r="J378" s="394">
        <v>5.0000000000000004E-6</v>
      </c>
      <c r="K378" s="290">
        <v>1</v>
      </c>
      <c r="L378" s="291" t="s">
        <v>2672</v>
      </c>
      <c r="M378" s="23">
        <v>2015</v>
      </c>
      <c r="N378" s="23">
        <v>2100</v>
      </c>
      <c r="O378" s="292">
        <v>25</v>
      </c>
      <c r="P378" s="293">
        <v>2700</v>
      </c>
      <c r="Q378" s="294">
        <v>1</v>
      </c>
      <c r="R378" s="23"/>
      <c r="S378" s="148">
        <f t="shared" si="26"/>
        <v>2700</v>
      </c>
      <c r="T378" s="148">
        <f ca="1">IF(S378=0,"",S378*(OFFSET(cod_desembolso!$A$1,Q378,23)))</f>
        <v>2805.9223082615817</v>
      </c>
      <c r="U378" s="149">
        <f>(constantes!$B$3*(1+constantes!$B$3)^(O378))/((1+constantes!$B$3)^(O378)-1)</f>
        <v>9.3678779051968114E-2</v>
      </c>
      <c r="V378" s="148">
        <f t="shared" ca="1" si="25"/>
        <v>262.85537595262508</v>
      </c>
      <c r="W378" s="148">
        <f ca="1">(IF(S378=0,"",V378/constantes!$B$3))*1</f>
        <v>3285.6921994078134</v>
      </c>
      <c r="X378" s="150">
        <f ca="1">IF(S378=0,"",PV(constantes!$B$3,O378,-V378)*constantes!$B$3)</f>
        <v>224.47378466092658</v>
      </c>
      <c r="Y378" s="85">
        <f t="shared" si="27"/>
        <v>1800</v>
      </c>
      <c r="Z378">
        <v>260</v>
      </c>
    </row>
    <row r="379" spans="1:26">
      <c r="A379" s="290">
        <v>7261</v>
      </c>
      <c r="B379" s="23" t="str">
        <f t="shared" si="24"/>
        <v>TelesP-SE_1500__kV_261</v>
      </c>
      <c r="C379" s="23">
        <v>816</v>
      </c>
      <c r="D379" s="142" t="str">
        <f>VLOOKUP(C379,tab_corredor!$A$2:$B$50,2,0)</f>
        <v>TelesP-SE</v>
      </c>
      <c r="E379" s="23">
        <v>1500</v>
      </c>
      <c r="F379" s="23" t="s">
        <v>2724</v>
      </c>
      <c r="G379" s="23">
        <v>1500</v>
      </c>
      <c r="H379" s="23">
        <v>1500</v>
      </c>
      <c r="I379" s="394">
        <v>5.0000000000000004E-6</v>
      </c>
      <c r="J379" s="394">
        <v>5.0000000000000004E-6</v>
      </c>
      <c r="K379" s="290">
        <v>1</v>
      </c>
      <c r="L379" s="291" t="s">
        <v>2672</v>
      </c>
      <c r="M379" s="23">
        <v>2015</v>
      </c>
      <c r="N379" s="23">
        <v>2100</v>
      </c>
      <c r="O379" s="292">
        <v>25</v>
      </c>
      <c r="P379" s="293">
        <v>2700</v>
      </c>
      <c r="Q379" s="294">
        <v>1</v>
      </c>
      <c r="R379" s="23"/>
      <c r="S379" s="148">
        <f t="shared" si="26"/>
        <v>2700</v>
      </c>
      <c r="T379" s="148">
        <f ca="1">IF(S379=0,"",S379*(OFFSET(cod_desembolso!$A$1,Q379,23)))</f>
        <v>2805.9223082615817</v>
      </c>
      <c r="U379" s="149">
        <f>(constantes!$B$3*(1+constantes!$B$3)^(O379))/((1+constantes!$B$3)^(O379)-1)</f>
        <v>9.3678779051968114E-2</v>
      </c>
      <c r="V379" s="148">
        <f t="shared" ca="1" si="25"/>
        <v>262.85537595262508</v>
      </c>
      <c r="W379" s="148">
        <f ca="1">(IF(S379=0,"",V379/constantes!$B$3))*1</f>
        <v>3285.6921994078134</v>
      </c>
      <c r="X379" s="150">
        <f ca="1">IF(S379=0,"",PV(constantes!$B$3,O379,-V379)*constantes!$B$3)</f>
        <v>224.47378466092658</v>
      </c>
      <c r="Y379" s="85">
        <f t="shared" si="27"/>
        <v>1800</v>
      </c>
      <c r="Z379">
        <v>261</v>
      </c>
    </row>
    <row r="380" spans="1:26">
      <c r="A380" s="290">
        <v>7262</v>
      </c>
      <c r="B380" s="23" t="str">
        <f t="shared" si="24"/>
        <v>TelesP-SE_1500__kV_262</v>
      </c>
      <c r="C380" s="23">
        <v>816</v>
      </c>
      <c r="D380" s="142" t="str">
        <f>VLOOKUP(C380,tab_corredor!$A$2:$B$50,2,0)</f>
        <v>TelesP-SE</v>
      </c>
      <c r="E380" s="23">
        <v>1500</v>
      </c>
      <c r="F380" s="23" t="s">
        <v>2724</v>
      </c>
      <c r="G380" s="23">
        <v>1500</v>
      </c>
      <c r="H380" s="23">
        <v>1500</v>
      </c>
      <c r="I380" s="394">
        <v>5.0000000000000004E-6</v>
      </c>
      <c r="J380" s="394">
        <v>5.0000000000000004E-6</v>
      </c>
      <c r="K380" s="290">
        <v>1</v>
      </c>
      <c r="L380" s="291" t="s">
        <v>2672</v>
      </c>
      <c r="M380" s="23">
        <v>2015</v>
      </c>
      <c r="N380" s="23">
        <v>2100</v>
      </c>
      <c r="O380" s="292">
        <v>25</v>
      </c>
      <c r="P380" s="293">
        <v>2700</v>
      </c>
      <c r="Q380" s="294">
        <v>1</v>
      </c>
      <c r="R380" s="23"/>
      <c r="S380" s="148">
        <f t="shared" si="26"/>
        <v>2700</v>
      </c>
      <c r="T380" s="148">
        <f ca="1">IF(S380=0,"",S380*(OFFSET(cod_desembolso!$A$1,Q380,23)))</f>
        <v>2805.9223082615817</v>
      </c>
      <c r="U380" s="149">
        <f>(constantes!$B$3*(1+constantes!$B$3)^(O380))/((1+constantes!$B$3)^(O380)-1)</f>
        <v>9.3678779051968114E-2</v>
      </c>
      <c r="V380" s="148">
        <f t="shared" ca="1" si="25"/>
        <v>262.85537595262508</v>
      </c>
      <c r="W380" s="148">
        <f ca="1">(IF(S380=0,"",V380/constantes!$B$3))*1</f>
        <v>3285.6921994078134</v>
      </c>
      <c r="X380" s="150">
        <f ca="1">IF(S380=0,"",PV(constantes!$B$3,O380,-V380)*constantes!$B$3)</f>
        <v>224.47378466092658</v>
      </c>
      <c r="Y380" s="85">
        <f t="shared" si="27"/>
        <v>1800</v>
      </c>
      <c r="Z380">
        <v>262</v>
      </c>
    </row>
    <row r="381" spans="1:26">
      <c r="A381" s="290">
        <v>7263</v>
      </c>
      <c r="B381" s="23" t="str">
        <f t="shared" si="24"/>
        <v>TelesP-SE_1500__kV_263</v>
      </c>
      <c r="C381" s="23">
        <v>816</v>
      </c>
      <c r="D381" s="142" t="str">
        <f>VLOOKUP(C381,tab_corredor!$A$2:$B$50,2,0)</f>
        <v>TelesP-SE</v>
      </c>
      <c r="E381" s="23">
        <v>1500</v>
      </c>
      <c r="F381" s="23" t="s">
        <v>2724</v>
      </c>
      <c r="G381" s="23">
        <v>1500</v>
      </c>
      <c r="H381" s="23">
        <v>1500</v>
      </c>
      <c r="I381" s="394">
        <v>5.0000000000000004E-6</v>
      </c>
      <c r="J381" s="394">
        <v>5.0000000000000004E-6</v>
      </c>
      <c r="K381" s="290">
        <v>1</v>
      </c>
      <c r="L381" s="291" t="s">
        <v>2672</v>
      </c>
      <c r="M381" s="23">
        <v>2015</v>
      </c>
      <c r="N381" s="23">
        <v>2100</v>
      </c>
      <c r="O381" s="292">
        <v>25</v>
      </c>
      <c r="P381" s="293">
        <v>2700</v>
      </c>
      <c r="Q381" s="294">
        <v>1</v>
      </c>
      <c r="R381" s="23"/>
      <c r="S381" s="148">
        <f t="shared" si="26"/>
        <v>2700</v>
      </c>
      <c r="T381" s="148">
        <f ca="1">IF(S381=0,"",S381*(OFFSET(cod_desembolso!$A$1,Q381,23)))</f>
        <v>2805.9223082615817</v>
      </c>
      <c r="U381" s="149">
        <f>(constantes!$B$3*(1+constantes!$B$3)^(O381))/((1+constantes!$B$3)^(O381)-1)</f>
        <v>9.3678779051968114E-2</v>
      </c>
      <c r="V381" s="148">
        <f t="shared" ca="1" si="25"/>
        <v>262.85537595262508</v>
      </c>
      <c r="W381" s="148">
        <f ca="1">(IF(S381=0,"",V381/constantes!$B$3))*1</f>
        <v>3285.6921994078134</v>
      </c>
      <c r="X381" s="150">
        <f ca="1">IF(S381=0,"",PV(constantes!$B$3,O381,-V381)*constantes!$B$3)</f>
        <v>224.47378466092658</v>
      </c>
      <c r="Y381" s="85">
        <f t="shared" si="27"/>
        <v>1800</v>
      </c>
      <c r="Z381">
        <v>263</v>
      </c>
    </row>
    <row r="382" spans="1:26">
      <c r="A382" s="290">
        <v>7264</v>
      </c>
      <c r="B382" s="23" t="str">
        <f t="shared" si="24"/>
        <v>TelesP-SE_1500__kV_264</v>
      </c>
      <c r="C382" s="23">
        <v>816</v>
      </c>
      <c r="D382" s="142" t="str">
        <f>VLOOKUP(C382,tab_corredor!$A$2:$B$50,2,0)</f>
        <v>TelesP-SE</v>
      </c>
      <c r="E382" s="23">
        <v>1500</v>
      </c>
      <c r="F382" s="23" t="s">
        <v>2724</v>
      </c>
      <c r="G382" s="23">
        <v>1500</v>
      </c>
      <c r="H382" s="23">
        <v>1500</v>
      </c>
      <c r="I382" s="394">
        <v>5.0000000000000004E-6</v>
      </c>
      <c r="J382" s="394">
        <v>5.0000000000000004E-6</v>
      </c>
      <c r="K382" s="290">
        <v>1</v>
      </c>
      <c r="L382" s="291" t="s">
        <v>2672</v>
      </c>
      <c r="M382" s="23">
        <v>2015</v>
      </c>
      <c r="N382" s="23">
        <v>2100</v>
      </c>
      <c r="O382" s="292">
        <v>25</v>
      </c>
      <c r="P382" s="293">
        <v>2700</v>
      </c>
      <c r="Q382" s="294">
        <v>1</v>
      </c>
      <c r="R382" s="23"/>
      <c r="S382" s="148">
        <f t="shared" si="26"/>
        <v>2700</v>
      </c>
      <c r="T382" s="148">
        <f ca="1">IF(S382=0,"",S382*(OFFSET(cod_desembolso!$A$1,Q382,23)))</f>
        <v>2805.9223082615817</v>
      </c>
      <c r="U382" s="149">
        <f>(constantes!$B$3*(1+constantes!$B$3)^(O382))/((1+constantes!$B$3)^(O382)-1)</f>
        <v>9.3678779051968114E-2</v>
      </c>
      <c r="V382" s="148">
        <f t="shared" ca="1" si="25"/>
        <v>262.85537595262508</v>
      </c>
      <c r="W382" s="148">
        <f ca="1">(IF(S382=0,"",V382/constantes!$B$3))*1</f>
        <v>3285.6921994078134</v>
      </c>
      <c r="X382" s="150">
        <f ca="1">IF(S382=0,"",PV(constantes!$B$3,O382,-V382)*constantes!$B$3)</f>
        <v>224.47378466092658</v>
      </c>
      <c r="Y382" s="85">
        <f t="shared" si="27"/>
        <v>1800</v>
      </c>
      <c r="Z382">
        <v>264</v>
      </c>
    </row>
  </sheetData>
  <autoFilter ref="A1:AC1" xr:uid="{00000000-0009-0000-0000-000020000000}">
    <sortState xmlns:xlrd2="http://schemas.microsoft.com/office/spreadsheetml/2017/richdata2" ref="A2:AC382">
      <sortCondition ref="B1"/>
    </sortState>
  </autoFilter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8" t="s">
        <v>2725</v>
      </c>
      <c r="B1" s="658"/>
      <c r="C1" s="658"/>
      <c r="D1" s="658"/>
      <c r="E1" s="658"/>
      <c r="F1" s="658"/>
      <c r="G1" s="658"/>
      <c r="H1" s="659" t="s">
        <v>2726</v>
      </c>
      <c r="I1" s="660"/>
      <c r="J1" s="660"/>
      <c r="K1" s="660"/>
      <c r="L1" s="660"/>
      <c r="M1" s="660"/>
      <c r="N1" s="660"/>
      <c r="O1" s="660"/>
      <c r="P1" s="660"/>
      <c r="Q1" s="660"/>
      <c r="R1" s="660"/>
      <c r="S1" s="661"/>
    </row>
    <row r="2" spans="1:19" ht="13.9">
      <c r="A2" s="433" t="s">
        <v>2727</v>
      </c>
      <c r="B2" s="434" t="s">
        <v>1</v>
      </c>
      <c r="C2" s="434" t="s">
        <v>2728</v>
      </c>
      <c r="D2" s="434" t="s">
        <v>2729</v>
      </c>
      <c r="E2" s="434" t="s">
        <v>2730</v>
      </c>
      <c r="F2" s="435" t="s">
        <v>2731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2732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2733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2734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2735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2736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2737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2738</v>
      </c>
      <c r="C12" s="269" t="s">
        <v>2676</v>
      </c>
      <c r="D12" s="269" t="s">
        <v>2677</v>
      </c>
      <c r="E12" s="269" t="s">
        <v>2678</v>
      </c>
      <c r="F12" s="269" t="s">
        <v>2679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2732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2733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2734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2735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2736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2737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2739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2728</v>
      </c>
      <c r="B23" s="450" t="s">
        <v>2740</v>
      </c>
      <c r="C23" s="450" t="s">
        <v>2741</v>
      </c>
      <c r="D23" s="450" t="s">
        <v>2742</v>
      </c>
      <c r="E23" s="450" t="s">
        <v>2743</v>
      </c>
      <c r="F23" s="450" t="s">
        <v>2744</v>
      </c>
      <c r="G23" s="450" t="s">
        <v>2745</v>
      </c>
      <c r="H23" s="450" t="s">
        <v>2746</v>
      </c>
      <c r="I23" s="450" t="s">
        <v>2747</v>
      </c>
      <c r="J23" s="450" t="s">
        <v>2748</v>
      </c>
      <c r="K23" s="450" t="s">
        <v>2749</v>
      </c>
      <c r="L23" s="450" t="s">
        <v>2750</v>
      </c>
      <c r="M23" s="450" t="s">
        <v>2751</v>
      </c>
      <c r="N23" s="467" t="s">
        <v>2752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2753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2754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2728</v>
      </c>
      <c r="B40" s="450" t="s">
        <v>2740</v>
      </c>
      <c r="C40" s="450" t="s">
        <v>2741</v>
      </c>
      <c r="D40" s="450" t="s">
        <v>2742</v>
      </c>
      <c r="E40" s="450" t="s">
        <v>2743</v>
      </c>
      <c r="F40" s="450" t="s">
        <v>2744</v>
      </c>
      <c r="G40" s="450" t="s">
        <v>2745</v>
      </c>
      <c r="H40" s="450" t="s">
        <v>2746</v>
      </c>
      <c r="I40" s="450" t="s">
        <v>2747</v>
      </c>
      <c r="J40" s="450" t="s">
        <v>2748</v>
      </c>
      <c r="K40" s="450" t="s">
        <v>2749</v>
      </c>
      <c r="L40" s="450" t="s">
        <v>2750</v>
      </c>
      <c r="M40" s="450" t="s">
        <v>2751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2755</v>
      </c>
      <c r="D44" s="350"/>
      <c r="E44" s="350"/>
      <c r="F44" s="350"/>
      <c r="H44" s="350" t="s">
        <v>2756</v>
      </c>
      <c r="I44" s="350"/>
      <c r="J44" s="350"/>
      <c r="K44" s="350"/>
    </row>
    <row r="45" spans="1:16" ht="13.9">
      <c r="B45" s="447" t="s">
        <v>2757</v>
      </c>
      <c r="C45" s="269" t="s">
        <v>2676</v>
      </c>
      <c r="D45" s="269" t="s">
        <v>2677</v>
      </c>
      <c r="E45" s="269" t="s">
        <v>2678</v>
      </c>
      <c r="F45" s="269" t="s">
        <v>2679</v>
      </c>
      <c r="H45" s="269" t="s">
        <v>2676</v>
      </c>
      <c r="I45" s="269" t="s">
        <v>2677</v>
      </c>
      <c r="J45" s="269" t="s">
        <v>2678</v>
      </c>
      <c r="K45" s="269" t="s">
        <v>2679</v>
      </c>
    </row>
    <row r="46" spans="1:16" ht="13.9">
      <c r="B46" s="438" t="s">
        <v>2736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2737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138</v>
      </c>
      <c r="B50" s="458" t="s">
        <v>2624</v>
      </c>
      <c r="C50" s="459" t="s">
        <v>2681</v>
      </c>
      <c r="D50" s="459" t="s">
        <v>2682</v>
      </c>
      <c r="E50" s="459" t="s">
        <v>2683</v>
      </c>
      <c r="F50" s="459" t="s">
        <v>2684</v>
      </c>
    </row>
    <row r="51" spans="1:12" ht="13.9" thickTop="1">
      <c r="A51" s="127">
        <v>1</v>
      </c>
      <c r="B51" s="124" t="s">
        <v>2625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2626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2627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2628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2629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2758</v>
      </c>
      <c r="K63" s="460" t="s">
        <v>2759</v>
      </c>
      <c r="L63" s="460"/>
    </row>
    <row r="64" spans="1:12" ht="14.45">
      <c r="A64" s="127">
        <v>1</v>
      </c>
      <c r="B64" s="124" t="s">
        <v>2625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2760</v>
      </c>
      <c r="K64" s="124" t="s">
        <v>2625</v>
      </c>
      <c r="L64" s="127">
        <v>1</v>
      </c>
    </row>
    <row r="65" spans="1:12" ht="14.4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2761</v>
      </c>
      <c r="K65" s="124" t="s">
        <v>66</v>
      </c>
      <c r="L65" s="127">
        <v>2</v>
      </c>
    </row>
    <row r="66" spans="1:12" ht="14.4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2762</v>
      </c>
      <c r="K66" s="124" t="s">
        <v>67</v>
      </c>
      <c r="L66" s="127">
        <v>3</v>
      </c>
    </row>
    <row r="67" spans="1:12" ht="14.4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2763</v>
      </c>
      <c r="K67" s="124" t="s">
        <v>68</v>
      </c>
      <c r="L67" s="127">
        <v>4</v>
      </c>
    </row>
    <row r="68" spans="1:12" ht="14.45">
      <c r="A68" s="127">
        <v>5</v>
      </c>
      <c r="B68" s="124" t="s">
        <v>2626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2626</v>
      </c>
      <c r="L68" s="127">
        <v>5</v>
      </c>
    </row>
    <row r="69" spans="1:12" ht="14.45">
      <c r="A69" s="127">
        <v>6</v>
      </c>
      <c r="B69" s="124" t="s">
        <v>2627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2764</v>
      </c>
      <c r="K69" s="124" t="s">
        <v>2627</v>
      </c>
      <c r="L69" s="127">
        <v>6</v>
      </c>
    </row>
    <row r="70" spans="1:12" ht="14.4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2765</v>
      </c>
      <c r="K70" s="124" t="s">
        <v>69</v>
      </c>
      <c r="L70" s="127">
        <v>7</v>
      </c>
    </row>
    <row r="71" spans="1:12" ht="14.4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2766</v>
      </c>
      <c r="K71" s="449"/>
      <c r="L71" s="453"/>
    </row>
    <row r="72" spans="1:12" ht="14.4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2767</v>
      </c>
      <c r="K72" s="128" t="s">
        <v>2154</v>
      </c>
      <c r="L72" s="127">
        <v>10</v>
      </c>
    </row>
    <row r="73" spans="1:12" ht="14.45">
      <c r="A73" s="127">
        <v>100</v>
      </c>
      <c r="B73" s="124" t="s">
        <v>2628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2768</v>
      </c>
      <c r="K73" s="449"/>
      <c r="L73" s="453"/>
    </row>
    <row r="74" spans="1:12" ht="14.45">
      <c r="A74" s="127">
        <v>200</v>
      </c>
      <c r="B74" s="124" t="s">
        <v>2629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2769</v>
      </c>
      <c r="K74" s="124" t="s">
        <v>2264</v>
      </c>
      <c r="L74" s="127">
        <v>9</v>
      </c>
    </row>
    <row r="75" spans="1:12" ht="14.45">
      <c r="I75" s="453">
        <v>12</v>
      </c>
      <c r="J75" s="462" t="s">
        <v>2770</v>
      </c>
      <c r="K75" s="124" t="s">
        <v>2628</v>
      </c>
      <c r="L75" s="127">
        <v>100</v>
      </c>
    </row>
    <row r="76" spans="1:12" ht="14.45">
      <c r="I76" s="453">
        <v>13</v>
      </c>
      <c r="J76" s="462" t="s">
        <v>2771</v>
      </c>
      <c r="K76" s="124" t="s">
        <v>2629</v>
      </c>
      <c r="L76" s="127">
        <v>200</v>
      </c>
    </row>
    <row r="77" spans="1:12" ht="14.45">
      <c r="I77" s="453">
        <v>14</v>
      </c>
      <c r="J77" s="462" t="s">
        <v>2772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I7" activePane="bottomRight" state="frozen"/>
      <selection pane="bottomRight" activeCell="K22" sqref="K22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9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si="3"/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3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si="3"/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si="3"/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si="3"/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si="3"/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si="3"/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si="3"/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si="3"/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4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4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4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4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4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4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4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4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4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4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4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4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4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4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4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4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4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4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4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4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4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4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4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4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4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4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4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4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4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4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4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4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4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4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4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4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4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4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4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4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4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4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4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4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4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4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4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4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4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4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4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4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4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4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4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4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4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4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5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5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5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5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5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5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5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5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5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5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5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160</v>
      </c>
      <c r="E269" s="17">
        <v>10</v>
      </c>
      <c r="F269" s="125">
        <f>3277*0.2</f>
        <v>655.40000000000009</v>
      </c>
      <c r="G269" s="97" t="str">
        <f t="shared" si="5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F2" activePane="bottomRight" state="frozen"/>
      <selection pane="bottomRight" activeCell="J24" sqref="J24:S31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4" max="4" width="22.85546875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21" customWidth="1"/>
    <col min="43" max="43" width="19.7109375" customWidth="1"/>
    <col min="44" max="44" width="15.85546875" customWidth="1"/>
    <col min="45" max="45" width="11.5703125" bestFit="1" customWidth="1"/>
    <col min="46" max="46" width="23.5703125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9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1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2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4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2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4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8">
        <v>1</v>
      </c>
      <c r="L4" s="558">
        <v>1</v>
      </c>
      <c r="M4" s="558">
        <v>1</v>
      </c>
      <c r="N4" s="558">
        <v>1</v>
      </c>
      <c r="O4" s="66">
        <f t="shared" si="0"/>
        <v>1</v>
      </c>
      <c r="P4" s="558">
        <v>1</v>
      </c>
      <c r="Q4" s="558">
        <v>1</v>
      </c>
      <c r="R4" s="558">
        <v>1</v>
      </c>
      <c r="S4" s="558">
        <v>1</v>
      </c>
      <c r="T4" s="74">
        <v>3.7499999999999999E-2</v>
      </c>
      <c r="U4" s="74">
        <v>4.2500000000000003E-2</v>
      </c>
      <c r="V4" s="592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4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8">
        <v>1</v>
      </c>
      <c r="L5" s="558">
        <v>1</v>
      </c>
      <c r="M5" s="558">
        <v>1</v>
      </c>
      <c r="N5" s="558">
        <v>1</v>
      </c>
      <c r="O5" s="66">
        <f t="shared" si="0"/>
        <v>1</v>
      </c>
      <c r="P5" s="558">
        <v>1</v>
      </c>
      <c r="Q5" s="558">
        <v>1</v>
      </c>
      <c r="R5" s="558">
        <v>1</v>
      </c>
      <c r="S5" s="558">
        <v>1</v>
      </c>
      <c r="T5" s="74">
        <v>3.7499999999999999E-2</v>
      </c>
      <c r="U5" s="74">
        <v>4.2500000000000003E-2</v>
      </c>
      <c r="V5" s="592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4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8">
        <v>1</v>
      </c>
      <c r="L6" s="558">
        <v>1</v>
      </c>
      <c r="M6" s="558">
        <v>1</v>
      </c>
      <c r="N6" s="558">
        <v>1</v>
      </c>
      <c r="O6" s="66">
        <f t="shared" si="0"/>
        <v>1</v>
      </c>
      <c r="P6" s="558">
        <v>1</v>
      </c>
      <c r="Q6" s="558">
        <v>1</v>
      </c>
      <c r="R6" s="558">
        <v>1</v>
      </c>
      <c r="S6" s="558">
        <v>1</v>
      </c>
      <c r="T6" s="74">
        <v>3.7499999999999999E-2</v>
      </c>
      <c r="U6" s="74">
        <v>4.2500000000000003E-2</v>
      </c>
      <c r="V6" s="592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4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8">
        <v>1</v>
      </c>
      <c r="L7" s="558">
        <v>1</v>
      </c>
      <c r="M7" s="558">
        <v>1</v>
      </c>
      <c r="N7" s="558">
        <v>1</v>
      </c>
      <c r="O7" s="66">
        <f t="shared" ref="O7" si="10">AVERAGE(P7:S7)</f>
        <v>1</v>
      </c>
      <c r="P7" s="558">
        <v>1</v>
      </c>
      <c r="Q7" s="558">
        <v>1</v>
      </c>
      <c r="R7" s="558">
        <v>1</v>
      </c>
      <c r="S7" s="558">
        <v>1</v>
      </c>
      <c r="T7" s="74">
        <v>3.7499999999999999E-2</v>
      </c>
      <c r="U7" s="74">
        <v>4.2500000000000003E-2</v>
      </c>
      <c r="V7" s="592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4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8">
        <v>1</v>
      </c>
      <c r="L8" s="558">
        <v>1</v>
      </c>
      <c r="M8" s="558">
        <v>1</v>
      </c>
      <c r="N8" s="558">
        <v>1</v>
      </c>
      <c r="O8" s="66">
        <f t="shared" si="0"/>
        <v>1</v>
      </c>
      <c r="P8" s="558">
        <v>1</v>
      </c>
      <c r="Q8" s="558">
        <v>1</v>
      </c>
      <c r="R8" s="558">
        <v>1</v>
      </c>
      <c r="S8" s="558">
        <v>1</v>
      </c>
      <c r="T8" s="74">
        <v>3.7499999999999999E-2</v>
      </c>
      <c r="U8" s="74">
        <v>4.2500000000000003E-2</v>
      </c>
      <c r="V8" s="592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4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7" customFormat="1">
      <c r="A9" s="564">
        <v>329</v>
      </c>
      <c r="B9" s="620" t="s">
        <v>211</v>
      </c>
      <c r="C9" s="73">
        <v>1</v>
      </c>
      <c r="D9" s="77">
        <v>0</v>
      </c>
      <c r="E9" s="556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2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8"/>
      <c r="AI9" s="568"/>
      <c r="AJ9" s="635">
        <f>AD9+AH9+AI9</f>
        <v>2.34</v>
      </c>
      <c r="AK9" s="569">
        <f t="shared" si="2"/>
        <v>2340</v>
      </c>
      <c r="AL9" s="570">
        <f ca="1">IF(AJ9=0,"",AJ9*(OFFSET(cod_desembolso!$A$1,AG9,23)))</f>
        <v>2.4317993338267039</v>
      </c>
      <c r="AM9" s="571">
        <f>(constantes!$B$3*(1+constantes!$B$3)^(AA9))/((1+constantes!$B$3)^(AA9)-1)</f>
        <v>0.10185220882315059</v>
      </c>
      <c r="AN9" s="590">
        <f ca="1">IF(AD9=0,"",AL9*AM9+AQ9)</f>
        <v>0.44768413356491593</v>
      </c>
      <c r="AO9" s="572">
        <f ca="1">IF(AJ9=0,AQ9/constantes!$B$3,AN9/constantes!$B$3)</f>
        <v>5.5960516695614491</v>
      </c>
      <c r="AP9" s="573">
        <f ca="1">IF(AJ9=0,"",PV(constantes!$B$3,AA9,-AN9)*constantes!$B$3)</f>
        <v>0.35163430522532502</v>
      </c>
      <c r="AQ9" s="574">
        <f t="shared" si="4"/>
        <v>0.2</v>
      </c>
      <c r="AR9" s="622">
        <v>200</v>
      </c>
      <c r="AS9" s="576">
        <v>0</v>
      </c>
      <c r="AT9" s="575">
        <v>0</v>
      </c>
      <c r="AU9" s="591"/>
      <c r="AV9" s="577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8">
        <v>1</v>
      </c>
      <c r="L10" s="558">
        <v>1</v>
      </c>
      <c r="M10" s="558">
        <v>1</v>
      </c>
      <c r="N10" s="558">
        <v>1</v>
      </c>
      <c r="O10" s="66">
        <f t="shared" si="0"/>
        <v>1</v>
      </c>
      <c r="P10" s="558">
        <v>1</v>
      </c>
      <c r="Q10" s="558">
        <v>1</v>
      </c>
      <c r="R10" s="558">
        <v>1</v>
      </c>
      <c r="S10" s="558">
        <v>1</v>
      </c>
      <c r="T10" s="74">
        <v>2.06E-2</v>
      </c>
      <c r="U10" s="74">
        <v>3.2599999999999997E-2</v>
      </c>
      <c r="V10" s="592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4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8">
        <v>1</v>
      </c>
      <c r="L11" s="558">
        <v>1</v>
      </c>
      <c r="M11" s="558">
        <v>1</v>
      </c>
      <c r="N11" s="558">
        <v>1</v>
      </c>
      <c r="O11" s="66">
        <f t="shared" ref="O11" si="14">AVERAGE(P11:S11)</f>
        <v>1</v>
      </c>
      <c r="P11" s="558">
        <v>1</v>
      </c>
      <c r="Q11" s="558">
        <v>1</v>
      </c>
      <c r="R11" s="558">
        <v>1</v>
      </c>
      <c r="S11" s="558">
        <v>1</v>
      </c>
      <c r="T11" s="74">
        <v>2.06E-2</v>
      </c>
      <c r="U11" s="74">
        <v>3.2599999999999997E-2</v>
      </c>
      <c r="V11" s="592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4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8">
        <v>1</v>
      </c>
      <c r="L12" s="558">
        <v>1</v>
      </c>
      <c r="M12" s="558">
        <v>1</v>
      </c>
      <c r="N12" s="558">
        <v>1</v>
      </c>
      <c r="O12" s="66">
        <f t="shared" si="0"/>
        <v>1</v>
      </c>
      <c r="P12" s="558">
        <v>1</v>
      </c>
      <c r="Q12" s="558">
        <v>1</v>
      </c>
      <c r="R12" s="558">
        <v>1</v>
      </c>
      <c r="S12" s="558">
        <v>1</v>
      </c>
      <c r="T12" s="74">
        <v>2.06E-2</v>
      </c>
      <c r="U12" s="74">
        <v>3.2599999999999997E-2</v>
      </c>
      <c r="V12" s="592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4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7" customFormat="1">
      <c r="A13" s="564">
        <v>301</v>
      </c>
      <c r="B13" s="388" t="s">
        <v>215</v>
      </c>
      <c r="C13" s="578">
        <v>1</v>
      </c>
      <c r="D13" s="579">
        <v>0</v>
      </c>
      <c r="E13" s="580">
        <v>1</v>
      </c>
      <c r="F13" s="565">
        <v>0.9474715600000001</v>
      </c>
      <c r="G13" s="565">
        <v>0.9474715600000001</v>
      </c>
      <c r="H13" s="565">
        <v>0.9474715600000001</v>
      </c>
      <c r="I13" s="565">
        <v>0.9474715600000001</v>
      </c>
      <c r="J13" s="581">
        <f>AVERAGE(K13:N13)</f>
        <v>1</v>
      </c>
      <c r="K13" s="566">
        <v>1</v>
      </c>
      <c r="L13" s="566">
        <v>1</v>
      </c>
      <c r="M13" s="566">
        <v>1</v>
      </c>
      <c r="N13" s="566">
        <v>1</v>
      </c>
      <c r="O13" s="581">
        <f>AVERAGE(P13:S13)</f>
        <v>1</v>
      </c>
      <c r="P13" s="566">
        <v>1</v>
      </c>
      <c r="Q13" s="566">
        <v>1</v>
      </c>
      <c r="R13" s="566">
        <v>1</v>
      </c>
      <c r="S13" s="566">
        <v>1</v>
      </c>
      <c r="T13" s="582">
        <v>2.06E-2</v>
      </c>
      <c r="U13" s="582">
        <v>3.2599999999999997E-2</v>
      </c>
      <c r="V13" s="592">
        <f t="shared" si="6"/>
        <v>0.9474715600000001</v>
      </c>
      <c r="W13" s="583">
        <v>3</v>
      </c>
      <c r="X13" s="584" t="str">
        <f>IF(W13="","",VLOOKUP(W13,tab_cod_categoria!$A$2:$B$30,2,0))</f>
        <v>Gás Natural</v>
      </c>
      <c r="Y13" s="585">
        <v>1301</v>
      </c>
      <c r="Z13" s="568">
        <v>2</v>
      </c>
      <c r="AA13" s="568">
        <v>20</v>
      </c>
      <c r="AB13" s="586">
        <v>1</v>
      </c>
      <c r="AC13" s="587">
        <v>0</v>
      </c>
      <c r="AD13" s="586">
        <f t="shared" si="7"/>
        <v>3.12</v>
      </c>
      <c r="AE13" s="567">
        <v>800</v>
      </c>
      <c r="AF13" s="588">
        <f>AE13*constantes!$B$4</f>
        <v>3120</v>
      </c>
      <c r="AG13" s="23">
        <v>7</v>
      </c>
      <c r="AH13" s="568"/>
      <c r="AI13" s="568"/>
      <c r="AJ13" s="635">
        <f>AD13+AH13+AI13</f>
        <v>3.12</v>
      </c>
      <c r="AK13" s="569">
        <f t="shared" si="2"/>
        <v>3120</v>
      </c>
      <c r="AL13" s="570">
        <f ca="1">IF(AJ13=0,"",AJ13*(OFFSET(cod_desembolso!$A$1,AG13,23)))</f>
        <v>3.4820772541108984</v>
      </c>
      <c r="AM13" s="571">
        <f>(constantes!$B$3*(1+constantes!$B$3)^(AA13))/((1+constantes!$B$3)^(AA13)-1)</f>
        <v>0.10185220882315059</v>
      </c>
      <c r="AN13" s="590">
        <f ca="1">IF(AD13=0,"",AL13*AM13+AQ13)</f>
        <v>0.62465725962404606</v>
      </c>
      <c r="AO13" s="572">
        <f ca="1">IF(AJ13=0,AQ13/constantes!$B$3,AN13/constantes!$B$3)</f>
        <v>7.8082157453005756</v>
      </c>
      <c r="AP13" s="573">
        <f ca="1">IF(AJ13=0,"",PV(constantes!$B$3,AA13,-AN13)*constantes!$B$3)</f>
        <v>0.49063816432977664</v>
      </c>
      <c r="AQ13" s="574">
        <f t="shared" si="4"/>
        <v>0.27</v>
      </c>
      <c r="AR13" s="575">
        <f>270</f>
        <v>270</v>
      </c>
      <c r="AS13" s="384">
        <v>20</v>
      </c>
      <c r="AT13" s="575">
        <v>279.29000000000002</v>
      </c>
      <c r="AU13" s="591"/>
      <c r="AV13" s="577">
        <f ca="1">AP13/C13</f>
        <v>0.49063816432977664</v>
      </c>
      <c r="AW13" s="575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8">
        <v>1</v>
      </c>
      <c r="L14" s="558">
        <v>1</v>
      </c>
      <c r="M14" s="558">
        <v>1</v>
      </c>
      <c r="N14" s="558">
        <v>1</v>
      </c>
      <c r="O14" s="66">
        <f t="shared" si="0"/>
        <v>1</v>
      </c>
      <c r="P14" s="558">
        <v>1</v>
      </c>
      <c r="Q14" s="558">
        <v>1</v>
      </c>
      <c r="R14" s="558">
        <v>1</v>
      </c>
      <c r="S14" s="558">
        <v>1</v>
      </c>
      <c r="T14" s="74">
        <v>1.4999999999999999E-2</v>
      </c>
      <c r="U14" s="74">
        <v>7.4999999999999997E-2</v>
      </c>
      <c r="V14" s="592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4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8">
        <v>1</v>
      </c>
      <c r="L15" s="558">
        <v>1</v>
      </c>
      <c r="M15" s="558">
        <v>1</v>
      </c>
      <c r="N15" s="558">
        <v>1</v>
      </c>
      <c r="O15" s="66">
        <f t="shared" si="0"/>
        <v>1</v>
      </c>
      <c r="P15" s="558">
        <v>1</v>
      </c>
      <c r="Q15" s="558">
        <v>1</v>
      </c>
      <c r="R15" s="558">
        <v>1</v>
      </c>
      <c r="S15" s="558">
        <v>1</v>
      </c>
      <c r="T15" s="74">
        <v>2.06E-2</v>
      </c>
      <c r="U15" s="74">
        <v>3.2599999999999997E-2</v>
      </c>
      <c r="V15" s="592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4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8">
        <v>1</v>
      </c>
      <c r="L16" s="558">
        <v>1</v>
      </c>
      <c r="M16" s="558">
        <v>1</v>
      </c>
      <c r="N16" s="558">
        <v>1</v>
      </c>
      <c r="O16" s="66">
        <f t="shared" si="0"/>
        <v>1</v>
      </c>
      <c r="P16" s="558">
        <v>1</v>
      </c>
      <c r="Q16" s="558">
        <v>1</v>
      </c>
      <c r="R16" s="558">
        <v>1</v>
      </c>
      <c r="S16" s="558">
        <v>1</v>
      </c>
      <c r="T16" s="74">
        <v>2.06E-2</v>
      </c>
      <c r="U16" s="74">
        <v>3.2599999999999997E-2</v>
      </c>
      <c r="V16" s="592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4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6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2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8"/>
      <c r="AI17" s="568"/>
      <c r="AJ17" s="635">
        <f>AD17+AH17+AI17</f>
        <v>22.518599999999999</v>
      </c>
      <c r="AK17" s="569">
        <f t="shared" ref="AK17:AK18" si="21">AJ17*1000/C17</f>
        <v>22518.6</v>
      </c>
      <c r="AL17" s="570">
        <f ca="1">IF(AJ17=0,"",AJ17*(OFFSET(cod_desembolso!$A$1,AG17,23)))</f>
        <v>23.402015589192313</v>
      </c>
      <c r="AM17" s="571">
        <f>(constantes!$B$3*(1+constantes!$B$3)^(AA17))/((1+constantes!$B$3)^(AA17)-1)</f>
        <v>0.10185220882315059</v>
      </c>
      <c r="AN17" s="590">
        <f ca="1">IF(AD17=0,"",AL17*AM17+AQ17)</f>
        <v>2.4225469786730409</v>
      </c>
      <c r="AO17" s="572">
        <f ca="1">IF(AJ17=0,AQ17/constantes!$B$3,AN17/constantes!$B$3)</f>
        <v>30.281837233413011</v>
      </c>
      <c r="AP17" s="573">
        <f ca="1">IF(AJ17=0,"",PV(constantes!$B$3,AA17,-AN17)*constantes!$B$3)</f>
        <v>1.9027938670466267</v>
      </c>
      <c r="AQ17" s="574">
        <f t="shared" ref="AQ17:AQ18" si="22">AR17*C17/1000</f>
        <v>3.9E-2</v>
      </c>
      <c r="AR17" s="621">
        <f>10*constantes!$B$4</f>
        <v>39</v>
      </c>
      <c r="AS17" s="576">
        <f>3*constantes!$B$4</f>
        <v>11.7</v>
      </c>
      <c r="AT17" s="575">
        <v>0</v>
      </c>
      <c r="AU17" s="591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6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2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4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1">
        <f>10*constantes!$B$4</f>
        <v>39</v>
      </c>
      <c r="AS18" s="576">
        <f>3*constantes!$B$4</f>
        <v>11.7</v>
      </c>
      <c r="AT18" s="384">
        <v>0</v>
      </c>
      <c r="AU18" s="591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6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2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4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1">
        <f>10*constantes!$B$4</f>
        <v>39</v>
      </c>
      <c r="AS19" s="576">
        <f>3*constantes!$B$4</f>
        <v>11.7</v>
      </c>
      <c r="AT19" s="384">
        <v>0</v>
      </c>
      <c r="AU19" s="591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6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2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4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6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8">
        <v>0.58487065377698244</v>
      </c>
      <c r="L21" s="558">
        <v>0.57552916156834211</v>
      </c>
      <c r="M21" s="558">
        <v>0.44621983189814091</v>
      </c>
      <c r="N21" s="558">
        <v>0.43638945101901089</v>
      </c>
      <c r="O21" s="66">
        <f t="shared" si="0"/>
        <v>0.51075227456561911</v>
      </c>
      <c r="P21" s="558">
        <v>0.58487065377698244</v>
      </c>
      <c r="Q21" s="558">
        <v>0.57552916156834211</v>
      </c>
      <c r="R21" s="558">
        <v>0.44621983189814091</v>
      </c>
      <c r="S21" s="558">
        <v>0.43638945101901089</v>
      </c>
      <c r="T21" s="389">
        <v>0.01</v>
      </c>
      <c r="U21" s="389">
        <v>0.02</v>
      </c>
      <c r="V21" s="592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4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7">
        <v>0</v>
      </c>
      <c r="E22" s="556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8">
        <v>0.55000000000000004</v>
      </c>
      <c r="L22" s="558">
        <v>0.55000000000000004</v>
      </c>
      <c r="M22" s="558">
        <v>0.55000000000000004</v>
      </c>
      <c r="N22" s="558">
        <v>0.55000000000000004</v>
      </c>
      <c r="O22" s="66">
        <f t="shared" si="0"/>
        <v>0.55000000000000004</v>
      </c>
      <c r="P22" s="558">
        <v>0.55000000000000004</v>
      </c>
      <c r="Q22" s="558">
        <v>0.55000000000000004</v>
      </c>
      <c r="R22" s="558">
        <v>0.55000000000000004</v>
      </c>
      <c r="S22" s="558">
        <v>0.55000000000000004</v>
      </c>
      <c r="T22" s="389">
        <v>0.01</v>
      </c>
      <c r="U22" s="389">
        <v>0.02</v>
      </c>
      <c r="V22" s="592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4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6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2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4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6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2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4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6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2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4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6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2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4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6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2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4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6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2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4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6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2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4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6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2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4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6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2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4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8">
        <v>0.998</v>
      </c>
      <c r="M32" s="558">
        <v>0.998</v>
      </c>
      <c r="N32" s="558">
        <v>0.998</v>
      </c>
      <c r="O32" s="66">
        <f t="shared" ref="O32" si="41">AVERAGE(P32:S32)</f>
        <v>0.998</v>
      </c>
      <c r="P32" s="33">
        <v>0.998</v>
      </c>
      <c r="Q32" s="558">
        <v>0.998</v>
      </c>
      <c r="R32" s="558">
        <v>0.998</v>
      </c>
      <c r="S32" s="558">
        <v>0.998</v>
      </c>
      <c r="T32" s="74">
        <v>0.05</v>
      </c>
      <c r="U32" s="74">
        <v>0.05</v>
      </c>
      <c r="V32" s="592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4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8">
        <v>0.36999999999999994</v>
      </c>
      <c r="L33" s="558">
        <v>0.36666666666666664</v>
      </c>
      <c r="M33" s="558">
        <v>0.45</v>
      </c>
      <c r="N33" s="558">
        <v>0.41666666666666669</v>
      </c>
      <c r="O33" s="66">
        <f t="shared" ref="O33" si="43">AVERAGE(P33:S33)</f>
        <v>0.40033333333333337</v>
      </c>
      <c r="P33" s="558">
        <v>0.3706666666666667</v>
      </c>
      <c r="Q33" s="558">
        <v>0.3666666666666667</v>
      </c>
      <c r="R33" s="558">
        <v>0.44799999999999995</v>
      </c>
      <c r="S33" s="558">
        <v>0.41600000000000009</v>
      </c>
      <c r="T33" s="74">
        <v>0.01</v>
      </c>
      <c r="U33" s="74">
        <v>0.02</v>
      </c>
      <c r="V33" s="592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4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59">
        <v>0.3666666666666667</v>
      </c>
      <c r="L34" s="559">
        <v>0.44666666666666671</v>
      </c>
      <c r="M34" s="559">
        <v>0.59</v>
      </c>
      <c r="N34" s="559">
        <v>0.48333333333333334</v>
      </c>
      <c r="O34" s="66">
        <f>AVERAGE(P34:S34)</f>
        <v>0.47039166666666665</v>
      </c>
      <c r="P34" s="559">
        <v>0.36503333333333332</v>
      </c>
      <c r="Q34" s="559">
        <v>0.44336666666666663</v>
      </c>
      <c r="R34" s="559">
        <v>0.58906666666666663</v>
      </c>
      <c r="S34" s="559">
        <v>0.48410000000000003</v>
      </c>
      <c r="T34" s="74">
        <v>0.01</v>
      </c>
      <c r="U34" s="74">
        <v>0.02</v>
      </c>
      <c r="V34" s="592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4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8">
        <v>0.36999999999999994</v>
      </c>
      <c r="L35" s="558">
        <v>0.36666666666666664</v>
      </c>
      <c r="M35" s="558">
        <v>0.45</v>
      </c>
      <c r="N35" s="558">
        <v>0.41666666666666669</v>
      </c>
      <c r="O35" s="66">
        <f t="shared" ref="O35" si="47">AVERAGE(P35:S35)</f>
        <v>0.40033333333333337</v>
      </c>
      <c r="P35" s="558">
        <v>0.3706666666666667</v>
      </c>
      <c r="Q35" s="558">
        <v>0.3666666666666667</v>
      </c>
      <c r="R35" s="558">
        <v>0.44799999999999995</v>
      </c>
      <c r="S35" s="558">
        <v>0.41600000000000009</v>
      </c>
      <c r="T35" s="74">
        <v>0.01</v>
      </c>
      <c r="U35" s="74">
        <v>0.02</v>
      </c>
      <c r="V35" s="592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4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59">
        <v>0.3666666666666667</v>
      </c>
      <c r="L36" s="559">
        <v>0.44666666666666671</v>
      </c>
      <c r="M36" s="559">
        <v>0.59</v>
      </c>
      <c r="N36" s="559">
        <v>0.48333333333333334</v>
      </c>
      <c r="O36" s="66">
        <f>AVERAGE(P36:S36)</f>
        <v>0.47039166666666665</v>
      </c>
      <c r="P36" s="559">
        <v>0.36503333333333332</v>
      </c>
      <c r="Q36" s="559">
        <v>0.44336666666666663</v>
      </c>
      <c r="R36" s="559">
        <v>0.58906666666666663</v>
      </c>
      <c r="S36" s="559">
        <v>0.48410000000000003</v>
      </c>
      <c r="T36" s="74">
        <v>0.01</v>
      </c>
      <c r="U36" s="74">
        <v>0.02</v>
      </c>
      <c r="V36" s="592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4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8">
        <v>0.36999999999999994</v>
      </c>
      <c r="L37" s="558">
        <v>0.36666666666666664</v>
      </c>
      <c r="M37" s="558">
        <v>0.45</v>
      </c>
      <c r="N37" s="558">
        <v>0.41666666666666669</v>
      </c>
      <c r="O37" s="66">
        <f t="shared" ref="O37:O53" si="53">AVERAGE(P37:S37)</f>
        <v>0.40033333333333337</v>
      </c>
      <c r="P37" s="558">
        <v>0.3706666666666667</v>
      </c>
      <c r="Q37" s="558">
        <v>0.3666666666666667</v>
      </c>
      <c r="R37" s="558">
        <v>0.44799999999999995</v>
      </c>
      <c r="S37" s="558">
        <v>0.41600000000000009</v>
      </c>
      <c r="T37" s="74">
        <v>0.01</v>
      </c>
      <c r="U37" s="74">
        <v>0.02</v>
      </c>
      <c r="V37" s="592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4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59">
        <v>0.3666666666666667</v>
      </c>
      <c r="L38" s="559">
        <v>0.44666666666666671</v>
      </c>
      <c r="M38" s="559">
        <v>0.59</v>
      </c>
      <c r="N38" s="559">
        <v>0.48333333333333334</v>
      </c>
      <c r="O38" s="66">
        <f t="shared" si="53"/>
        <v>0.47039166666666665</v>
      </c>
      <c r="P38" s="559">
        <v>0.36503333333333332</v>
      </c>
      <c r="Q38" s="559">
        <v>0.44336666666666663</v>
      </c>
      <c r="R38" s="559">
        <v>0.58906666666666663</v>
      </c>
      <c r="S38" s="559">
        <v>0.48410000000000003</v>
      </c>
      <c r="T38" s="74">
        <v>0.01</v>
      </c>
      <c r="U38" s="74">
        <v>0.02</v>
      </c>
      <c r="V38" s="592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4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8">
        <v>0.36999999999999994</v>
      </c>
      <c r="L39" s="558">
        <v>0.36666666666666664</v>
      </c>
      <c r="M39" s="558">
        <v>0.45</v>
      </c>
      <c r="N39" s="558">
        <v>0.41666666666666669</v>
      </c>
      <c r="O39" s="66">
        <f t="shared" si="53"/>
        <v>0.40033333333333337</v>
      </c>
      <c r="P39" s="558">
        <v>0.3706666666666667</v>
      </c>
      <c r="Q39" s="558">
        <v>0.3666666666666667</v>
      </c>
      <c r="R39" s="558">
        <v>0.44799999999999995</v>
      </c>
      <c r="S39" s="558">
        <v>0.41600000000000009</v>
      </c>
      <c r="T39" s="74">
        <v>0.01</v>
      </c>
      <c r="U39" s="74">
        <v>0.02</v>
      </c>
      <c r="V39" s="592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4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59">
        <v>0.3666666666666667</v>
      </c>
      <c r="L40" s="559">
        <v>0.44666666666666671</v>
      </c>
      <c r="M40" s="559">
        <v>0.59</v>
      </c>
      <c r="N40" s="559">
        <v>0.48333333333333334</v>
      </c>
      <c r="O40" s="66">
        <f t="shared" si="53"/>
        <v>0.47039166666666665</v>
      </c>
      <c r="P40" s="559">
        <v>0.36503333333333332</v>
      </c>
      <c r="Q40" s="559">
        <v>0.44336666666666663</v>
      </c>
      <c r="R40" s="559">
        <v>0.58906666666666663</v>
      </c>
      <c r="S40" s="559">
        <v>0.48410000000000003</v>
      </c>
      <c r="T40" s="74">
        <v>0.01</v>
      </c>
      <c r="U40" s="74">
        <v>0.02</v>
      </c>
      <c r="V40" s="592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4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0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2">
        <v>0.48</v>
      </c>
      <c r="L41" s="602">
        <v>0.55000000000000004</v>
      </c>
      <c r="M41" s="602">
        <v>0.78</v>
      </c>
      <c r="N41" s="602">
        <v>0.73</v>
      </c>
      <c r="O41" s="66">
        <f t="shared" si="53"/>
        <v>0.63500000000000001</v>
      </c>
      <c r="P41" s="602">
        <v>0.48</v>
      </c>
      <c r="Q41" s="602">
        <v>0.55000000000000004</v>
      </c>
      <c r="R41" s="602">
        <v>0.78</v>
      </c>
      <c r="S41" s="602">
        <v>0.73</v>
      </c>
      <c r="T41" s="603">
        <v>0.01</v>
      </c>
      <c r="U41" s="603">
        <v>0.02</v>
      </c>
      <c r="V41" s="592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4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0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2">
        <v>0.48</v>
      </c>
      <c r="L42" s="602">
        <v>0.55000000000000004</v>
      </c>
      <c r="M42" s="602">
        <v>0.78</v>
      </c>
      <c r="N42" s="602">
        <v>0.73</v>
      </c>
      <c r="O42" s="66">
        <f t="shared" si="53"/>
        <v>0.63500000000000001</v>
      </c>
      <c r="P42" s="602">
        <v>0.48</v>
      </c>
      <c r="Q42" s="602">
        <v>0.55000000000000004</v>
      </c>
      <c r="R42" s="602">
        <v>0.78</v>
      </c>
      <c r="S42" s="602">
        <v>0.73</v>
      </c>
      <c r="T42" s="603">
        <v>0.01</v>
      </c>
      <c r="U42" s="603">
        <v>0.02</v>
      </c>
      <c r="V42" s="592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4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0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2">
        <v>0.48</v>
      </c>
      <c r="L43" s="602">
        <v>0.55000000000000004</v>
      </c>
      <c r="M43" s="602">
        <v>0.78</v>
      </c>
      <c r="N43" s="602">
        <v>0.73</v>
      </c>
      <c r="O43" s="66">
        <f t="shared" si="53"/>
        <v>0.63500000000000001</v>
      </c>
      <c r="P43" s="602">
        <v>0.48</v>
      </c>
      <c r="Q43" s="602">
        <v>0.55000000000000004</v>
      </c>
      <c r="R43" s="602">
        <v>0.78</v>
      </c>
      <c r="S43" s="602">
        <v>0.73</v>
      </c>
      <c r="T43" s="603">
        <v>0.01</v>
      </c>
      <c r="U43" s="603">
        <v>0.02</v>
      </c>
      <c r="V43" s="592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4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0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2">
        <v>0.48</v>
      </c>
      <c r="L44" s="602">
        <v>0.55000000000000004</v>
      </c>
      <c r="M44" s="602">
        <v>0.78</v>
      </c>
      <c r="N44" s="602">
        <v>0.73</v>
      </c>
      <c r="O44" s="66">
        <f t="shared" si="53"/>
        <v>0.63500000000000001</v>
      </c>
      <c r="P44" s="602">
        <v>0.48</v>
      </c>
      <c r="Q44" s="602">
        <v>0.55000000000000004</v>
      </c>
      <c r="R44" s="602">
        <v>0.78</v>
      </c>
      <c r="S44" s="602">
        <v>0.73</v>
      </c>
      <c r="T44" s="603">
        <v>0.01</v>
      </c>
      <c r="U44" s="603">
        <v>0.02</v>
      </c>
      <c r="V44" s="592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4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0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2">
        <v>0.48</v>
      </c>
      <c r="L45" s="602">
        <v>0.55000000000000004</v>
      </c>
      <c r="M45" s="602">
        <v>0.78</v>
      </c>
      <c r="N45" s="602">
        <v>0.73</v>
      </c>
      <c r="O45" s="66">
        <f t="shared" si="53"/>
        <v>0.63500000000000001</v>
      </c>
      <c r="P45" s="602">
        <v>0.48</v>
      </c>
      <c r="Q45" s="602">
        <v>0.55000000000000004</v>
      </c>
      <c r="R45" s="602">
        <v>0.78</v>
      </c>
      <c r="S45" s="602">
        <v>0.73</v>
      </c>
      <c r="T45" s="603">
        <v>0.01</v>
      </c>
      <c r="U45" s="603">
        <v>0.02</v>
      </c>
      <c r="V45" s="592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4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0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2">
        <v>0.48</v>
      </c>
      <c r="L46" s="602">
        <v>0.55000000000000004</v>
      </c>
      <c r="M46" s="602">
        <v>0.78</v>
      </c>
      <c r="N46" s="602">
        <v>0.73</v>
      </c>
      <c r="O46" s="66">
        <f t="shared" si="53"/>
        <v>0.63500000000000001</v>
      </c>
      <c r="P46" s="602">
        <v>0.48</v>
      </c>
      <c r="Q46" s="602">
        <v>0.55000000000000004</v>
      </c>
      <c r="R46" s="602">
        <v>0.78</v>
      </c>
      <c r="S46" s="602">
        <v>0.73</v>
      </c>
      <c r="T46" s="603">
        <v>0.01</v>
      </c>
      <c r="U46" s="603">
        <v>0.02</v>
      </c>
      <c r="V46" s="592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4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0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2">
        <v>0.48</v>
      </c>
      <c r="L47" s="602">
        <v>0.55000000000000004</v>
      </c>
      <c r="M47" s="602">
        <v>0.78</v>
      </c>
      <c r="N47" s="602">
        <v>0.73</v>
      </c>
      <c r="O47" s="66">
        <f t="shared" si="53"/>
        <v>0.63500000000000001</v>
      </c>
      <c r="P47" s="602">
        <v>0.48</v>
      </c>
      <c r="Q47" s="602">
        <v>0.55000000000000004</v>
      </c>
      <c r="R47" s="602">
        <v>0.78</v>
      </c>
      <c r="S47" s="602">
        <v>0.73</v>
      </c>
      <c r="T47" s="603">
        <v>0.01</v>
      </c>
      <c r="U47" s="603">
        <v>0.02</v>
      </c>
      <c r="V47" s="592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4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0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2">
        <v>0.48</v>
      </c>
      <c r="L48" s="602">
        <v>0.55000000000000004</v>
      </c>
      <c r="M48" s="602">
        <v>0.78</v>
      </c>
      <c r="N48" s="602">
        <v>0.73</v>
      </c>
      <c r="O48" s="66">
        <f t="shared" si="53"/>
        <v>0.63500000000000001</v>
      </c>
      <c r="P48" s="602">
        <v>0.48</v>
      </c>
      <c r="Q48" s="602">
        <v>0.55000000000000004</v>
      </c>
      <c r="R48" s="602">
        <v>0.78</v>
      </c>
      <c r="S48" s="602">
        <v>0.73</v>
      </c>
      <c r="T48" s="603">
        <v>0.01</v>
      </c>
      <c r="U48" s="603">
        <v>0.02</v>
      </c>
      <c r="V48" s="592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4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0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2">
        <v>0.48</v>
      </c>
      <c r="L49" s="602">
        <v>0.55000000000000004</v>
      </c>
      <c r="M49" s="602">
        <v>0.78</v>
      </c>
      <c r="N49" s="602">
        <v>0.73</v>
      </c>
      <c r="O49" s="66">
        <f t="shared" si="53"/>
        <v>0.63500000000000001</v>
      </c>
      <c r="P49" s="602">
        <v>0.48</v>
      </c>
      <c r="Q49" s="602">
        <v>0.55000000000000004</v>
      </c>
      <c r="R49" s="602">
        <v>0.78</v>
      </c>
      <c r="S49" s="602">
        <v>0.73</v>
      </c>
      <c r="T49" s="603">
        <v>0.01</v>
      </c>
      <c r="U49" s="603">
        <v>0.02</v>
      </c>
      <c r="V49" s="592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4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0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2">
        <v>0.48</v>
      </c>
      <c r="L50" s="602">
        <v>0.55000000000000004</v>
      </c>
      <c r="M50" s="602">
        <v>0.78</v>
      </c>
      <c r="N50" s="602">
        <v>0.73</v>
      </c>
      <c r="O50" s="66">
        <f t="shared" si="53"/>
        <v>0.63500000000000001</v>
      </c>
      <c r="P50" s="602">
        <v>0.48</v>
      </c>
      <c r="Q50" s="602">
        <v>0.55000000000000004</v>
      </c>
      <c r="R50" s="602">
        <v>0.78</v>
      </c>
      <c r="S50" s="602">
        <v>0.73</v>
      </c>
      <c r="T50" s="603">
        <v>0.01</v>
      </c>
      <c r="U50" s="603">
        <v>0.02</v>
      </c>
      <c r="V50" s="592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4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0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2">
        <v>0.48</v>
      </c>
      <c r="L51" s="602">
        <v>0.55000000000000004</v>
      </c>
      <c r="M51" s="602">
        <v>0.78</v>
      </c>
      <c r="N51" s="602">
        <v>0.73</v>
      </c>
      <c r="O51" s="66">
        <f t="shared" si="53"/>
        <v>0.63500000000000001</v>
      </c>
      <c r="P51" s="602">
        <v>0.48</v>
      </c>
      <c r="Q51" s="602">
        <v>0.55000000000000004</v>
      </c>
      <c r="R51" s="602">
        <v>0.78</v>
      </c>
      <c r="S51" s="602">
        <v>0.73</v>
      </c>
      <c r="T51" s="603">
        <v>0.01</v>
      </c>
      <c r="U51" s="603">
        <v>0.02</v>
      </c>
      <c r="V51" s="592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4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0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2">
        <v>0.48</v>
      </c>
      <c r="L52" s="602">
        <v>0.55000000000000004</v>
      </c>
      <c r="M52" s="602">
        <v>0.78</v>
      </c>
      <c r="N52" s="602">
        <v>0.73</v>
      </c>
      <c r="O52" s="66">
        <f t="shared" si="53"/>
        <v>0.63500000000000001</v>
      </c>
      <c r="P52" s="602">
        <v>0.48</v>
      </c>
      <c r="Q52" s="602">
        <v>0.55000000000000004</v>
      </c>
      <c r="R52" s="602">
        <v>0.78</v>
      </c>
      <c r="S52" s="602">
        <v>0.73</v>
      </c>
      <c r="T52" s="603">
        <v>0.01</v>
      </c>
      <c r="U52" s="603">
        <v>0.02</v>
      </c>
      <c r="V52" s="592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4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3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1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1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2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4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8">
        <v>1</v>
      </c>
      <c r="L54" s="558">
        <v>1</v>
      </c>
      <c r="M54" s="558">
        <v>1</v>
      </c>
      <c r="N54" s="558">
        <v>1</v>
      </c>
      <c r="O54" s="66">
        <f t="shared" ref="O54:O55" si="66">AVERAGE(P54:S54)</f>
        <v>1</v>
      </c>
      <c r="P54" s="558">
        <v>1</v>
      </c>
      <c r="Q54" s="558">
        <v>1</v>
      </c>
      <c r="R54" s="558">
        <v>1</v>
      </c>
      <c r="S54" s="558">
        <v>1</v>
      </c>
      <c r="T54" s="74">
        <v>3.7499999999999999E-2</v>
      </c>
      <c r="U54" s="74">
        <v>4.2500000000000003E-2</v>
      </c>
      <c r="V54" s="592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4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7" customFormat="1">
      <c r="A55" s="564">
        <v>500</v>
      </c>
      <c r="B55" s="620" t="s">
        <v>256</v>
      </c>
      <c r="C55" s="73">
        <v>1</v>
      </c>
      <c r="D55" s="77">
        <v>0</v>
      </c>
      <c r="E55" s="556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2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4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1"/>
      <c r="AV55" s="577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8">
        <v>1</v>
      </c>
      <c r="L56" s="558">
        <v>1</v>
      </c>
      <c r="M56" s="558">
        <v>1</v>
      </c>
      <c r="N56" s="558">
        <v>1</v>
      </c>
      <c r="O56" s="66">
        <v>1</v>
      </c>
      <c r="P56" s="558">
        <v>1</v>
      </c>
      <c r="Q56" s="558">
        <v>1</v>
      </c>
      <c r="R56" s="558">
        <v>1</v>
      </c>
      <c r="S56" s="558">
        <v>1</v>
      </c>
      <c r="T56" s="74">
        <v>2.06E-2</v>
      </c>
      <c r="U56" s="74">
        <v>3.2599999999999997E-2</v>
      </c>
      <c r="V56" s="592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1">
        <f>1000*0.4</f>
        <v>400</v>
      </c>
      <c r="AF56" s="632">
        <f>AE56*constantes!$B$4</f>
        <v>1560</v>
      </c>
      <c r="AG56" s="23">
        <v>1</v>
      </c>
      <c r="AH56" s="23"/>
      <c r="AI56" s="23"/>
      <c r="AJ56" s="634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8">
        <v>1</v>
      </c>
      <c r="L57" s="558">
        <v>1</v>
      </c>
      <c r="M57" s="558">
        <v>1</v>
      </c>
      <c r="N57" s="558">
        <v>1</v>
      </c>
      <c r="O57" s="66">
        <v>1</v>
      </c>
      <c r="P57" s="558">
        <v>1</v>
      </c>
      <c r="Q57" s="558">
        <v>1</v>
      </c>
      <c r="R57" s="558">
        <v>1</v>
      </c>
      <c r="S57" s="558">
        <v>1</v>
      </c>
      <c r="T57" s="74">
        <v>2.06E-2</v>
      </c>
      <c r="U57" s="74">
        <v>3.2599999999999997E-2</v>
      </c>
      <c r="V57" s="592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1">
        <f>1000*0.4</f>
        <v>400</v>
      </c>
      <c r="AF57" s="632">
        <f>AE57*constantes!$B$4</f>
        <v>1560</v>
      </c>
      <c r="AG57" s="23">
        <v>1</v>
      </c>
      <c r="AH57" s="23"/>
      <c r="AI57" s="23"/>
      <c r="AJ57" s="634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7" customFormat="1">
      <c r="A58" s="564">
        <v>502</v>
      </c>
      <c r="B58" s="388" t="s">
        <v>259</v>
      </c>
      <c r="C58" s="578">
        <v>1</v>
      </c>
      <c r="D58" s="579">
        <v>0</v>
      </c>
      <c r="E58" s="580">
        <v>1</v>
      </c>
      <c r="F58" s="565">
        <v>0.9474715600000001</v>
      </c>
      <c r="G58" s="565">
        <v>0.9474715600000001</v>
      </c>
      <c r="H58" s="565">
        <v>0.9474715600000001</v>
      </c>
      <c r="I58" s="565">
        <v>0.9474715600000001</v>
      </c>
      <c r="J58" s="581">
        <v>1</v>
      </c>
      <c r="K58" s="566">
        <v>1</v>
      </c>
      <c r="L58" s="566">
        <v>1</v>
      </c>
      <c r="M58" s="566">
        <v>1</v>
      </c>
      <c r="N58" s="566">
        <v>1</v>
      </c>
      <c r="O58" s="581">
        <v>1</v>
      </c>
      <c r="P58" s="566">
        <v>1</v>
      </c>
      <c r="Q58" s="566">
        <v>1</v>
      </c>
      <c r="R58" s="566">
        <v>1</v>
      </c>
      <c r="S58" s="566">
        <v>1</v>
      </c>
      <c r="T58" s="582">
        <v>2.06E-2</v>
      </c>
      <c r="U58" s="582">
        <v>3.2599999999999997E-2</v>
      </c>
      <c r="V58" s="592">
        <v>0.9474715600000001</v>
      </c>
      <c r="W58" s="583">
        <v>3</v>
      </c>
      <c r="X58" s="584" t="s">
        <v>28</v>
      </c>
      <c r="Y58" s="585">
        <v>1301</v>
      </c>
      <c r="Z58" s="568">
        <v>2</v>
      </c>
      <c r="AA58" s="568">
        <v>20</v>
      </c>
      <c r="AB58" s="586">
        <v>1</v>
      </c>
      <c r="AC58" s="587">
        <v>0</v>
      </c>
      <c r="AD58" s="77">
        <f t="shared" si="67"/>
        <v>1.248</v>
      </c>
      <c r="AE58" s="633">
        <f>800*0.4</f>
        <v>320</v>
      </c>
      <c r="AF58" s="632">
        <f>AE58*constantes!$B$4</f>
        <v>1248</v>
      </c>
      <c r="AG58" s="589">
        <v>1</v>
      </c>
      <c r="AH58" s="568"/>
      <c r="AI58" s="568"/>
      <c r="AJ58" s="634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5">
        <v>270</v>
      </c>
      <c r="AS58" s="384">
        <v>20</v>
      </c>
      <c r="AT58" s="575">
        <v>279.29000000000002</v>
      </c>
      <c r="AU58" s="591"/>
      <c r="AV58" s="577">
        <v>0.43583543384103762</v>
      </c>
      <c r="AW58" s="575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8">
        <v>1</v>
      </c>
      <c r="L59" s="558">
        <v>1</v>
      </c>
      <c r="M59" s="558">
        <v>1</v>
      </c>
      <c r="N59" s="558">
        <v>1</v>
      </c>
      <c r="O59" s="66">
        <f t="shared" ref="O59:O64" si="75">AVERAGE(P59:S59)</f>
        <v>1</v>
      </c>
      <c r="P59" s="558">
        <v>1</v>
      </c>
      <c r="Q59" s="558">
        <v>1</v>
      </c>
      <c r="R59" s="558">
        <v>1</v>
      </c>
      <c r="S59" s="558">
        <v>1</v>
      </c>
      <c r="T59" s="74">
        <v>0.05</v>
      </c>
      <c r="U59" s="74">
        <v>0.05</v>
      </c>
      <c r="V59" s="592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4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4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2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4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8">
        <v>1</v>
      </c>
      <c r="L61" s="558">
        <v>1</v>
      </c>
      <c r="M61" s="558">
        <v>1</v>
      </c>
      <c r="N61" s="558">
        <v>1</v>
      </c>
      <c r="O61" s="66">
        <f t="shared" si="75"/>
        <v>1</v>
      </c>
      <c r="P61" s="558">
        <v>1</v>
      </c>
      <c r="Q61" s="558">
        <v>1</v>
      </c>
      <c r="R61" s="558">
        <v>1</v>
      </c>
      <c r="S61" s="558">
        <v>1</v>
      </c>
      <c r="T61" s="74">
        <v>2.06E-2</v>
      </c>
      <c r="U61" s="74">
        <v>3.2599999999999997E-2</v>
      </c>
      <c r="V61" s="592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4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8">
        <v>1</v>
      </c>
      <c r="L62" s="558">
        <v>1</v>
      </c>
      <c r="M62" s="558">
        <v>1</v>
      </c>
      <c r="N62" s="558">
        <v>1</v>
      </c>
      <c r="O62" s="66">
        <f t="shared" si="75"/>
        <v>1</v>
      </c>
      <c r="P62" s="558">
        <v>1</v>
      </c>
      <c r="Q62" s="558">
        <v>1</v>
      </c>
      <c r="R62" s="558">
        <v>1</v>
      </c>
      <c r="S62" s="558">
        <v>1</v>
      </c>
      <c r="T62" s="74">
        <v>3.7499999999999999E-2</v>
      </c>
      <c r="U62" s="74">
        <v>4.2500000000000003E-2</v>
      </c>
      <c r="V62" s="592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4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6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8">
        <v>0.58487065377698244</v>
      </c>
      <c r="L63" s="558">
        <v>0.57552916156834211</v>
      </c>
      <c r="M63" s="558">
        <v>0.44621983189814091</v>
      </c>
      <c r="N63" s="558">
        <v>0.43638945101901089</v>
      </c>
      <c r="O63" s="66">
        <f t="shared" si="75"/>
        <v>0.51075227456561911</v>
      </c>
      <c r="P63" s="558">
        <v>0.58487065377698244</v>
      </c>
      <c r="Q63" s="558">
        <v>0.57552916156834211</v>
      </c>
      <c r="R63" s="558">
        <v>0.44621983189814091</v>
      </c>
      <c r="S63" s="558">
        <v>0.43638945101901089</v>
      </c>
      <c r="T63" s="389">
        <v>0.01</v>
      </c>
      <c r="U63" s="389">
        <v>0.02</v>
      </c>
      <c r="V63" s="592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4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8">
        <v>1</v>
      </c>
      <c r="L64" s="558">
        <v>1</v>
      </c>
      <c r="M64" s="558">
        <v>1</v>
      </c>
      <c r="N64" s="558">
        <v>1</v>
      </c>
      <c r="O64" s="66">
        <f t="shared" si="75"/>
        <v>1</v>
      </c>
      <c r="P64" s="558">
        <v>1</v>
      </c>
      <c r="Q64" s="558">
        <v>1</v>
      </c>
      <c r="R64" s="558">
        <v>1</v>
      </c>
      <c r="S64" s="558">
        <v>1</v>
      </c>
      <c r="T64" s="74">
        <v>2.06E-2</v>
      </c>
      <c r="U64" s="74">
        <v>3.2599999999999997E-2</v>
      </c>
      <c r="V64" s="592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1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4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52">
    <cfRule type="cellIs" dxfId="82" priority="84" stopIfTrue="1" operator="equal">
      <formula>0</formula>
    </cfRule>
  </conditionalFormatting>
  <conditionalFormatting sqref="AJ16:AK16">
    <cfRule type="cellIs" dxfId="81" priority="83" stopIfTrue="1" operator="equal">
      <formula>0</formula>
    </cfRule>
  </conditionalFormatting>
  <conditionalFormatting sqref="AJ6:AK6 AJ8:AK8">
    <cfRule type="cellIs" dxfId="80" priority="67" stopIfTrue="1" operator="equal">
      <formula>0</formula>
    </cfRule>
  </conditionalFormatting>
  <conditionalFormatting sqref="AJ4:AK4">
    <cfRule type="cellIs" dxfId="79" priority="65" stopIfTrue="1" operator="equal">
      <formula>0</formula>
    </cfRule>
  </conditionalFormatting>
  <conditionalFormatting sqref="AJ5:AK5">
    <cfRule type="cellIs" dxfId="78" priority="64" stopIfTrue="1" operator="equal">
      <formula>0</formula>
    </cfRule>
  </conditionalFormatting>
  <conditionalFormatting sqref="AJ7:AK7">
    <cfRule type="cellIs" dxfId="77" priority="63" stopIfTrue="1" operator="equal">
      <formula>0</formula>
    </cfRule>
  </conditionalFormatting>
  <conditionalFormatting sqref="AJ32:AK32">
    <cfRule type="cellIs" dxfId="76" priority="60" stopIfTrue="1" operator="equal">
      <formula>0</formula>
    </cfRule>
  </conditionalFormatting>
  <conditionalFormatting sqref="AJ10:AK11">
    <cfRule type="cellIs" dxfId="75" priority="59" stopIfTrue="1" operator="equal">
      <formula>0</formula>
    </cfRule>
  </conditionalFormatting>
  <conditionalFormatting sqref="AJ35:AK35">
    <cfRule type="cellIs" dxfId="74" priority="58" stopIfTrue="1" operator="equal">
      <formula>0</formula>
    </cfRule>
  </conditionalFormatting>
  <conditionalFormatting sqref="AJ33:AK33">
    <cfRule type="cellIs" dxfId="73" priority="57" stopIfTrue="1" operator="equal">
      <formula>0</formula>
    </cfRule>
  </conditionalFormatting>
  <conditionalFormatting sqref="A65:A1048576 A1 A53">
    <cfRule type="duplicateValues" dxfId="72" priority="347"/>
  </conditionalFormatting>
  <conditionalFormatting sqref="A2:A23 A32:A40">
    <cfRule type="duplicateValues" dxfId="71" priority="350"/>
  </conditionalFormatting>
  <conditionalFormatting sqref="AJ13:AK13">
    <cfRule type="cellIs" dxfId="70" priority="32" stopIfTrue="1" operator="equal">
      <formula>0</formula>
    </cfRule>
  </conditionalFormatting>
  <conditionalFormatting sqref="AJ24:AK31">
    <cfRule type="cellIs" dxfId="69" priority="30" stopIfTrue="1" operator="equal">
      <formula>0</formula>
    </cfRule>
  </conditionalFormatting>
  <conditionalFormatting sqref="A24:A31">
    <cfRule type="duplicateValues" dxfId="68" priority="31"/>
  </conditionalFormatting>
  <conditionalFormatting sqref="AJ53:AK53">
    <cfRule type="cellIs" dxfId="67" priority="29" stopIfTrue="1" operator="equal">
      <formula>0</formula>
    </cfRule>
  </conditionalFormatting>
  <conditionalFormatting sqref="A41:A52">
    <cfRule type="duplicateValues" dxfId="66" priority="28"/>
  </conditionalFormatting>
  <conditionalFormatting sqref="AJ54:AK54">
    <cfRule type="cellIs" dxfId="65" priority="25" stopIfTrue="1" operator="equal">
      <formula>0</formula>
    </cfRule>
  </conditionalFormatting>
  <conditionalFormatting sqref="A54">
    <cfRule type="duplicateValues" dxfId="64" priority="26"/>
  </conditionalFormatting>
  <conditionalFormatting sqref="A55">
    <cfRule type="duplicateValues" dxfId="63" priority="24"/>
  </conditionalFormatting>
  <conditionalFormatting sqref="AJ55:AK55 AJ57:AK58">
    <cfRule type="cellIs" dxfId="62" priority="22" stopIfTrue="1" operator="equal">
      <formula>0</formula>
    </cfRule>
  </conditionalFormatting>
  <conditionalFormatting sqref="AJ17:AK17">
    <cfRule type="cellIs" dxfId="61" priority="21" stopIfTrue="1" operator="equal">
      <formula>0</formula>
    </cfRule>
  </conditionalFormatting>
  <conditionalFormatting sqref="AJ18:AK18">
    <cfRule type="cellIs" dxfId="60" priority="20" stopIfTrue="1" operator="equal">
      <formula>0</formula>
    </cfRule>
  </conditionalFormatting>
  <conditionalFormatting sqref="AJ19:AK19">
    <cfRule type="cellIs" dxfId="59" priority="19" stopIfTrue="1" operator="equal">
      <formula>0</formula>
    </cfRule>
  </conditionalFormatting>
  <conditionalFormatting sqref="A56:A60">
    <cfRule type="duplicateValues" dxfId="58" priority="18"/>
  </conditionalFormatting>
  <conditionalFormatting sqref="AJ59:AK59">
    <cfRule type="cellIs" dxfId="57" priority="14" stopIfTrue="1" operator="equal">
      <formula>0</formula>
    </cfRule>
  </conditionalFormatting>
  <conditionalFormatting sqref="AJ60:AK60">
    <cfRule type="cellIs" dxfId="56" priority="12" stopIfTrue="1" operator="equal">
      <formula>0</formula>
    </cfRule>
  </conditionalFormatting>
  <conditionalFormatting sqref="AJ56:AK56">
    <cfRule type="cellIs" dxfId="55" priority="11" stopIfTrue="1" operator="equal">
      <formula>0</formula>
    </cfRule>
  </conditionalFormatting>
  <conditionalFormatting sqref="AJ61:AK61">
    <cfRule type="cellIs" dxfId="54" priority="9" stopIfTrue="1" operator="equal">
      <formula>0</formula>
    </cfRule>
  </conditionalFormatting>
  <conditionalFormatting sqref="A62">
    <cfRule type="duplicateValues" dxfId="53" priority="8"/>
  </conditionalFormatting>
  <conditionalFormatting sqref="AJ62:AK64">
    <cfRule type="cellIs" dxfId="52" priority="6" stopIfTrue="1" operator="equal">
      <formula>0</formula>
    </cfRule>
  </conditionalFormatting>
  <conditionalFormatting sqref="A63:A64">
    <cfRule type="duplicateValues" dxfId="51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9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9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9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9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9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7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7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8">
        <v>9.7699999999999995E-2</v>
      </c>
      <c r="I72" s="608">
        <v>0.12210000000000001</v>
      </c>
      <c r="J72" s="608">
        <v>0.5</v>
      </c>
      <c r="K72" s="608">
        <v>1</v>
      </c>
      <c r="L72" s="609">
        <v>1</v>
      </c>
      <c r="M72" s="610">
        <v>1</v>
      </c>
      <c r="N72" s="610">
        <v>1</v>
      </c>
      <c r="O72" s="610">
        <v>1</v>
      </c>
      <c r="P72" s="610">
        <v>1</v>
      </c>
      <c r="Q72" s="610">
        <v>1</v>
      </c>
      <c r="R72" s="610">
        <v>1</v>
      </c>
      <c r="S72" s="610">
        <v>1</v>
      </c>
      <c r="T72" s="610">
        <v>1</v>
      </c>
      <c r="U72" s="610">
        <v>1</v>
      </c>
      <c r="V72" s="396"/>
      <c r="W72" s="396"/>
      <c r="X72" s="396"/>
      <c r="Y72" s="396"/>
      <c r="Z72" s="396"/>
      <c r="AA72" s="396"/>
      <c r="AB72" s="396">
        <v>2024</v>
      </c>
      <c r="AC72" s="610">
        <v>2044</v>
      </c>
      <c r="AD72" s="396">
        <v>0</v>
      </c>
      <c r="AE72" s="396">
        <v>0</v>
      </c>
      <c r="AF72" s="611">
        <v>34</v>
      </c>
      <c r="AG72" s="611">
        <v>178</v>
      </c>
      <c r="AH72" s="612">
        <v>0.57999999999999996</v>
      </c>
      <c r="AI72" s="612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50" priority="2" operator="greaterThan">
      <formula>Z2</formula>
    </cfRule>
  </conditionalFormatting>
  <conditionalFormatting sqref="V108">
    <cfRule type="cellIs" dxfId="49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29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29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1865</v>
      </c>
      <c r="D1471" s="605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1867</v>
      </c>
      <c r="D1472" s="605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1868</v>
      </c>
      <c r="D1473" s="605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1869</v>
      </c>
      <c r="D1474" s="605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1870</v>
      </c>
      <c r="D1475" s="605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1871</v>
      </c>
      <c r="D1476" s="605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1448</v>
      </c>
      <c r="D1477" s="605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1449</v>
      </c>
      <c r="D1478" s="605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1017</v>
      </c>
      <c r="D1479" s="605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1872</v>
      </c>
      <c r="D1480" s="605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1873</v>
      </c>
      <c r="D1481" s="605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1874</v>
      </c>
      <c r="D1482" s="605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1875</v>
      </c>
      <c r="D1483" s="605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1876</v>
      </c>
      <c r="D1484" s="605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1266</v>
      </c>
      <c r="D1485" s="605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1267</v>
      </c>
      <c r="D1486" s="605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1287</v>
      </c>
      <c r="D1487" s="605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1288</v>
      </c>
      <c r="D1488" s="605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1877</v>
      </c>
      <c r="D1489" s="605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1878</v>
      </c>
      <c r="D1490" s="605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1879</v>
      </c>
      <c r="D1491" s="605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1586</v>
      </c>
      <c r="D1492" s="605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1006</v>
      </c>
      <c r="D1493" s="605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1880</v>
      </c>
      <c r="D1494" s="605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1007</v>
      </c>
      <c r="D1495" s="605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1016</v>
      </c>
      <c r="D1496" s="605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1881</v>
      </c>
      <c r="D1497" s="605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1882</v>
      </c>
      <c r="D1498" s="605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1883</v>
      </c>
      <c r="D1499" s="605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1884</v>
      </c>
      <c r="D1500" s="605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1885</v>
      </c>
      <c r="D1501" s="605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1886</v>
      </c>
      <c r="D1502" s="605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1887</v>
      </c>
      <c r="D1503" s="605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1888</v>
      </c>
      <c r="D1504" s="605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1889</v>
      </c>
      <c r="D1505" s="605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1890</v>
      </c>
      <c r="D1506" s="605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1891</v>
      </c>
      <c r="D1507" s="605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1892</v>
      </c>
      <c r="D1508" s="605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1893</v>
      </c>
      <c r="D1509" s="605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1894</v>
      </c>
      <c r="D1510" s="605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1895</v>
      </c>
      <c r="D1511" s="605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1896</v>
      </c>
      <c r="D1512" s="605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1897</v>
      </c>
      <c r="D1513" s="605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1281</v>
      </c>
      <c r="D1514" s="605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1322</v>
      </c>
      <c r="D1515" s="605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1323</v>
      </c>
      <c r="D1516" s="605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1898</v>
      </c>
      <c r="D1517" s="605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1899</v>
      </c>
      <c r="D1518" s="605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1446</v>
      </c>
      <c r="D1519" s="605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1468</v>
      </c>
      <c r="D1520" s="605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1469</v>
      </c>
      <c r="D1521" s="605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1537</v>
      </c>
      <c r="D1522" s="605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1900</v>
      </c>
      <c r="D1523" s="605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1351</v>
      </c>
      <c r="D1524" s="605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1393</v>
      </c>
      <c r="D1525" s="605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1472</v>
      </c>
      <c r="D1526" s="605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1901</v>
      </c>
      <c r="D1527" s="605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1902</v>
      </c>
      <c r="D1528" s="605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1365</v>
      </c>
      <c r="D1529" s="605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1903</v>
      </c>
      <c r="D1530" s="605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1904</v>
      </c>
      <c r="D1531" s="605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1905</v>
      </c>
      <c r="D1532" s="605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1906</v>
      </c>
      <c r="D1533" s="605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1907</v>
      </c>
      <c r="D1534" s="605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1908</v>
      </c>
      <c r="D1535" s="605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1009</v>
      </c>
      <c r="D1536" s="605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1014</v>
      </c>
      <c r="D1537" s="605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1174</v>
      </c>
      <c r="D1538" s="605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1177</v>
      </c>
      <c r="D1539" s="605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1225</v>
      </c>
      <c r="D1540" s="605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1234</v>
      </c>
      <c r="D1541" s="605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1237</v>
      </c>
      <c r="D1542" s="605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1378</v>
      </c>
      <c r="D1543" s="605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1909</v>
      </c>
      <c r="D1544" s="605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1910</v>
      </c>
      <c r="D1545" s="605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1911</v>
      </c>
      <c r="D1546" s="605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1912</v>
      </c>
      <c r="D1547" s="605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1913</v>
      </c>
      <c r="D1548" s="605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1914</v>
      </c>
      <c r="D1549" s="605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1915</v>
      </c>
      <c r="D1550" s="605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1916</v>
      </c>
      <c r="D1551" s="605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1917</v>
      </c>
      <c r="D1552" s="606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1918</v>
      </c>
      <c r="D1553" s="606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1919</v>
      </c>
      <c r="D1554" s="606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1920</v>
      </c>
      <c r="D1555" s="606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1921</v>
      </c>
      <c r="D1556" s="606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1922</v>
      </c>
      <c r="D1557" s="606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1923</v>
      </c>
      <c r="D1558" s="606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1924</v>
      </c>
      <c r="D1559" s="606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1925</v>
      </c>
      <c r="D1560" s="606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1926</v>
      </c>
      <c r="D1561" s="606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1927</v>
      </c>
      <c r="D1562" s="607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1373</v>
      </c>
      <c r="D1563" s="606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1928</v>
      </c>
      <c r="D1564" s="606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1929</v>
      </c>
      <c r="D1565" s="606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1930</v>
      </c>
      <c r="D1566" s="606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1931</v>
      </c>
      <c r="D1567" s="606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1932</v>
      </c>
      <c r="D1568" s="606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1933</v>
      </c>
      <c r="D1569" s="606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1934</v>
      </c>
      <c r="D1570" s="606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1935</v>
      </c>
      <c r="D1571" s="606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1936</v>
      </c>
      <c r="D1572" s="606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1937</v>
      </c>
      <c r="D1573" s="606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1938</v>
      </c>
      <c r="D1574" s="606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1939</v>
      </c>
      <c r="D1575" s="606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1940</v>
      </c>
      <c r="D1576" s="606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1941</v>
      </c>
      <c r="D1577" s="606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1942</v>
      </c>
      <c r="D1578" s="606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1391</v>
      </c>
      <c r="D1579" s="605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1280</v>
      </c>
      <c r="D1580" s="605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1943</v>
      </c>
      <c r="D1581" s="605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1944</v>
      </c>
      <c r="D1582" s="605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1945</v>
      </c>
      <c r="D1583" s="605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1946</v>
      </c>
      <c r="D1584" s="605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1947</v>
      </c>
      <c r="D1585" s="605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1948</v>
      </c>
      <c r="D1586" s="605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1949</v>
      </c>
      <c r="D1587" s="605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1950</v>
      </c>
      <c r="D1588" s="605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1951</v>
      </c>
      <c r="D1589" s="605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9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0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8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3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48" priority="21"/>
  </conditionalFormatting>
  <conditionalFormatting sqref="C163:C1048576 C1:C15 C152:C158 C20:C145">
    <cfRule type="duplicateValues" dxfId="47" priority="22"/>
  </conditionalFormatting>
  <conditionalFormatting sqref="C163:C1048576 C1:C15 C152:C158 C19:C145">
    <cfRule type="duplicateValues" dxfId="46" priority="23"/>
  </conditionalFormatting>
  <conditionalFormatting sqref="C1:C15 C19:C1048576">
    <cfRule type="duplicateValues" dxfId="45" priority="16"/>
    <cfRule type="duplicateValues" dxfId="44" priority="17"/>
    <cfRule type="duplicateValues" dxfId="43" priority="20"/>
  </conditionalFormatting>
  <conditionalFormatting sqref="C146:C151">
    <cfRule type="duplicateValues" dxfId="42" priority="18"/>
  </conditionalFormatting>
  <conditionalFormatting sqref="C146:C151">
    <cfRule type="duplicateValues" dxfId="41" priority="19"/>
  </conditionalFormatting>
  <conditionalFormatting sqref="C16">
    <cfRule type="duplicateValues" dxfId="40" priority="14"/>
  </conditionalFormatting>
  <conditionalFormatting sqref="C16">
    <cfRule type="duplicateValues" dxfId="39" priority="15"/>
  </conditionalFormatting>
  <conditionalFormatting sqref="C16">
    <cfRule type="duplicateValues" dxfId="38" priority="11"/>
    <cfRule type="duplicateValues" dxfId="37" priority="12"/>
    <cfRule type="duplicateValues" dxfId="36" priority="13"/>
  </conditionalFormatting>
  <conditionalFormatting sqref="C17">
    <cfRule type="duplicateValues" dxfId="35" priority="9"/>
  </conditionalFormatting>
  <conditionalFormatting sqref="C17">
    <cfRule type="duplicateValues" dxfId="34" priority="10"/>
  </conditionalFormatting>
  <conditionalFormatting sqref="C17">
    <cfRule type="duplicateValues" dxfId="33" priority="6"/>
    <cfRule type="duplicateValues" dxfId="32" priority="7"/>
    <cfRule type="duplicateValues" dxfId="31" priority="8"/>
  </conditionalFormatting>
  <conditionalFormatting sqref="C18">
    <cfRule type="duplicateValues" dxfId="30" priority="4"/>
  </conditionalFormatting>
  <conditionalFormatting sqref="C18">
    <cfRule type="duplicateValues" dxfId="29" priority="5"/>
  </conditionalFormatting>
  <conditionalFormatting sqref="C18">
    <cfRule type="duplicateValues" dxfId="28" priority="1"/>
    <cfRule type="duplicateValues" dxfId="27" priority="2"/>
    <cfRule type="duplicateValues" dxfId="26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862A2BE-A9E4-4372-8DDE-5B8FADE64127}"/>
</file>

<file path=customXml/itemProps2.xml><?xml version="1.0" encoding="utf-8"?>
<ds:datastoreItem xmlns:ds="http://schemas.openxmlformats.org/officeDocument/2006/customXml" ds:itemID="{55CCACD5-9FEC-4768-9FEE-8C8A596560B7}"/>
</file>

<file path=customXml/itemProps3.xml><?xml version="1.0" encoding="utf-8"?>
<ds:datastoreItem xmlns:ds="http://schemas.openxmlformats.org/officeDocument/2006/customXml" ds:itemID="{B77958F5-E337-456D-A42B-80050C59B9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2022-04-29T22:31:08Z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