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tayna.martins\Downloads\"/>
    </mc:Choice>
  </mc:AlternateContent>
  <xr:revisionPtr revIDLastSave="0" documentId="13_ncr:1_{FD78955B-A5B1-4C54-8102-9D6739D89D5C}" xr6:coauthVersionLast="47" xr6:coauthVersionMax="47" xr10:uidLastSave="{00000000-0000-0000-0000-000000000000}"/>
  <bookViews>
    <workbookView xWindow="28680" yWindow="-120" windowWidth="29040" windowHeight="15840" tabRatio="877" firstSheet="1" activeTab="4" xr2:uid="{00000000-000D-0000-FFFF-FFFF00000000}"/>
  </bookViews>
  <sheets>
    <sheet name="Encarregado" sheetId="1" r:id="rId1"/>
    <sheet name="Copeira" sheetId="28" r:id="rId2"/>
    <sheet name="Garçom" sheetId="29" r:id="rId3"/>
    <sheet name="Garçonete" sheetId="30" r:id="rId4"/>
    <sheet name="Auxiliar " sheetId="31" r:id="rId5"/>
    <sheet name="Uniformes Total" sheetId="9" r:id="rId6"/>
    <sheet name="Uniformes Por Categoria" sheetId="14" r:id="rId7"/>
    <sheet name=" Material Consumo" sheetId="32" r:id="rId8"/>
    <sheet name="Pesquisa Preços O. Públicos" sheetId="13" r:id="rId9"/>
    <sheet name="Resumo Geral (MO+MAT.)" sheetId="11" r:id="rId10"/>
    <sheet name="Objeto" sheetId="26" r:id="rId11"/>
    <sheet name="% Valor Total_MO e MAT " sheetId="27" r:id="rId12"/>
    <sheet name="Relógio de ponto" sheetId="33" r:id="rId13"/>
  </sheets>
  <externalReferences>
    <externalReference r:id="rId1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11" l="1"/>
  <c r="G157" i="30"/>
  <c r="D15" i="13" s="1"/>
  <c r="G157" i="31"/>
  <c r="D16" i="13" s="1"/>
  <c r="G157" i="1"/>
  <c r="E16" i="11" s="1"/>
  <c r="G157" i="28"/>
  <c r="G31" i="11" s="1"/>
  <c r="G157" i="29"/>
  <c r="E18" i="11" s="1"/>
  <c r="J21" i="26"/>
  <c r="E20" i="11"/>
  <c r="G32" i="11"/>
  <c r="D14" i="13"/>
  <c r="G75" i="31"/>
  <c r="G75" i="30"/>
  <c r="G75" i="29"/>
  <c r="G75" i="28"/>
  <c r="G75" i="1"/>
  <c r="F99" i="29"/>
  <c r="F99" i="28"/>
  <c r="F99" i="1"/>
  <c r="C20" i="11"/>
  <c r="C19" i="11"/>
  <c r="C18" i="11"/>
  <c r="C17" i="11"/>
  <c r="C16" i="11"/>
  <c r="F99" i="31"/>
  <c r="F99" i="30"/>
  <c r="F52" i="30"/>
  <c r="E19" i="11" l="1"/>
  <c r="G33" i="11"/>
  <c r="G34" i="11"/>
  <c r="D12" i="13"/>
  <c r="G30" i="11"/>
  <c r="D13" i="13"/>
  <c r="E17" i="11"/>
  <c r="I12" i="26"/>
  <c r="J12" i="26" s="1"/>
  <c r="G76" i="28"/>
  <c r="G76" i="31"/>
  <c r="G76" i="30" l="1"/>
  <c r="F17" i="1"/>
  <c r="G76" i="29"/>
  <c r="G76" i="1"/>
  <c r="S62" i="32" l="1"/>
  <c r="S61" i="32"/>
  <c r="S60" i="32"/>
  <c r="S59" i="32"/>
  <c r="S57" i="32"/>
  <c r="S51" i="32"/>
  <c r="S49" i="32"/>
  <c r="S46" i="32"/>
  <c r="S43" i="32"/>
  <c r="S36" i="32"/>
  <c r="S35" i="32"/>
  <c r="S33" i="32"/>
  <c r="S29" i="32"/>
  <c r="S26" i="32"/>
  <c r="S22" i="32"/>
  <c r="S17" i="32"/>
  <c r="S16" i="32"/>
  <c r="S15" i="32"/>
  <c r="S14" i="32"/>
  <c r="S12" i="32"/>
  <c r="M6" i="33"/>
  <c r="L6" i="33"/>
  <c r="L7" i="33" s="1"/>
  <c r="N37" i="14" l="1"/>
  <c r="O37" i="14"/>
  <c r="N27" i="14"/>
  <c r="G18" i="9" s="1"/>
  <c r="S56" i="32"/>
  <c r="S55" i="32"/>
  <c r="S54" i="32"/>
  <c r="S52" i="32"/>
  <c r="S50" i="32"/>
  <c r="S42" i="32"/>
  <c r="S40" i="32"/>
  <c r="S39" i="32"/>
  <c r="S38" i="32"/>
  <c r="S37" i="32"/>
  <c r="S32" i="32"/>
  <c r="S31" i="32"/>
  <c r="S28" i="32"/>
  <c r="S27" i="32"/>
  <c r="S24" i="32"/>
  <c r="S23" i="32"/>
  <c r="H15" i="26"/>
  <c r="O59" i="14"/>
  <c r="O60" i="14"/>
  <c r="N56" i="14"/>
  <c r="O56" i="14" s="1"/>
  <c r="N57" i="14"/>
  <c r="O57" i="14" s="1"/>
  <c r="N58" i="14"/>
  <c r="G23" i="9" s="1"/>
  <c r="N55" i="14"/>
  <c r="O55" i="14" s="1"/>
  <c r="O50" i="14"/>
  <c r="O51" i="14"/>
  <c r="N49" i="14"/>
  <c r="O49" i="14" s="1"/>
  <c r="N48" i="14"/>
  <c r="O48" i="14" s="1"/>
  <c r="N47" i="14"/>
  <c r="O47" i="14" s="1"/>
  <c r="N46" i="14"/>
  <c r="O46" i="14" s="1"/>
  <c r="N45" i="14"/>
  <c r="O45" i="14" s="1"/>
  <c r="O40" i="14"/>
  <c r="O41" i="14"/>
  <c r="O19" i="14"/>
  <c r="N39" i="14"/>
  <c r="O39" i="14" s="1"/>
  <c r="N38" i="14"/>
  <c r="O38" i="14" s="1"/>
  <c r="N36" i="14"/>
  <c r="O36" i="14" s="1"/>
  <c r="N35" i="14"/>
  <c r="O35" i="14" s="1"/>
  <c r="N6" i="33"/>
  <c r="N7" i="33" s="1"/>
  <c r="J6" i="33"/>
  <c r="J7" i="33" s="1"/>
  <c r="H6" i="33"/>
  <c r="H7" i="33" s="1"/>
  <c r="F6" i="33"/>
  <c r="F7" i="33" s="1"/>
  <c r="G132" i="29" l="1"/>
  <c r="G132" i="31"/>
  <c r="O58" i="14"/>
  <c r="G27" i="9"/>
  <c r="G28" i="9"/>
  <c r="G132" i="30"/>
  <c r="G132" i="1"/>
  <c r="N52" i="14"/>
  <c r="N53" i="14" s="1"/>
  <c r="G130" i="1" s="1"/>
  <c r="N61" i="14"/>
  <c r="N62" i="14" s="1"/>
  <c r="F17" i="28" l="1"/>
  <c r="N34" i="14" l="1"/>
  <c r="O34" i="14" s="1"/>
  <c r="N42" i="14" s="1"/>
  <c r="N43" i="14" s="1"/>
  <c r="O29" i="14"/>
  <c r="N28" i="14"/>
  <c r="O27" i="14"/>
  <c r="N26" i="14"/>
  <c r="N25" i="14"/>
  <c r="N24" i="14"/>
  <c r="N23" i="14"/>
  <c r="O23" i="14" s="1"/>
  <c r="N18" i="14"/>
  <c r="N17" i="14"/>
  <c r="N16" i="14"/>
  <c r="N15" i="14"/>
  <c r="N14" i="14"/>
  <c r="N13" i="14"/>
  <c r="N12" i="14"/>
  <c r="G9" i="9" s="1"/>
  <c r="G10" i="9"/>
  <c r="H10" i="9" s="1"/>
  <c r="G31" i="9"/>
  <c r="H31" i="9" s="1"/>
  <c r="G30" i="9"/>
  <c r="H30" i="9" s="1"/>
  <c r="G29" i="9"/>
  <c r="H29" i="9" s="1"/>
  <c r="H28" i="9"/>
  <c r="H27" i="9"/>
  <c r="H23" i="9"/>
  <c r="G19" i="9"/>
  <c r="H19" i="9" s="1"/>
  <c r="H18" i="9"/>
  <c r="H16" i="9"/>
  <c r="G14" i="9"/>
  <c r="H14" i="9" s="1"/>
  <c r="S11" i="32"/>
  <c r="S10" i="32"/>
  <c r="O16" i="14" l="1"/>
  <c r="G17" i="9"/>
  <c r="H17" i="9" s="1"/>
  <c r="O13" i="14"/>
  <c r="N20" i="14" s="1"/>
  <c r="G11" i="9"/>
  <c r="H11" i="9" s="1"/>
  <c r="O17" i="14"/>
  <c r="G20" i="9"/>
  <c r="H20" i="9" s="1"/>
  <c r="O24" i="14"/>
  <c r="G12" i="9"/>
  <c r="H12" i="9" s="1"/>
  <c r="G21" i="9"/>
  <c r="H21" i="9" s="1"/>
  <c r="G22" i="9"/>
  <c r="H22" i="9" s="1"/>
  <c r="O14" i="14"/>
  <c r="G13" i="9"/>
  <c r="H13" i="9" s="1"/>
  <c r="O18" i="14"/>
  <c r="G24" i="9"/>
  <c r="H24" i="9" s="1"/>
  <c r="O25" i="14"/>
  <c r="G15" i="9"/>
  <c r="H15" i="9" s="1"/>
  <c r="O15" i="14"/>
  <c r="G25" i="9"/>
  <c r="H25" i="9" s="1"/>
  <c r="O12" i="14"/>
  <c r="O26" i="14"/>
  <c r="N31" i="14" s="1"/>
  <c r="N32" i="14" s="1"/>
  <c r="G130" i="30" s="1"/>
  <c r="G26" i="9"/>
  <c r="H26" i="9" s="1"/>
  <c r="O28" i="14"/>
  <c r="H9" i="9"/>
  <c r="N21" i="14" l="1"/>
  <c r="G130" i="29" s="1"/>
  <c r="G32" i="9"/>
  <c r="J51" i="32"/>
  <c r="J50" i="32"/>
  <c r="J49" i="32"/>
  <c r="J36" i="32"/>
  <c r="J33" i="32"/>
  <c r="S58" i="32"/>
  <c r="S53" i="32"/>
  <c r="S48" i="32"/>
  <c r="S47" i="32"/>
  <c r="S45" i="32"/>
  <c r="S44" i="32"/>
  <c r="S41" i="32"/>
  <c r="S34" i="32"/>
  <c r="S30" i="32"/>
  <c r="T26" i="32" l="1"/>
  <c r="S25" i="32"/>
  <c r="T25" i="32" s="1"/>
  <c r="T22" i="32"/>
  <c r="S21" i="32"/>
  <c r="T21" i="32" s="1"/>
  <c r="S20" i="32"/>
  <c r="T20" i="32" s="1"/>
  <c r="S19" i="32"/>
  <c r="T19" i="32" s="1"/>
  <c r="S18" i="32"/>
  <c r="T18" i="32" s="1"/>
  <c r="T17" i="32"/>
  <c r="T16" i="32"/>
  <c r="T15" i="32"/>
  <c r="T14" i="32"/>
  <c r="S13" i="32"/>
  <c r="T13" i="32" s="1"/>
  <c r="T12" i="32"/>
  <c r="T60" i="32"/>
  <c r="T30" i="32"/>
  <c r="T34" i="32"/>
  <c r="T38" i="32"/>
  <c r="T42" i="32"/>
  <c r="T46" i="32"/>
  <c r="T50" i="32"/>
  <c r="T54" i="32"/>
  <c r="T58" i="32"/>
  <c r="T62" i="32"/>
  <c r="T11" i="32"/>
  <c r="T23" i="32"/>
  <c r="T24" i="32"/>
  <c r="T27" i="32"/>
  <c r="T28" i="32"/>
  <c r="T29" i="32"/>
  <c r="T31" i="32"/>
  <c r="T32" i="32"/>
  <c r="T33" i="32"/>
  <c r="T35" i="32"/>
  <c r="T36" i="32"/>
  <c r="T37" i="32"/>
  <c r="T39" i="32"/>
  <c r="T40" i="32"/>
  <c r="T41" i="32"/>
  <c r="T43" i="32"/>
  <c r="T44" i="32"/>
  <c r="T45" i="32"/>
  <c r="T47" i="32"/>
  <c r="T48" i="32"/>
  <c r="T49" i="32"/>
  <c r="T51" i="32"/>
  <c r="T52" i="32"/>
  <c r="T53" i="32"/>
  <c r="T55" i="32"/>
  <c r="T56" i="32"/>
  <c r="T57" i="32"/>
  <c r="T59" i="32"/>
  <c r="T61" i="32"/>
  <c r="T10" i="32"/>
  <c r="S63" i="32" l="1"/>
  <c r="G43" i="11" s="1"/>
  <c r="E43" i="11" s="1"/>
  <c r="R16" i="32"/>
  <c r="R17" i="32"/>
  <c r="R18" i="32"/>
  <c r="R19" i="32"/>
  <c r="R20" i="32"/>
  <c r="R21" i="32"/>
  <c r="R22" i="32"/>
  <c r="R23" i="32"/>
  <c r="R24" i="32"/>
  <c r="R25" i="32"/>
  <c r="R26" i="32"/>
  <c r="R27" i="32"/>
  <c r="R28" i="32"/>
  <c r="R29" i="32"/>
  <c r="R30" i="32"/>
  <c r="R31" i="32"/>
  <c r="R32" i="32"/>
  <c r="R33" i="32"/>
  <c r="R34" i="32"/>
  <c r="R35" i="32"/>
  <c r="R36" i="32"/>
  <c r="R37" i="32"/>
  <c r="R38" i="32"/>
  <c r="R39" i="32"/>
  <c r="R40" i="32"/>
  <c r="R41" i="32"/>
  <c r="R42" i="32"/>
  <c r="R43" i="32"/>
  <c r="R44" i="32"/>
  <c r="R45" i="32"/>
  <c r="R46" i="32"/>
  <c r="R47" i="32"/>
  <c r="R48" i="32"/>
  <c r="R49" i="32"/>
  <c r="R50" i="32"/>
  <c r="R51" i="32"/>
  <c r="R52" i="32"/>
  <c r="R53" i="32"/>
  <c r="R54" i="32"/>
  <c r="R55" i="32"/>
  <c r="R56" i="32"/>
  <c r="R57" i="32"/>
  <c r="R58" i="32"/>
  <c r="R59" i="32"/>
  <c r="R60" i="32"/>
  <c r="R61" i="32"/>
  <c r="R62" i="32"/>
  <c r="R15" i="32"/>
  <c r="R14" i="32"/>
  <c r="R13" i="32"/>
  <c r="R12" i="32"/>
  <c r="R11" i="32"/>
  <c r="R10" i="32"/>
  <c r="S64" i="32" l="1"/>
  <c r="I21" i="26" s="1"/>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10" i="32"/>
  <c r="F31" i="9"/>
  <c r="F10" i="9"/>
  <c r="F11" i="9"/>
  <c r="F12" i="9"/>
  <c r="F13" i="9"/>
  <c r="F14" i="9"/>
  <c r="F15" i="9"/>
  <c r="F16" i="9"/>
  <c r="F17" i="9"/>
  <c r="F18" i="9"/>
  <c r="F19" i="9"/>
  <c r="F20" i="9"/>
  <c r="F21" i="9"/>
  <c r="F22" i="9"/>
  <c r="F23" i="9"/>
  <c r="F24" i="9"/>
  <c r="F25" i="9"/>
  <c r="F26" i="9"/>
  <c r="F27" i="9"/>
  <c r="F28" i="9"/>
  <c r="F29" i="9"/>
  <c r="F30" i="9"/>
  <c r="F9" i="9"/>
  <c r="F32" i="9" l="1"/>
  <c r="J23" i="26"/>
  <c r="J26" i="32"/>
  <c r="J22" i="32"/>
  <c r="J14" i="32"/>
  <c r="J11" i="32"/>
  <c r="I56" i="14"/>
  <c r="I57" i="14"/>
  <c r="I58" i="14"/>
  <c r="I59" i="14"/>
  <c r="I60" i="14"/>
  <c r="I55" i="14"/>
  <c r="K46" i="14"/>
  <c r="K47" i="14"/>
  <c r="K48" i="14"/>
  <c r="K49" i="14"/>
  <c r="K50" i="14"/>
  <c r="K51" i="14"/>
  <c r="K45" i="14"/>
  <c r="K35" i="14"/>
  <c r="K36" i="14"/>
  <c r="K37" i="14"/>
  <c r="K38" i="14"/>
  <c r="K39" i="14"/>
  <c r="K40" i="14"/>
  <c r="K41" i="14"/>
  <c r="K34" i="14"/>
  <c r="I29" i="14"/>
  <c r="I30" i="14"/>
  <c r="K24" i="14"/>
  <c r="K25" i="14"/>
  <c r="K26" i="14"/>
  <c r="K27" i="14"/>
  <c r="K28" i="14"/>
  <c r="K29" i="14"/>
  <c r="K30" i="14"/>
  <c r="K23" i="14"/>
  <c r="K13" i="14"/>
  <c r="K14" i="14"/>
  <c r="K15" i="14"/>
  <c r="K16" i="14"/>
  <c r="K17" i="14"/>
  <c r="K18" i="14"/>
  <c r="K12" i="14"/>
  <c r="L11" i="32"/>
  <c r="L12" i="32"/>
  <c r="L13" i="32"/>
  <c r="L14" i="32"/>
  <c r="L15" i="32"/>
  <c r="L16" i="32"/>
  <c r="L17" i="32"/>
  <c r="L18" i="32"/>
  <c r="L19" i="32"/>
  <c r="L20" i="32"/>
  <c r="L21" i="32"/>
  <c r="L22" i="32"/>
  <c r="L23" i="32"/>
  <c r="L24" i="32"/>
  <c r="L25" i="32"/>
  <c r="L26" i="32"/>
  <c r="L27" i="32"/>
  <c r="L28" i="32"/>
  <c r="L29" i="32"/>
  <c r="L30" i="32"/>
  <c r="L31" i="32"/>
  <c r="L32" i="32"/>
  <c r="L33" i="32"/>
  <c r="L34" i="32"/>
  <c r="L35" i="32"/>
  <c r="L36" i="32"/>
  <c r="L37" i="32"/>
  <c r="L38" i="32"/>
  <c r="L39" i="32"/>
  <c r="L40" i="32"/>
  <c r="L41" i="32"/>
  <c r="L42" i="32"/>
  <c r="L43" i="32"/>
  <c r="L44" i="32"/>
  <c r="L45" i="32"/>
  <c r="L46" i="32"/>
  <c r="L47" i="32"/>
  <c r="L48" i="32"/>
  <c r="L49" i="32"/>
  <c r="L50" i="32"/>
  <c r="L51" i="32"/>
  <c r="L52" i="32"/>
  <c r="L53" i="32"/>
  <c r="L54" i="32"/>
  <c r="L55" i="32"/>
  <c r="L56" i="32"/>
  <c r="L57" i="32"/>
  <c r="L58" i="32"/>
  <c r="L59" i="32"/>
  <c r="L60" i="32"/>
  <c r="L61" i="32"/>
  <c r="L62" i="32"/>
  <c r="L10" i="32"/>
  <c r="P11" i="32"/>
  <c r="P12" i="32"/>
  <c r="P13" i="32"/>
  <c r="P14" i="32"/>
  <c r="P15" i="32"/>
  <c r="P16" i="32"/>
  <c r="P17" i="32"/>
  <c r="P18" i="32"/>
  <c r="P19" i="32"/>
  <c r="P20" i="32"/>
  <c r="P21" i="32"/>
  <c r="P22" i="32"/>
  <c r="P23" i="32"/>
  <c r="P24" i="32"/>
  <c r="P25" i="32"/>
  <c r="P26" i="32"/>
  <c r="P27" i="32"/>
  <c r="P28" i="32"/>
  <c r="P29" i="32"/>
  <c r="P30" i="32"/>
  <c r="P31" i="32"/>
  <c r="P32" i="32"/>
  <c r="P33" i="32"/>
  <c r="P34" i="32"/>
  <c r="P35" i="32"/>
  <c r="P36" i="32"/>
  <c r="P37" i="32"/>
  <c r="P38" i="32"/>
  <c r="P39" i="32"/>
  <c r="P40" i="32"/>
  <c r="P41" i="32"/>
  <c r="P42" i="32"/>
  <c r="P43" i="32"/>
  <c r="P44" i="32"/>
  <c r="P45" i="32"/>
  <c r="P46" i="32"/>
  <c r="P47" i="32"/>
  <c r="P48" i="32"/>
  <c r="P49" i="32"/>
  <c r="P50" i="32"/>
  <c r="P51" i="32"/>
  <c r="P52" i="32"/>
  <c r="P53" i="32"/>
  <c r="P54" i="32"/>
  <c r="P55" i="32"/>
  <c r="P56" i="32"/>
  <c r="P57" i="32"/>
  <c r="P58" i="32"/>
  <c r="P59" i="32"/>
  <c r="P60" i="32"/>
  <c r="P61" i="32"/>
  <c r="P62" i="32"/>
  <c r="P10" i="32"/>
  <c r="I35" i="14" l="1"/>
  <c r="I36" i="14"/>
  <c r="I37" i="14"/>
  <c r="I38" i="14"/>
  <c r="I39" i="14"/>
  <c r="I40" i="14"/>
  <c r="I41" i="14"/>
  <c r="I34" i="14"/>
  <c r="I46" i="14"/>
  <c r="I47" i="14"/>
  <c r="I48" i="14"/>
  <c r="I49" i="14"/>
  <c r="I50" i="14"/>
  <c r="I51" i="14"/>
  <c r="I45" i="14"/>
  <c r="I24" i="14"/>
  <c r="I25" i="14"/>
  <c r="I26" i="14"/>
  <c r="I27" i="14"/>
  <c r="I28" i="14"/>
  <c r="I13" i="14"/>
  <c r="I14" i="14"/>
  <c r="I15" i="14"/>
  <c r="I16" i="14"/>
  <c r="I17" i="14"/>
  <c r="I18" i="14"/>
  <c r="I12" i="14"/>
  <c r="H23" i="14"/>
  <c r="I23" i="14" s="1"/>
  <c r="N22" i="32"/>
  <c r="N56" i="32" l="1"/>
  <c r="N11" i="32"/>
  <c r="N12" i="32"/>
  <c r="N13" i="32"/>
  <c r="N14" i="32"/>
  <c r="N15" i="32"/>
  <c r="N16" i="32"/>
  <c r="N17" i="32"/>
  <c r="N18" i="32"/>
  <c r="N19" i="32"/>
  <c r="N20" i="32"/>
  <c r="N21" i="32"/>
  <c r="N23" i="32"/>
  <c r="N24" i="32"/>
  <c r="N25" i="32"/>
  <c r="N26" i="32"/>
  <c r="N27" i="32"/>
  <c r="N28" i="32"/>
  <c r="N29" i="32"/>
  <c r="N30" i="32"/>
  <c r="N31" i="32"/>
  <c r="N32" i="32"/>
  <c r="N33" i="32"/>
  <c r="N34" i="32"/>
  <c r="N35" i="32"/>
  <c r="N36" i="32"/>
  <c r="N37" i="32"/>
  <c r="N38" i="32"/>
  <c r="N39" i="32"/>
  <c r="N40" i="32"/>
  <c r="N41" i="32"/>
  <c r="N42" i="32"/>
  <c r="N43" i="32"/>
  <c r="N44" i="32"/>
  <c r="N45" i="32"/>
  <c r="N46" i="32"/>
  <c r="N47" i="32"/>
  <c r="N48" i="32"/>
  <c r="N49" i="32"/>
  <c r="N50" i="32"/>
  <c r="N51" i="32"/>
  <c r="N52" i="32"/>
  <c r="N53" i="32"/>
  <c r="N54" i="32"/>
  <c r="N55" i="32"/>
  <c r="N57" i="32"/>
  <c r="N58" i="32"/>
  <c r="N59" i="32"/>
  <c r="N60" i="32"/>
  <c r="N61" i="32"/>
  <c r="N62" i="32"/>
  <c r="N10" i="32"/>
  <c r="M41" i="14"/>
  <c r="H20" i="11" l="1"/>
  <c r="B20" i="11"/>
  <c r="B16" i="13" s="1"/>
  <c r="B19" i="11"/>
  <c r="B15" i="13" s="1"/>
  <c r="B18" i="11"/>
  <c r="B14" i="13" s="1"/>
  <c r="H17" i="11"/>
  <c r="B17" i="11"/>
  <c r="B31" i="11" s="1"/>
  <c r="B16" i="11"/>
  <c r="B30" i="11" s="1"/>
  <c r="H62" i="32"/>
  <c r="H61" i="32"/>
  <c r="H60" i="32"/>
  <c r="H59" i="32"/>
  <c r="H58" i="32"/>
  <c r="H57" i="32"/>
  <c r="H56" i="32"/>
  <c r="H55" i="32"/>
  <c r="H54" i="32"/>
  <c r="H53" i="32"/>
  <c r="H52" i="32"/>
  <c r="H51" i="32"/>
  <c r="H50" i="32"/>
  <c r="H49" i="32"/>
  <c r="H48" i="32"/>
  <c r="H47" i="32"/>
  <c r="H46" i="32"/>
  <c r="H45" i="32"/>
  <c r="H44" i="32"/>
  <c r="H43" i="32"/>
  <c r="H42" i="32"/>
  <c r="H41" i="32"/>
  <c r="H40" i="32"/>
  <c r="H39" i="32"/>
  <c r="H38" i="32"/>
  <c r="H37" i="32"/>
  <c r="H36" i="32"/>
  <c r="H35" i="32"/>
  <c r="H34" i="32"/>
  <c r="H33" i="32"/>
  <c r="H32" i="32"/>
  <c r="H31" i="32"/>
  <c r="H30" i="32"/>
  <c r="H29" i="32"/>
  <c r="H28" i="32"/>
  <c r="H27" i="32"/>
  <c r="H26" i="32"/>
  <c r="H25" i="32"/>
  <c r="H24" i="32"/>
  <c r="H23" i="32"/>
  <c r="H22" i="32"/>
  <c r="H21" i="32"/>
  <c r="H20" i="32"/>
  <c r="H19" i="32"/>
  <c r="H18" i="32"/>
  <c r="H17" i="32"/>
  <c r="H16" i="32"/>
  <c r="H15" i="32"/>
  <c r="H14" i="32"/>
  <c r="H13" i="32"/>
  <c r="H12" i="32"/>
  <c r="H11" i="32"/>
  <c r="H10" i="32"/>
  <c r="G60" i="14"/>
  <c r="M60" i="14" s="1"/>
  <c r="G59" i="14"/>
  <c r="M59" i="14" s="1"/>
  <c r="G58" i="14"/>
  <c r="M58" i="14" s="1"/>
  <c r="G57" i="14"/>
  <c r="M57" i="14" s="1"/>
  <c r="G56" i="14"/>
  <c r="M56" i="14" s="1"/>
  <c r="G55" i="14"/>
  <c r="M55" i="14" s="1"/>
  <c r="G51" i="14"/>
  <c r="M51" i="14" s="1"/>
  <c r="G50" i="14"/>
  <c r="M50" i="14" s="1"/>
  <c r="G49" i="14"/>
  <c r="M49" i="14" s="1"/>
  <c r="G48" i="14"/>
  <c r="M48" i="14" s="1"/>
  <c r="G47" i="14"/>
  <c r="M47" i="14" s="1"/>
  <c r="G46" i="14"/>
  <c r="M46" i="14" s="1"/>
  <c r="G45" i="14"/>
  <c r="M45" i="14" s="1"/>
  <c r="G41" i="14"/>
  <c r="G40" i="14"/>
  <c r="M40" i="14" s="1"/>
  <c r="G39" i="14"/>
  <c r="M39" i="14" s="1"/>
  <c r="G38" i="14"/>
  <c r="M38" i="14" s="1"/>
  <c r="G37" i="14"/>
  <c r="M37" i="14" s="1"/>
  <c r="G36" i="14"/>
  <c r="M36" i="14" s="1"/>
  <c r="G35" i="14"/>
  <c r="M35" i="14" s="1"/>
  <c r="G34" i="14"/>
  <c r="G30" i="14"/>
  <c r="M30" i="14" s="1"/>
  <c r="G29" i="14"/>
  <c r="G28" i="14"/>
  <c r="M28" i="14" s="1"/>
  <c r="G27" i="14"/>
  <c r="M27" i="14" s="1"/>
  <c r="G26" i="14"/>
  <c r="M26" i="14" s="1"/>
  <c r="G25" i="14"/>
  <c r="M25" i="14" s="1"/>
  <c r="G24" i="14"/>
  <c r="M24" i="14" s="1"/>
  <c r="G23" i="14"/>
  <c r="G19" i="14"/>
  <c r="M19" i="14" s="1"/>
  <c r="G18" i="14"/>
  <c r="M18" i="14" s="1"/>
  <c r="G17" i="14"/>
  <c r="M17" i="14" s="1"/>
  <c r="G16" i="14"/>
  <c r="M16" i="14" s="1"/>
  <c r="G15" i="14"/>
  <c r="M15" i="14" s="1"/>
  <c r="G14" i="14"/>
  <c r="M14" i="14" s="1"/>
  <c r="G13" i="14"/>
  <c r="G12" i="14"/>
  <c r="M12" i="14" s="1"/>
  <c r="E142" i="31"/>
  <c r="E141" i="31"/>
  <c r="E144" i="31" s="1"/>
  <c r="G133" i="31"/>
  <c r="F112" i="31"/>
  <c r="F111" i="31"/>
  <c r="F110" i="31"/>
  <c r="F109" i="31"/>
  <c r="F108" i="31"/>
  <c r="F113" i="31" s="1"/>
  <c r="F124" i="31" s="1"/>
  <c r="F107" i="31"/>
  <c r="F97" i="31"/>
  <c r="F96" i="31"/>
  <c r="F95" i="31"/>
  <c r="F68" i="31"/>
  <c r="F98" i="31" s="1"/>
  <c r="F53" i="31"/>
  <c r="F45" i="31"/>
  <c r="G39" i="31"/>
  <c r="G40" i="31" s="1"/>
  <c r="F34" i="31"/>
  <c r="F31" i="31"/>
  <c r="F17" i="31"/>
  <c r="E142" i="30"/>
  <c r="E141" i="30"/>
  <c r="E144" i="30" s="1"/>
  <c r="G133" i="30"/>
  <c r="F112" i="30"/>
  <c r="F111" i="30"/>
  <c r="F110" i="30"/>
  <c r="F109" i="30"/>
  <c r="F108" i="30"/>
  <c r="F107" i="30"/>
  <c r="F113" i="30" s="1"/>
  <c r="F124" i="30" s="1"/>
  <c r="F97" i="30"/>
  <c r="F96" i="30"/>
  <c r="F100" i="30" s="1"/>
  <c r="F95" i="30"/>
  <c r="F68" i="30"/>
  <c r="F98" i="30" s="1"/>
  <c r="F53" i="30"/>
  <c r="F45" i="30"/>
  <c r="G39" i="30"/>
  <c r="G40" i="30" s="1"/>
  <c r="F34" i="30"/>
  <c r="F31" i="30"/>
  <c r="F17" i="30"/>
  <c r="E142" i="29"/>
  <c r="E141" i="29" s="1"/>
  <c r="E144" i="29" s="1"/>
  <c r="F112" i="29"/>
  <c r="F111" i="29"/>
  <c r="F110" i="29"/>
  <c r="F109" i="29"/>
  <c r="F108" i="29"/>
  <c r="F107" i="29"/>
  <c r="F113" i="29" s="1"/>
  <c r="F124" i="29" s="1"/>
  <c r="F97" i="29"/>
  <c r="F96" i="29"/>
  <c r="F95" i="29"/>
  <c r="F100" i="29" s="1"/>
  <c r="F68" i="29"/>
  <c r="F98" i="29" s="1"/>
  <c r="F53" i="29"/>
  <c r="F45" i="29"/>
  <c r="G39" i="29"/>
  <c r="G40" i="29" s="1"/>
  <c r="F34" i="29"/>
  <c r="F31" i="29"/>
  <c r="F17" i="29"/>
  <c r="E142" i="28"/>
  <c r="E141" i="28" s="1"/>
  <c r="E144" i="28" s="1"/>
  <c r="G133" i="28"/>
  <c r="F112" i="28"/>
  <c r="F111" i="28"/>
  <c r="F110" i="28"/>
  <c r="F109" i="28"/>
  <c r="F108" i="28"/>
  <c r="F107" i="28"/>
  <c r="F113" i="28" s="1"/>
  <c r="F124" i="28" s="1"/>
  <c r="F97" i="28"/>
  <c r="F96" i="28"/>
  <c r="F95" i="28"/>
  <c r="F68" i="28"/>
  <c r="F98" i="28" s="1"/>
  <c r="F53" i="28"/>
  <c r="F45" i="28"/>
  <c r="G39" i="28"/>
  <c r="G40" i="28" s="1"/>
  <c r="F34" i="28"/>
  <c r="F31" i="28"/>
  <c r="E142" i="1"/>
  <c r="E141" i="1"/>
  <c r="E144" i="1" s="1"/>
  <c r="G133" i="1"/>
  <c r="F112" i="1"/>
  <c r="F111" i="1"/>
  <c r="F110" i="1"/>
  <c r="F109" i="1"/>
  <c r="F108" i="1"/>
  <c r="F107" i="1"/>
  <c r="F113" i="1" s="1"/>
  <c r="F124" i="1" s="1"/>
  <c r="F97" i="1"/>
  <c r="F96" i="1"/>
  <c r="F100" i="1" s="1"/>
  <c r="F95" i="1"/>
  <c r="F68" i="1"/>
  <c r="F98" i="1" s="1"/>
  <c r="F53" i="1"/>
  <c r="F45" i="1"/>
  <c r="G39" i="1"/>
  <c r="G40" i="1" s="1"/>
  <c r="G41" i="1" s="1"/>
  <c r="G42" i="1" s="1"/>
  <c r="G43" i="1" s="1"/>
  <c r="F34" i="1"/>
  <c r="F31" i="1"/>
  <c r="F100" i="28" l="1"/>
  <c r="F100" i="31"/>
  <c r="B33" i="11"/>
  <c r="B12" i="13"/>
  <c r="B13" i="13"/>
  <c r="G41" i="31"/>
  <c r="G42" i="31" s="1"/>
  <c r="G43" i="31" s="1"/>
  <c r="M34" i="14"/>
  <c r="G42" i="14"/>
  <c r="G43" i="14" s="1"/>
  <c r="G130" i="28" s="1"/>
  <c r="G134" i="28" s="1"/>
  <c r="G154" i="28" s="1"/>
  <c r="G41" i="30"/>
  <c r="G42" i="30" s="1"/>
  <c r="G43" i="30" s="1"/>
  <c r="G41" i="29"/>
  <c r="G42" i="29" s="1"/>
  <c r="G43" i="29" s="1"/>
  <c r="G41" i="28"/>
  <c r="G42" i="28" s="1"/>
  <c r="G43" i="28" s="1"/>
  <c r="G45" i="1"/>
  <c r="M29" i="14"/>
  <c r="G31" i="14"/>
  <c r="G20" i="14"/>
  <c r="G21" i="14" s="1"/>
  <c r="G134" i="29" s="1"/>
  <c r="G154" i="29" s="1"/>
  <c r="M13" i="14"/>
  <c r="G32" i="14"/>
  <c r="G134" i="30" s="1"/>
  <c r="G154" i="30" s="1"/>
  <c r="M23" i="14"/>
  <c r="G52" i="14"/>
  <c r="G53" i="14" s="1"/>
  <c r="G61" i="14"/>
  <c r="G62" i="14" s="1"/>
  <c r="G130" i="31" s="1"/>
  <c r="G134" i="31" s="1"/>
  <c r="G154" i="31" s="1"/>
  <c r="B32" i="11"/>
  <c r="B34" i="11"/>
  <c r="G45" i="29" l="1"/>
  <c r="G45" i="31"/>
  <c r="G134" i="1"/>
  <c r="G154" i="1" s="1"/>
  <c r="G45" i="30"/>
  <c r="G150" i="29"/>
  <c r="G51" i="29"/>
  <c r="G81" i="29"/>
  <c r="G89" i="29" s="1"/>
  <c r="G52" i="29"/>
  <c r="G45" i="28"/>
  <c r="G52" i="1"/>
  <c r="G51" i="1"/>
  <c r="G150" i="1"/>
  <c r="G81" i="1"/>
  <c r="G89" i="1" s="1"/>
  <c r="G53" i="1" l="1"/>
  <c r="G87" i="1" s="1"/>
  <c r="G109" i="1"/>
  <c r="G150" i="31"/>
  <c r="G51" i="31"/>
  <c r="G52" i="31"/>
  <c r="G81" i="31"/>
  <c r="G89" i="31" s="1"/>
  <c r="G81" i="30"/>
  <c r="G89" i="30" s="1"/>
  <c r="G52" i="30"/>
  <c r="G150" i="30"/>
  <c r="G51" i="30"/>
  <c r="G53" i="29"/>
  <c r="G150" i="28"/>
  <c r="G81" i="28"/>
  <c r="G89" i="28" s="1"/>
  <c r="G51" i="28"/>
  <c r="G52" i="28"/>
  <c r="G95" i="1"/>
  <c r="G112" i="1"/>
  <c r="G107" i="1"/>
  <c r="G108" i="1"/>
  <c r="G111" i="1"/>
  <c r="G94" i="1"/>
  <c r="G110" i="1"/>
  <c r="G96" i="1"/>
  <c r="G97" i="1"/>
  <c r="G99" i="1"/>
  <c r="G98" i="1"/>
  <c r="B7" i="27"/>
  <c r="G53" i="30" l="1"/>
  <c r="G53" i="31"/>
  <c r="G109" i="31" s="1"/>
  <c r="G109" i="30"/>
  <c r="G95" i="30"/>
  <c r="G96" i="30"/>
  <c r="G111" i="31"/>
  <c r="G108" i="31"/>
  <c r="G94" i="31"/>
  <c r="G110" i="31"/>
  <c r="G96" i="31"/>
  <c r="G112" i="31"/>
  <c r="G95" i="31"/>
  <c r="G98" i="31"/>
  <c r="G107" i="31"/>
  <c r="G97" i="30"/>
  <c r="G98" i="30"/>
  <c r="G99" i="30"/>
  <c r="G108" i="30"/>
  <c r="G107" i="30"/>
  <c r="G94" i="30"/>
  <c r="G110" i="30"/>
  <c r="G87" i="29"/>
  <c r="G111" i="29"/>
  <c r="G97" i="29"/>
  <c r="G108" i="29"/>
  <c r="G112" i="29"/>
  <c r="G99" i="29"/>
  <c r="G109" i="29"/>
  <c r="G95" i="29"/>
  <c r="G98" i="29"/>
  <c r="G96" i="29"/>
  <c r="G107" i="29"/>
  <c r="G94" i="29"/>
  <c r="G110" i="29"/>
  <c r="G53" i="28"/>
  <c r="G100" i="1"/>
  <c r="G152" i="1" s="1"/>
  <c r="G113" i="1"/>
  <c r="G124" i="1" s="1"/>
  <c r="G126" i="1" s="1"/>
  <c r="G97" i="31" l="1"/>
  <c r="G87" i="30"/>
  <c r="G111" i="30"/>
  <c r="G112" i="30"/>
  <c r="G87" i="31"/>
  <c r="G99" i="31"/>
  <c r="G113" i="31"/>
  <c r="G124" i="31" s="1"/>
  <c r="G126" i="31" s="1"/>
  <c r="G100" i="31"/>
  <c r="G152" i="31" s="1"/>
  <c r="G100" i="30"/>
  <c r="G152" i="30" s="1"/>
  <c r="G100" i="29"/>
  <c r="G152" i="29" s="1"/>
  <c r="G113" i="29"/>
  <c r="G124" i="29" s="1"/>
  <c r="G126" i="29" s="1"/>
  <c r="G87" i="28"/>
  <c r="G95" i="28"/>
  <c r="G109" i="28"/>
  <c r="G96" i="28"/>
  <c r="G94" i="28"/>
  <c r="G107" i="28"/>
  <c r="G99" i="28"/>
  <c r="G112" i="28"/>
  <c r="G97" i="28"/>
  <c r="G108" i="28"/>
  <c r="G111" i="28"/>
  <c r="G110" i="28"/>
  <c r="G98" i="28"/>
  <c r="G153" i="1"/>
  <c r="G66" i="1"/>
  <c r="G60" i="1"/>
  <c r="G64" i="1"/>
  <c r="G67" i="1"/>
  <c r="G62" i="1"/>
  <c r="G61" i="1"/>
  <c r="G63" i="1"/>
  <c r="G65" i="1"/>
  <c r="G113" i="30" l="1"/>
  <c r="G124" i="30" s="1"/>
  <c r="G126" i="30" s="1"/>
  <c r="G153" i="31"/>
  <c r="G65" i="31"/>
  <c r="G62" i="31"/>
  <c r="G60" i="31"/>
  <c r="G66" i="31"/>
  <c r="G63" i="31"/>
  <c r="G61" i="31"/>
  <c r="G64" i="31"/>
  <c r="G67" i="31"/>
  <c r="G153" i="30"/>
  <c r="G65" i="30"/>
  <c r="G62" i="30"/>
  <c r="G61" i="30"/>
  <c r="G63" i="30"/>
  <c r="G64" i="30"/>
  <c r="G66" i="30"/>
  <c r="G67" i="30"/>
  <c r="G60" i="30"/>
  <c r="G153" i="29"/>
  <c r="G66" i="29"/>
  <c r="G61" i="29"/>
  <c r="G60" i="29"/>
  <c r="G64" i="29"/>
  <c r="G62" i="29"/>
  <c r="G67" i="29"/>
  <c r="G63" i="29"/>
  <c r="G65" i="29"/>
  <c r="G100" i="28"/>
  <c r="G152" i="28" s="1"/>
  <c r="G113" i="28"/>
  <c r="G124" i="28" s="1"/>
  <c r="G126" i="28" s="1"/>
  <c r="G68" i="1"/>
  <c r="G88" i="1" s="1"/>
  <c r="G90" i="1" s="1"/>
  <c r="G68" i="31" l="1"/>
  <c r="G88" i="31" s="1"/>
  <c r="G90" i="31" s="1"/>
  <c r="G68" i="29"/>
  <c r="G88" i="29" s="1"/>
  <c r="G90" i="29" s="1"/>
  <c r="G139" i="29" s="1"/>
  <c r="G151" i="31"/>
  <c r="G155" i="31" s="1"/>
  <c r="G139" i="31"/>
  <c r="G68" i="30"/>
  <c r="G88" i="30" s="1"/>
  <c r="G90" i="30" s="1"/>
  <c r="G153" i="28"/>
  <c r="G67" i="28"/>
  <c r="G65" i="28"/>
  <c r="G64" i="28"/>
  <c r="G60" i="28"/>
  <c r="G61" i="28"/>
  <c r="G62" i="28"/>
  <c r="G66" i="28"/>
  <c r="G63" i="28"/>
  <c r="G151" i="1"/>
  <c r="G155" i="1" s="1"/>
  <c r="G139" i="1"/>
  <c r="G151" i="29" l="1"/>
  <c r="G155" i="29" s="1"/>
  <c r="G140" i="1"/>
  <c r="G140" i="31"/>
  <c r="G151" i="30"/>
  <c r="G155" i="30" s="1"/>
  <c r="G139" i="30"/>
  <c r="G140" i="29"/>
  <c r="G68" i="28"/>
  <c r="G88" i="28" s="1"/>
  <c r="G90" i="28" s="1"/>
  <c r="I10" i="26" l="1"/>
  <c r="J10" i="26" s="1"/>
  <c r="I14" i="26"/>
  <c r="J14" i="26" s="1"/>
  <c r="G140" i="30"/>
  <c r="G143" i="29"/>
  <c r="G142" i="29"/>
  <c r="G151" i="28"/>
  <c r="G155" i="28" s="1"/>
  <c r="G139" i="28"/>
  <c r="G143" i="1"/>
  <c r="G142" i="1"/>
  <c r="G142" i="31" l="1"/>
  <c r="I13" i="26"/>
  <c r="J13" i="26" s="1"/>
  <c r="G143" i="31"/>
  <c r="G144" i="31" s="1"/>
  <c r="G156" i="31" s="1"/>
  <c r="G144" i="1"/>
  <c r="G156" i="1" s="1"/>
  <c r="G144" i="29"/>
  <c r="G156" i="29" s="1"/>
  <c r="G143" i="30"/>
  <c r="G142" i="30"/>
  <c r="G18" i="11"/>
  <c r="G140" i="28"/>
  <c r="G16" i="11"/>
  <c r="I11" i="26" l="1"/>
  <c r="J11" i="26" s="1"/>
  <c r="J16" i="26" s="1"/>
  <c r="J17" i="26" s="1"/>
  <c r="G20" i="11"/>
  <c r="G144" i="30"/>
  <c r="G156" i="30" s="1"/>
  <c r="F16" i="13"/>
  <c r="H16" i="13"/>
  <c r="F15" i="13"/>
  <c r="G19" i="11"/>
  <c r="J14" i="13"/>
  <c r="H14" i="13"/>
  <c r="F14" i="13"/>
  <c r="G143" i="28"/>
  <c r="H12" i="13"/>
  <c r="J12" i="13"/>
  <c r="F12" i="13"/>
  <c r="J25" i="26" l="1"/>
  <c r="J26" i="26" s="1"/>
  <c r="J27" i="26" s="1"/>
  <c r="G142" i="28"/>
  <c r="G144" i="28"/>
  <c r="G156" i="28" s="1"/>
  <c r="G17" i="11"/>
  <c r="G21" i="11" l="1"/>
  <c r="G35" i="11" s="1"/>
  <c r="G36" i="11" s="1"/>
  <c r="J13" i="13"/>
  <c r="H13" i="13"/>
  <c r="L13" i="13"/>
  <c r="F13" i="13"/>
  <c r="G42" i="11" l="1"/>
  <c r="G44" i="11" s="1"/>
  <c r="E42" i="11"/>
  <c r="E44" i="11" s="1"/>
  <c r="B6" i="27" l="1"/>
  <c r="B5" i="27" l="1"/>
  <c r="D7" i="27" s="1"/>
  <c r="C6" i="2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09" authorId="0" shapeId="0" xr:uid="{00000000-0006-0000-0000-000001000000}">
      <text>
        <r>
          <rPr>
            <b/>
            <sz val="8"/>
            <color indexed="81"/>
            <rFont val="Tahoma"/>
            <family val="2"/>
          </rPr>
          <t xml:space="preserve">1,5% / 12 = 0,13%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09" authorId="0" shapeId="0" xr:uid="{00000000-0006-0000-0100-000001000000}">
      <text>
        <r>
          <rPr>
            <b/>
            <sz val="8"/>
            <color indexed="81"/>
            <rFont val="Tahoma"/>
            <family val="2"/>
          </rPr>
          <t xml:space="preserve">1,5% / 12 = 0,13%
</t>
        </r>
        <r>
          <rPr>
            <sz val="8"/>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09" authorId="0" shapeId="0" xr:uid="{00000000-0006-0000-0200-000001000000}">
      <text>
        <r>
          <rPr>
            <b/>
            <sz val="8"/>
            <color indexed="81"/>
            <rFont val="Tahoma"/>
            <family val="2"/>
          </rPr>
          <t xml:space="preserve">1,5% / 12 = 0,13%
</t>
        </r>
        <r>
          <rPr>
            <sz val="8"/>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09" authorId="0" shapeId="0" xr:uid="{00000000-0006-0000-0300-000001000000}">
      <text>
        <r>
          <rPr>
            <b/>
            <sz val="8"/>
            <color indexed="81"/>
            <rFont val="Tahoma"/>
            <family val="2"/>
          </rPr>
          <t xml:space="preserve">1,5% / 12 = 0,13%
</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09" authorId="0" shapeId="0" xr:uid="{00000000-0006-0000-0400-000001000000}">
      <text>
        <r>
          <rPr>
            <b/>
            <sz val="8"/>
            <color indexed="81"/>
            <rFont val="Tahoma"/>
            <family val="2"/>
          </rPr>
          <t xml:space="preserve">1,5% / 12 = 0,13%
</t>
        </r>
        <r>
          <rPr>
            <sz val="8"/>
            <color indexed="81"/>
            <rFont val="Tahoma"/>
            <family val="2"/>
          </rPr>
          <t xml:space="preserve">
</t>
        </r>
      </text>
    </comment>
  </commentList>
</comments>
</file>

<file path=xl/sharedStrings.xml><?xml version="1.0" encoding="utf-8"?>
<sst xmlns="http://schemas.openxmlformats.org/spreadsheetml/2006/main" count="1655" uniqueCount="442">
  <si>
    <t>MINISTÉRIO DE MINAS E ENERGIA</t>
  </si>
  <si>
    <t>Secretaria Executiva</t>
  </si>
  <si>
    <t>Subsecretaria de Planejamento, Orçamento e Administração</t>
  </si>
  <si>
    <t>Coordenação Geral de Recursos Logísticos</t>
  </si>
  <si>
    <t>Coordenação de Atividades Gerais</t>
  </si>
  <si>
    <t>Item</t>
  </si>
  <si>
    <t>Unid</t>
  </si>
  <si>
    <t>Quant Anual</t>
  </si>
  <si>
    <t>Valor (R$)</t>
  </si>
  <si>
    <t>Avental</t>
  </si>
  <si>
    <t>Blazer feminino</t>
  </si>
  <si>
    <t>Par</t>
  </si>
  <si>
    <t>Meia</t>
  </si>
  <si>
    <t>Sapato masculino</t>
  </si>
  <si>
    <t>VALOR TOTAL ANUAL</t>
  </si>
  <si>
    <t>Unitário</t>
  </si>
  <si>
    <t>Anual</t>
  </si>
  <si>
    <t>Total Anual</t>
  </si>
  <si>
    <t>Calça feminina</t>
  </si>
  <si>
    <t>Crachá</t>
  </si>
  <si>
    <t>Casaco de frio</t>
  </si>
  <si>
    <t>Total</t>
  </si>
  <si>
    <t>Un</t>
  </si>
  <si>
    <t>Fd</t>
  </si>
  <si>
    <t>Lt</t>
  </si>
  <si>
    <t>Cx</t>
  </si>
  <si>
    <t>Kg</t>
  </si>
  <si>
    <t xml:space="preserve">PLANILHA DE CUSTO E FORMAÇÃO DE PREÇOS DE MÃO-DE-OBRA                                                                                                                                                                 </t>
  </si>
  <si>
    <t>ANEXO VII-D - Instrução Normativa nº 5/2017-SEGES/MPDG -  INSTRUÇÃO NORMATIVA Nº 7, DE 20 DE SETEMBRO DE 2018 - SEM DESONERAÇÃO DO INSS</t>
  </si>
  <si>
    <t>Dia ___/___/_____ às ___:___ horas</t>
  </si>
  <si>
    <t>DISCRIMINAÇÃO DOS SERVIÇOS (DADOS REFERENTES À CONTRATAÇÃO)</t>
  </si>
  <si>
    <t>A</t>
  </si>
  <si>
    <t xml:space="preserve">Data de apresentação da proposta (dia/mês/ano) </t>
  </si>
  <si>
    <t>B</t>
  </si>
  <si>
    <t xml:space="preserve">Município/UF </t>
  </si>
  <si>
    <t>Brasília/DF</t>
  </si>
  <si>
    <t>C</t>
  </si>
  <si>
    <t xml:space="preserve">Ano do Acordo, Convenção ou Dissídio Coletivo  </t>
  </si>
  <si>
    <t>D</t>
  </si>
  <si>
    <t>IDENTIFICAÇÃO DO SERVIÇO</t>
  </si>
  <si>
    <t>Tipo de Serviço</t>
  </si>
  <si>
    <t>Unidade de Medida</t>
  </si>
  <si>
    <t> Quantidade total a contratar          (em função da unidade de medida)</t>
  </si>
  <si>
    <t>Posto</t>
  </si>
  <si>
    <t>MÓDULOS</t>
  </si>
  <si>
    <t>Mão-de-obra vinculada à execução contratual</t>
  </si>
  <si>
    <t>Dados complementares para composição dos custos referente à mão-de-obra</t>
  </si>
  <si>
    <t>Tipo de serviço (mesmo serviço com características distintas)</t>
  </si>
  <si>
    <t>Classificação Brasileira de Ocupações (CBO)</t>
  </si>
  <si>
    <t>Categoria profissional (vinculada à execução contratual)</t>
  </si>
  <si>
    <t>Composição da Remuneração</t>
  </si>
  <si>
    <t>%</t>
  </si>
  <si>
    <t>Salário Base - 44 hs/semana</t>
  </si>
  <si>
    <t xml:space="preserve">Adicional  de Insalubridade </t>
  </si>
  <si>
    <t>Adicional Noturno</t>
  </si>
  <si>
    <t>E</t>
  </si>
  <si>
    <t>Adicional de Hora Noturna Reduzida</t>
  </si>
  <si>
    <t>F</t>
  </si>
  <si>
    <t xml:space="preserve">Outros (especificar)                                                                                              </t>
  </si>
  <si>
    <t>Total da Remuneração</t>
  </si>
  <si>
    <t>MÓDULO 2:   ENCARGOS E BENEFÍCIOS ANUAIS, MENSAIS E DIÁRIOS</t>
  </si>
  <si>
    <t>Submódulo 2.1 - 13º (décimo teceiro) Salário, Férias e Adicional de Férias</t>
  </si>
  <si>
    <t>2.1</t>
  </si>
  <si>
    <t>13º (décimo teceiro)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</si>
  <si>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</si>
  <si>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</si>
  <si>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</si>
  <si>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</si>
  <si>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</si>
  <si>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</si>
  <si>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</si>
  <si>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 xml:space="preserve">Salário Educação </t>
  </si>
  <si>
    <t xml:space="preserve">SAT - Seguro de Acidente do Trabalho </t>
  </si>
  <si>
    <t>SESC ou SESI</t>
  </si>
  <si>
    <t>SENAI ou SENAC</t>
  </si>
  <si>
    <t>SEBRAE</t>
  </si>
  <si>
    <t>G</t>
  </si>
  <si>
    <t>INCRA</t>
  </si>
  <si>
    <t>H</t>
  </si>
  <si>
    <t>FGTS</t>
  </si>
  <si>
    <t>Nota 3: Esses percentuais incidem sobre o Módulo 1, Submódulo 2.1 e no Modulo 4 - Custo de Reposição do Profissional Ausente</t>
  </si>
  <si>
    <t>Submódulo 2.3 - Benefícios Mensais e Diários</t>
  </si>
  <si>
    <t>2.3</t>
  </si>
  <si>
    <t>Benefícios Mensais e Diários</t>
  </si>
  <si>
    <t xml:space="preserve">Auxílio Creche </t>
  </si>
  <si>
    <t>QUADRO-RESUMO DO MÓDULO 2 - ENCARGOS E BENEFÍCIOS ANUAIS, MENSAIS E DIÁRIOS</t>
  </si>
  <si>
    <t>Encargos e Benefícios Anuais, Mensais e Diários</t>
  </si>
  <si>
    <t>13º (décimo terceiro) Salário, Férias e Adicional de Férias</t>
  </si>
  <si>
    <t>MÓDULO 3 - PROVISÃO PARA RESCISÃO</t>
  </si>
  <si>
    <t>Provisão para Rescisão</t>
  </si>
  <si>
    <t>MÓDULO 4 - CUSTO DE REPOSIÇÃO DO PROFISSIONAL AUSENTE</t>
  </si>
  <si>
    <t xml:space="preserve">Submódulo 4.1 - Substituto nas Ausências Legais </t>
  </si>
  <si>
    <t>4.1</t>
  </si>
  <si>
    <t>Substituto nas Ausências Legais</t>
  </si>
  <si>
    <t>Substituto na cobertura de Férias</t>
  </si>
  <si>
    <t>Substituto na cobertura de Outras ausências (5 ausencias/por ano)</t>
  </si>
  <si>
    <t xml:space="preserve">Submódulo 4.2 - Substituto na Intrajornada </t>
  </si>
  <si>
    <t>4.2</t>
  </si>
  <si>
    <t xml:space="preserve">Substituto na Intrajornada </t>
  </si>
  <si>
    <t>Substituto na cobertura de Intervalo para repouso ou alimentação</t>
  </si>
  <si>
    <t xml:space="preserve">QUADRO-RESUMO DO MÓDULO 4 - CUSTO DE REPOSIÇÃO DO PROFISSIONAL AUSENTE </t>
  </si>
  <si>
    <t>Custo de Reposição do Profissional Ausente</t>
  </si>
  <si>
    <t xml:space="preserve">Substituto nas Ausências Legais </t>
  </si>
  <si>
    <t>MÓDULO 5 - INSUMOS DIVERSOS</t>
  </si>
  <si>
    <t>Insumos Diversos</t>
  </si>
  <si>
    <t>MÓDULO 6 - CUSTOS INDIRETOS, TRIBUTOS E LUCRO</t>
  </si>
  <si>
    <t>Custos Indiretos, Tributos e Lucro</t>
  </si>
  <si>
    <t>Custos Indiretos</t>
  </si>
  <si>
    <t>Tributos</t>
  </si>
  <si>
    <t>2. QUADRO-RESUMO DO CUSTO POR EMPREGADO</t>
  </si>
  <si>
    <t>Mão-de-obra vinculada à execução contratual (valor por empregado)</t>
  </si>
  <si>
    <t>(R$)</t>
  </si>
  <si>
    <t>Subtotal (A + B +C+ D+E)</t>
  </si>
  <si>
    <t>Valor total por empregado</t>
  </si>
  <si>
    <t>Materiais de Consumo (mediante planilha a parte, na forma de ressarcimento)</t>
  </si>
  <si>
    <t>Descrição</t>
  </si>
  <si>
    <t>Outros</t>
  </si>
  <si>
    <t>Encarregado</t>
  </si>
  <si>
    <t>1.0</t>
  </si>
  <si>
    <t>1.1</t>
  </si>
  <si>
    <t>1.2</t>
  </si>
  <si>
    <t>2.0</t>
  </si>
  <si>
    <r>
      <t>N</t>
    </r>
    <r>
      <rPr>
        <b/>
        <strike/>
        <sz val="9"/>
        <color theme="1"/>
        <rFont val="Calibri Light"/>
        <family val="2"/>
        <scheme val="major"/>
      </rPr>
      <t>º</t>
    </r>
    <r>
      <rPr>
        <b/>
        <sz val="9"/>
        <color theme="1"/>
        <rFont val="Calibri Light"/>
        <family val="2"/>
        <scheme val="major"/>
      </rPr>
      <t xml:space="preserve"> Processo: </t>
    </r>
  </si>
  <si>
    <r>
      <t>Licitação N</t>
    </r>
    <r>
      <rPr>
        <b/>
        <strike/>
        <sz val="9"/>
        <color theme="1"/>
        <rFont val="Calibri Light"/>
        <family val="2"/>
        <scheme val="major"/>
      </rPr>
      <t>º</t>
    </r>
    <r>
      <rPr>
        <b/>
        <sz val="9"/>
        <color theme="1"/>
        <rFont val="Calibri Light"/>
        <family val="2"/>
        <scheme val="major"/>
      </rPr>
      <t xml:space="preserve"> </t>
    </r>
  </si>
  <si>
    <r>
      <t>N</t>
    </r>
    <r>
      <rPr>
        <strike/>
        <sz val="10"/>
        <color theme="1"/>
        <rFont val="Calibri Light"/>
        <family val="2"/>
        <scheme val="major"/>
      </rPr>
      <t>º</t>
    </r>
    <r>
      <rPr>
        <sz val="10"/>
        <color theme="1"/>
        <rFont val="Calibri Light"/>
        <family val="2"/>
        <scheme val="major"/>
      </rPr>
      <t xml:space="preserve"> de meses de execução contratual</t>
    </r>
  </si>
  <si>
    <r>
      <rPr>
        <b/>
        <sz val="8"/>
        <color theme="1"/>
        <rFont val="Calibri Light"/>
        <family val="2"/>
        <scheme val="major"/>
      </rPr>
      <t>Nota 1:</t>
    </r>
    <r>
      <rPr>
        <sz val="8"/>
        <color theme="1"/>
        <rFont val="Calibri Light"/>
        <family val="2"/>
        <scheme val="major"/>
      </rPr>
      <t xml:space="preserve"> Esta tabela poderá ser adaptada às características do serviço contratado, inclusive no que concerne às rubricas e suas respectivas provisões e/ou estimativas, desde que haja justificativa.</t>
    </r>
  </si>
  <si>
    <r>
      <rPr>
        <b/>
        <sz val="8"/>
        <color theme="1"/>
        <rFont val="Calibri Light"/>
        <family val="2"/>
        <scheme val="major"/>
      </rPr>
      <t>Nota 2:</t>
    </r>
    <r>
      <rPr>
        <sz val="8"/>
        <color theme="1"/>
        <rFont val="Calibri Light"/>
        <family val="2"/>
        <scheme val="major"/>
      </rPr>
      <t xml:space="preserve"> As provisões constantes desta planilha poderão ser desnecessárias quando se tratar de determinados serviços que prescindam da dedicação exclusiva dos trabalhadores da contratada para com a Administração.</t>
    </r>
  </si>
  <si>
    <r>
      <t> </t>
    </r>
    <r>
      <rPr>
        <b/>
        <sz val="9"/>
        <color theme="1"/>
        <rFont val="Calibri Light"/>
        <family val="2"/>
        <scheme val="major"/>
      </rPr>
      <t>MÓDULO 1 :   COMPOSIÇÃO DA REMUNERAÇÃO</t>
    </r>
  </si>
  <si>
    <r>
      <t xml:space="preserve">Adicional de Periculosidade                                                                                           </t>
    </r>
    <r>
      <rPr>
        <sz val="8"/>
        <color theme="1"/>
        <rFont val="Calibri Light"/>
        <family val="2"/>
        <scheme val="major"/>
      </rPr>
      <t xml:space="preserve">                                      </t>
    </r>
  </si>
  <si>
    <r>
      <rPr>
        <b/>
        <sz val="8"/>
        <color theme="1"/>
        <rFont val="Calibri Light"/>
        <family val="2"/>
        <scheme val="major"/>
      </rPr>
      <t>Nota 1:</t>
    </r>
    <r>
      <rPr>
        <sz val="8"/>
        <color theme="1"/>
        <rFont val="Calibri Light"/>
        <family val="2"/>
        <scheme val="major"/>
      </rPr>
      <t xml:space="preserve"> O </t>
    </r>
    <r>
      <rPr>
        <b/>
        <sz val="8"/>
        <color theme="1"/>
        <rFont val="Calibri Light"/>
        <family val="2"/>
        <scheme val="major"/>
      </rPr>
      <t>Módulo 1</t>
    </r>
    <r>
      <rPr>
        <sz val="8"/>
        <color theme="1"/>
        <rFont val="Calibri Light"/>
        <family val="2"/>
        <scheme val="major"/>
      </rPr>
      <t xml:space="preserve"> refere-se ao valor mensal devido ao empregado pela prestação do serviço no período de 12 meses. </t>
    </r>
  </si>
  <si>
    <r>
      <rPr>
        <b/>
        <sz val="8"/>
        <color theme="1"/>
        <rFont val="Calibri Light"/>
        <family val="2"/>
        <scheme val="major"/>
      </rPr>
      <t xml:space="preserve">Nota 1: </t>
    </r>
    <r>
      <rPr>
        <sz val="8"/>
        <color theme="1"/>
        <rFont val="Calibri Light"/>
        <family val="2"/>
        <scheme val="major"/>
      </rPr>
      <t>Como a planilha de custos e formação de preços é calculada mensalmente, provisiona-se proporcionalmente 1/12 (um doze avos) dos valores referentes a gratificação natalina, férias e adicional de férias.</t>
    </r>
  </si>
  <si>
    <r>
      <rPr>
        <b/>
        <sz val="8"/>
        <color theme="1"/>
        <rFont val="Calibri Light"/>
        <family val="2"/>
        <scheme val="major"/>
      </rPr>
      <t xml:space="preserve">Nota 2: </t>
    </r>
    <r>
      <rPr>
        <sz val="8"/>
        <color theme="1"/>
        <rFont val="Calibri Light"/>
        <family val="2"/>
        <scheme val="major"/>
      </rPr>
      <t>O adicional de férias contido no Submódulo 2.1 corresponde a 1/3 (um terço) da remuneração que por sua vez é divido por 12 (doze) conforme Nota 1 acima</t>
    </r>
  </si>
  <si>
    <r>
      <rPr>
        <b/>
        <sz val="8"/>
        <color theme="1"/>
        <rFont val="Calibri Light"/>
        <family val="2"/>
        <scheme val="major"/>
      </rPr>
      <t>Nota 1:</t>
    </r>
    <r>
      <rPr>
        <sz val="8"/>
        <color theme="1"/>
        <rFont val="Calibri Light"/>
        <family val="2"/>
        <scheme val="major"/>
      </rPr>
      <t xml:space="preserve"> Os percentuais dos encargos previdenciários, do FGTS e demais contribuições são aqueles estabelecidos pela legislação vigente.</t>
    </r>
  </si>
  <si>
    <r>
      <rPr>
        <b/>
        <sz val="8"/>
        <color theme="1"/>
        <rFont val="Calibri Light"/>
        <family val="2"/>
        <scheme val="major"/>
      </rPr>
      <t xml:space="preserve">Nota 2: </t>
    </r>
    <r>
      <rPr>
        <sz val="8"/>
        <color theme="1"/>
        <rFont val="Calibri Light"/>
        <family val="2"/>
        <scheme val="major"/>
      </rPr>
      <t>O</t>
    </r>
    <r>
      <rPr>
        <b/>
        <sz val="8"/>
        <color theme="1"/>
        <rFont val="Calibri Light"/>
        <family val="2"/>
        <scheme val="major"/>
      </rPr>
      <t xml:space="preserve"> SAT</t>
    </r>
    <r>
      <rPr>
        <sz val="8"/>
        <color theme="1"/>
        <rFont val="Calibri Light"/>
        <family val="2"/>
        <scheme val="major"/>
      </rPr>
      <t xml:space="preserve"> a depender do grau de risco do serviço irá </t>
    </r>
    <r>
      <rPr>
        <b/>
        <sz val="8"/>
        <color theme="1"/>
        <rFont val="Calibri Light"/>
        <family val="2"/>
        <scheme val="major"/>
      </rPr>
      <t>variar entre 1%, para risco leve, de 2%, para risco médio, e de 3% de risco grave.</t>
    </r>
  </si>
  <si>
    <r>
      <t xml:space="preserve">Auxílio Saúde - </t>
    </r>
    <r>
      <rPr>
        <sz val="8"/>
        <color theme="1"/>
        <rFont val="Calibri Light"/>
        <family val="2"/>
        <scheme val="major"/>
      </rPr>
      <t>CLÁUSULA DÉCIMA SEXTA - PLANO AMBULATORIAL</t>
    </r>
  </si>
  <si>
    <r>
      <rPr>
        <b/>
        <sz val="8"/>
        <color theme="1"/>
        <rFont val="Calibri Light"/>
        <family val="2"/>
        <scheme val="major"/>
      </rPr>
      <t>Nota 1:</t>
    </r>
    <r>
      <rPr>
        <sz val="8"/>
        <color theme="1"/>
        <rFont val="Calibri Light"/>
        <family val="2"/>
        <scheme val="major"/>
      </rPr>
      <t xml:space="preserve"> O valor informado deverá ser o custo real do benefício (descontado o valor eventualmente pago pelo empregado).</t>
    </r>
  </si>
  <si>
    <r>
      <rPr>
        <b/>
        <sz val="8"/>
        <color theme="1"/>
        <rFont val="Calibri Light"/>
        <family val="2"/>
        <scheme val="major"/>
      </rPr>
      <t>Nota 2:</t>
    </r>
    <r>
      <rPr>
        <sz val="8"/>
        <color theme="1"/>
        <rFont val="Calibri Light"/>
        <family val="2"/>
        <scheme val="major"/>
      </rPr>
      <t xml:space="preserve"> Observar a previsão dos benefícios contidos em Acordos, Convenções e Dissídios Coletivos de Trabalho e atentar-se ao disposto no art. 6º desta Instrução Normativa.</t>
    </r>
  </si>
  <si>
    <r>
      <t xml:space="preserve">Nota 1: </t>
    </r>
    <r>
      <rPr>
        <sz val="8"/>
        <color theme="1"/>
        <rFont val="Calibri Light"/>
        <family val="2"/>
        <scheme val="major"/>
      </rPr>
      <t>Os itens que contemplam o</t>
    </r>
    <r>
      <rPr>
        <b/>
        <sz val="8"/>
        <color theme="1"/>
        <rFont val="Calibri Light"/>
        <family val="2"/>
        <scheme val="major"/>
      </rPr>
      <t xml:space="preserve"> módulo 4 se referem ao custo dos dias trabalhados pelo repositor/substituto, quando </t>
    </r>
    <r>
      <rPr>
        <sz val="8"/>
        <color theme="1"/>
        <rFont val="Calibri Light"/>
        <family val="2"/>
        <scheme val="major"/>
      </rPr>
      <t>o empregado</t>
    </r>
    <r>
      <rPr>
        <b/>
        <sz val="8"/>
        <color theme="1"/>
        <rFont val="Calibri Light"/>
        <family val="2"/>
        <scheme val="major"/>
      </rPr>
      <t xml:space="preserve"> alocado na prestação de serviço estiver ausente, </t>
    </r>
    <r>
      <rPr>
        <sz val="8"/>
        <color theme="1"/>
        <rFont val="Calibri Light"/>
        <family val="2"/>
        <scheme val="major"/>
      </rPr>
      <t>conforme as previsões estabelecidas na legislação.</t>
    </r>
  </si>
  <si>
    <r>
      <t xml:space="preserve">Substituto na cobertura de Afastamento Maternidade </t>
    </r>
    <r>
      <rPr>
        <sz val="8"/>
        <color theme="1"/>
        <rFont val="Calibri Light"/>
        <family val="2"/>
        <scheme val="major"/>
      </rPr>
      <t>(Estatística 1,5 % trabalhadoras/ano) = (1,5%)/12</t>
    </r>
  </si>
  <si>
    <r>
      <rPr>
        <b/>
        <sz val="8"/>
        <color theme="1"/>
        <rFont val="Calibri Light"/>
        <family val="2"/>
        <scheme val="major"/>
      </rPr>
      <t xml:space="preserve">Nota: </t>
    </r>
    <r>
      <rPr>
        <sz val="8"/>
        <color theme="1"/>
        <rFont val="Calibri Light"/>
        <family val="2"/>
        <scheme val="major"/>
      </rPr>
      <t>As alíneas “A” a “F” referem-se somente ao custo que será pago ao repositor pelos dias trabalhados quando da necessidade de substituir a mão de obra alocada na prestação do serviço.</t>
    </r>
  </si>
  <si>
    <r>
      <rPr>
        <b/>
        <sz val="8"/>
        <color theme="1"/>
        <rFont val="Calibri Light"/>
        <family val="2"/>
        <scheme val="major"/>
      </rPr>
      <t xml:space="preserve">Nota: </t>
    </r>
    <r>
      <rPr>
        <sz val="8"/>
        <color theme="1"/>
        <rFont val="Calibri Light"/>
        <family val="2"/>
        <scheme val="major"/>
      </rPr>
      <t>Quando houver a necessidade de reposição de um empregado durante sua ausência nos casos de intervalo para repouso ou alimentação deve-se contemplar o Submódulo 4.2.</t>
    </r>
  </si>
  <si>
    <r>
      <rPr>
        <b/>
        <sz val="8"/>
        <color theme="1"/>
        <rFont val="Calibri Light"/>
        <family val="2"/>
        <scheme val="major"/>
      </rPr>
      <t xml:space="preserve">Nota: </t>
    </r>
    <r>
      <rPr>
        <sz val="8"/>
        <color theme="1"/>
        <rFont val="Calibri Light"/>
        <family val="2"/>
        <scheme val="major"/>
      </rPr>
      <t>Valores mensais por empregado</t>
    </r>
  </si>
  <si>
    <r>
      <rPr>
        <b/>
        <sz val="8"/>
        <color theme="1"/>
        <rFont val="Calibri Light"/>
        <family val="2"/>
        <scheme val="major"/>
      </rPr>
      <t xml:space="preserve">Nota 1: </t>
    </r>
    <r>
      <rPr>
        <sz val="8"/>
        <color theme="1"/>
        <rFont val="Calibri Light"/>
        <family val="2"/>
        <scheme val="major"/>
      </rPr>
      <t>Custos Indiretos, Tributos e Lucro por empregado</t>
    </r>
  </si>
  <si>
    <r>
      <rPr>
        <b/>
        <sz val="8"/>
        <color theme="1"/>
        <rFont val="Calibri Light"/>
        <family val="2"/>
        <scheme val="major"/>
      </rPr>
      <t xml:space="preserve">Nota 2: </t>
    </r>
    <r>
      <rPr>
        <sz val="8"/>
        <color theme="1"/>
        <rFont val="Calibri Light"/>
        <family val="2"/>
        <scheme val="major"/>
      </rPr>
      <t>O valor referente a tributos é obtido aplicando-se o percentual sobre o valor do faturamento.</t>
    </r>
  </si>
  <si>
    <r>
      <rPr>
        <b/>
        <sz val="10"/>
        <color theme="1"/>
        <rFont val="Calibri Light"/>
        <family val="2"/>
        <scheme val="major"/>
      </rPr>
      <t>Módulo 1</t>
    </r>
    <r>
      <rPr>
        <sz val="10"/>
        <color theme="1"/>
        <rFont val="Calibri Light"/>
        <family val="2"/>
        <scheme val="major"/>
      </rPr>
      <t xml:space="preserve"> – Composição da Remuneração</t>
    </r>
  </si>
  <si>
    <r>
      <rPr>
        <b/>
        <sz val="10"/>
        <color theme="1"/>
        <rFont val="Calibri Light"/>
        <family val="2"/>
        <scheme val="major"/>
      </rPr>
      <t xml:space="preserve">Módulo 2 </t>
    </r>
    <r>
      <rPr>
        <sz val="10"/>
        <color theme="1"/>
        <rFont val="Calibri Light"/>
        <family val="2"/>
        <scheme val="major"/>
      </rPr>
      <t>– Encargos e Benefícios Anuais, Mensais e Diários</t>
    </r>
  </si>
  <si>
    <r>
      <rPr>
        <b/>
        <sz val="10"/>
        <color theme="1"/>
        <rFont val="Calibri Light"/>
        <family val="2"/>
        <scheme val="major"/>
      </rPr>
      <t>Módulo 3</t>
    </r>
    <r>
      <rPr>
        <sz val="10"/>
        <color theme="1"/>
        <rFont val="Calibri Light"/>
        <family val="2"/>
        <scheme val="major"/>
      </rPr>
      <t xml:space="preserve"> – Provisão para Rescisão</t>
    </r>
  </si>
  <si>
    <r>
      <rPr>
        <b/>
        <sz val="10"/>
        <color theme="1"/>
        <rFont val="Calibri Light"/>
        <family val="2"/>
        <scheme val="major"/>
      </rPr>
      <t>Módulo 4</t>
    </r>
    <r>
      <rPr>
        <sz val="10"/>
        <color theme="1"/>
        <rFont val="Calibri Light"/>
        <family val="2"/>
        <scheme val="major"/>
      </rPr>
      <t xml:space="preserve"> – Custo de Reposição do Profissional Ausente</t>
    </r>
  </si>
  <si>
    <r>
      <rPr>
        <b/>
        <sz val="10"/>
        <color theme="1"/>
        <rFont val="Calibri Light"/>
        <family val="2"/>
        <scheme val="major"/>
      </rPr>
      <t xml:space="preserve">Módulo 5 </t>
    </r>
    <r>
      <rPr>
        <sz val="10"/>
        <color theme="1"/>
        <rFont val="Calibri Light"/>
        <family val="2"/>
        <scheme val="major"/>
      </rPr>
      <t>- Insumos Diversos</t>
    </r>
  </si>
  <si>
    <r>
      <rPr>
        <b/>
        <sz val="10"/>
        <color theme="1"/>
        <rFont val="Calibri Light"/>
        <family val="2"/>
        <scheme val="major"/>
      </rPr>
      <t>Módulo 6</t>
    </r>
    <r>
      <rPr>
        <sz val="10"/>
        <color theme="1"/>
        <rFont val="Calibri Light"/>
        <family val="2"/>
        <scheme val="major"/>
      </rPr>
      <t xml:space="preserve"> – Custos Indiretos, Tributos e Lucro</t>
    </r>
  </si>
  <si>
    <r>
      <t xml:space="preserve">Assistência Odontológica </t>
    </r>
    <r>
      <rPr>
        <sz val="8"/>
        <color theme="1"/>
        <rFont val="Calibri Light"/>
        <family val="2"/>
        <scheme val="major"/>
      </rPr>
      <t>- CLÁUSULA DÉCIMA SÉTIMA - ASSISTÊNCIA ODONTOLÓGICA</t>
    </r>
  </si>
  <si>
    <r>
      <t xml:space="preserve">Seguro de Vida e Assistência Funeral - </t>
    </r>
    <r>
      <rPr>
        <sz val="8"/>
        <color theme="1"/>
        <rFont val="Calibri Light"/>
        <family val="2"/>
        <scheme val="major"/>
      </rPr>
      <t>CLÁUSULA DÉCIMA OITAVA - ASSISTÊNCIA FUNERAL</t>
    </r>
  </si>
  <si>
    <t>Equipamentos (a serem fornecidos pelo Órgão)</t>
  </si>
  <si>
    <t>5134-25</t>
  </si>
  <si>
    <t>Copeira(o)</t>
  </si>
  <si>
    <t>5134-05</t>
  </si>
  <si>
    <t>Garçom</t>
  </si>
  <si>
    <t>Garçonete</t>
  </si>
  <si>
    <t>Auxiliar Operacional</t>
  </si>
  <si>
    <t>Anexo V - Quadro-resumo – VALOR MENSAL DOS SERVIÇOS</t>
  </si>
  <si>
    <t>Tipo de serviço</t>
  </si>
  <si>
    <t>Valor proposto por empregado</t>
  </si>
  <si>
    <t>Qtde de empregado por posto</t>
  </si>
  <si>
    <t>Valor proposto por posto</t>
  </si>
  <si>
    <t>Qtde de postos</t>
  </si>
  <si>
    <t>Valor total do serviço</t>
  </si>
  <si>
    <t>Qtde de empregado por tipo de serviço</t>
  </si>
  <si>
    <t>(A)</t>
  </si>
  <si>
    <t>(B)</t>
  </si>
  <si>
    <t>(C)</t>
  </si>
  <si>
    <t>(D) = (B x C)</t>
  </si>
  <si>
    <t>(E)</t>
  </si>
  <si>
    <t>(F) = (D x E)</t>
  </si>
  <si>
    <t>I</t>
  </si>
  <si>
    <t>II</t>
  </si>
  <si>
    <t>Anexo V - Quadro - demonstrativo - VALOR GLOBAL DA PROPOSTA</t>
  </si>
  <si>
    <t>Valor Global da Proposta</t>
  </si>
  <si>
    <t>Valor proposto por unidade de medida *</t>
  </si>
  <si>
    <t>A1</t>
  </si>
  <si>
    <t>A2</t>
  </si>
  <si>
    <t>A5</t>
  </si>
  <si>
    <t>Valor mensal do serviço</t>
  </si>
  <si>
    <t>Valor global da proposta (valor mensal do serviço x 12 meses do contrato).</t>
  </si>
  <si>
    <t>         Nota (1): Informar o valor da unidade de medida por tipo de serviço.</t>
  </si>
  <si>
    <t>VALOR GLOBAL TOTAL ANUAL (SERVIÇOS/MÃO DE OBRA + MATERIAIS)</t>
  </si>
  <si>
    <t>Mensal  (R$)</t>
  </si>
  <si>
    <t>Anual (R$)</t>
  </si>
  <si>
    <t>Mão de Obra</t>
  </si>
  <si>
    <t>Materiais Sob Demanda</t>
  </si>
  <si>
    <t>TOTAL GERAL MENSAL E ANUAL</t>
  </si>
  <si>
    <t>III</t>
  </si>
  <si>
    <t>IV</t>
  </si>
  <si>
    <t>V</t>
  </si>
  <si>
    <t xml:space="preserve">Categoria profissional </t>
  </si>
  <si>
    <t>Un.</t>
  </si>
  <si>
    <t>Órgão Público</t>
  </si>
  <si>
    <t>Valor Mensal Contratado</t>
  </si>
  <si>
    <t>Análise  da pesquisa</t>
  </si>
  <si>
    <t>Pesquisa de Preços de Mão de Obra de Encarregado, Copeira(o), Garçom, Garçonete e Auxiliar Operacional em Órgãos Públicos</t>
  </si>
  <si>
    <t>Pct</t>
  </si>
  <si>
    <t>Uniforme</t>
  </si>
  <si>
    <t>Und.</t>
  </si>
  <si>
    <t>Calça  masculina</t>
  </si>
  <si>
    <t>Paletó masculino</t>
  </si>
  <si>
    <t>Camisa  masculina manga longa</t>
  </si>
  <si>
    <t>Camisa feminina manga longa</t>
  </si>
  <si>
    <t>Camisa feminina manga curta</t>
  </si>
  <si>
    <t>Camiseta masculina</t>
  </si>
  <si>
    <t>Meia fina 3/4</t>
  </si>
  <si>
    <t>Sapato feminino salto médio</t>
  </si>
  <si>
    <t>Sapato feminino salto baixo</t>
  </si>
  <si>
    <t>Bota masculina</t>
  </si>
  <si>
    <t>Cinto</t>
  </si>
  <si>
    <t>Gravata borboleta</t>
  </si>
  <si>
    <t>Lenço</t>
  </si>
  <si>
    <t>Touca</t>
  </si>
  <si>
    <t>Prendedor de cabelo</t>
  </si>
  <si>
    <t xml:space="preserve">Máscaras </t>
  </si>
  <si>
    <t>GRAVATA BORBOLETA</t>
  </si>
  <si>
    <t>SAPATO MASCULINO</t>
  </si>
  <si>
    <t>GARÇONETE</t>
  </si>
  <si>
    <t>SAPATO FEMININO</t>
  </si>
  <si>
    <t>PRENDEDOR DE CABELO</t>
  </si>
  <si>
    <t>COPEIRA</t>
  </si>
  <si>
    <t>MEIA</t>
  </si>
  <si>
    <t>CALÇA</t>
  </si>
  <si>
    <t>BOTA MASCULINA</t>
  </si>
  <si>
    <t>Und</t>
  </si>
  <si>
    <t>Quant.</t>
  </si>
  <si>
    <t>Semestre</t>
  </si>
  <si>
    <t>Unit.</t>
  </si>
  <si>
    <t>Total Mensal</t>
  </si>
  <si>
    <t>Uniforme do Posto</t>
  </si>
  <si>
    <t>PALETÓ</t>
  </si>
  <si>
    <t>1.3</t>
  </si>
  <si>
    <t>CAMISA</t>
  </si>
  <si>
    <t>1.4</t>
  </si>
  <si>
    <t>1.5</t>
  </si>
  <si>
    <t>1.6</t>
  </si>
  <si>
    <t>1.7</t>
  </si>
  <si>
    <t>CINTO</t>
  </si>
  <si>
    <t>1.9</t>
  </si>
  <si>
    <t>Total Geral Anual</t>
  </si>
  <si>
    <t>CALÇA FEMININA</t>
  </si>
  <si>
    <t>BLAZER FEMININO</t>
  </si>
  <si>
    <t>CAMISA FEMININA</t>
  </si>
  <si>
    <t>2.4</t>
  </si>
  <si>
    <t>2.5</t>
  </si>
  <si>
    <t>2.6</t>
  </si>
  <si>
    <t>2.7</t>
  </si>
  <si>
    <t>2.9</t>
  </si>
  <si>
    <t>3.0</t>
  </si>
  <si>
    <t>3.1</t>
  </si>
  <si>
    <t>3.2</t>
  </si>
  <si>
    <t>3.3</t>
  </si>
  <si>
    <t>AVENTAL</t>
  </si>
  <si>
    <t>3.4</t>
  </si>
  <si>
    <t>3.5</t>
  </si>
  <si>
    <t>3.6</t>
  </si>
  <si>
    <t>3.7</t>
  </si>
  <si>
    <t>CASACO DE FRIO</t>
  </si>
  <si>
    <t>3.9</t>
  </si>
  <si>
    <t>4.0</t>
  </si>
  <si>
    <t>ENCARREGADO</t>
  </si>
  <si>
    <t>4.3</t>
  </si>
  <si>
    <t>4.4</t>
  </si>
  <si>
    <t>4.5</t>
  </si>
  <si>
    <t>4.6</t>
  </si>
  <si>
    <t>4.8</t>
  </si>
  <si>
    <t>5.0</t>
  </si>
  <si>
    <t>AUXILIAR OPERACIONAL</t>
  </si>
  <si>
    <t>5.1</t>
  </si>
  <si>
    <t>5.2</t>
  </si>
  <si>
    <t>5.3</t>
  </si>
  <si>
    <t>5.4</t>
  </si>
  <si>
    <t>5.5</t>
  </si>
  <si>
    <t>5.7</t>
  </si>
  <si>
    <t>UNIFORMES POR CATEGORIA</t>
  </si>
  <si>
    <t>Unidade de  Medida</t>
  </si>
  <si>
    <t>CBO</t>
  </si>
  <si>
    <t>Quantidade</t>
  </si>
  <si>
    <t>Empregado por Posto</t>
  </si>
  <si>
    <t>Encarregado(a)</t>
  </si>
  <si>
    <t>Total de empregados</t>
  </si>
  <si>
    <t>Descrição/Especificação</t>
  </si>
  <si>
    <t>CATMAT</t>
  </si>
  <si>
    <t>Valor de Referência Mensal (R$)</t>
  </si>
  <si>
    <t>Fornecimento de materiais de consumo e de reposição, por demanda, por ressarcimento</t>
  </si>
  <si>
    <t>variado</t>
  </si>
  <si>
    <t>Estimativa mensal</t>
  </si>
  <si>
    <t>mês</t>
  </si>
  <si>
    <t>Postos  (a)</t>
  </si>
  <si>
    <t>Unit.  (b)</t>
  </si>
  <si>
    <t>Total  (c)=(a)x(b)</t>
  </si>
  <si>
    <t>Valor de Referencia  Mensal  (R$)</t>
  </si>
  <si>
    <t>Valor Total Anual Estimado</t>
  </si>
  <si>
    <t>MO/(MO+MAT)</t>
  </si>
  <si>
    <t>MAT/(MO+MAT)</t>
  </si>
  <si>
    <t>Comparação relativa entre o Valor Total Estimado e os Valores de Mão deObra e de Material</t>
  </si>
  <si>
    <t>(MAT)</t>
  </si>
  <si>
    <t>(MO + MAT)</t>
  </si>
  <si>
    <t>(MO)</t>
  </si>
  <si>
    <t>A3</t>
  </si>
  <si>
    <t>A4</t>
  </si>
  <si>
    <t>CATSERV</t>
  </si>
  <si>
    <t>SERVIÇOS DE COPEIRAGEM</t>
  </si>
  <si>
    <t>TOTAL MENSAL SERVIÇOS DE COPEIRAGEM</t>
  </si>
  <si>
    <t>TOTAL ANUAL SERVIÇOS DE COPEIRAGEM</t>
  </si>
  <si>
    <t>TOTAL MENSAL SERVIÇOS DE COPEIRAGEM (Serviços + Materiais)</t>
  </si>
  <si>
    <t>TOTAL ANUAL SERVIÇOS DE COPEIRAGEM (Serviços + Materiais)</t>
  </si>
  <si>
    <t>Estimativa Anual Materiais</t>
  </si>
  <si>
    <t xml:space="preserve">Grupo/Lote </t>
  </si>
  <si>
    <r>
      <rPr>
        <b/>
        <sz val="10"/>
        <color theme="1"/>
        <rFont val="Calibri Light"/>
        <family val="2"/>
        <scheme val="major"/>
      </rPr>
      <t xml:space="preserve">Aviso Prévio Indenizado                                                                                                                          </t>
    </r>
    <r>
      <rPr>
        <b/>
        <sz val="8"/>
        <color theme="1"/>
        <rFont val="Calibri Light"/>
        <family val="2"/>
        <scheme val="major"/>
      </rPr>
      <t xml:space="preserve">   </t>
    </r>
    <r>
      <rPr>
        <sz val="8"/>
        <color theme="1"/>
        <rFont val="Calibri Light"/>
        <family val="2"/>
        <scheme val="major"/>
      </rPr>
      <t xml:space="preserve"> </t>
    </r>
    <r>
      <rPr>
        <i/>
        <sz val="8"/>
        <color theme="1"/>
        <rFont val="Calibri Light"/>
        <family val="2"/>
        <scheme val="major"/>
      </rPr>
      <t>(Estimativa: 5% dos empregados serão substituídos durante um ano)  - [(5%)/12] = 0,417%   art. 487 CLT - Sumula 305/TST, Ac.2.271/2010-TCU,  Lei nº 12506/2011)</t>
    </r>
    <r>
      <rPr>
        <sz val="8"/>
        <color theme="1"/>
        <rFont val="Calibri Light"/>
        <family val="2"/>
        <scheme val="major"/>
      </rPr>
      <t>.</t>
    </r>
  </si>
  <si>
    <r>
      <rPr>
        <b/>
        <sz val="10"/>
        <color theme="1"/>
        <rFont val="Calibri Light"/>
        <family val="2"/>
        <scheme val="major"/>
      </rPr>
      <t xml:space="preserve">Incidência do FGTS sobre o Aviso Prévio Indenizado </t>
    </r>
    <r>
      <rPr>
        <i/>
        <sz val="10"/>
        <color theme="1"/>
        <rFont val="Calibri Light"/>
        <family val="2"/>
        <scheme val="major"/>
      </rPr>
      <t>(8% x 0,417%)</t>
    </r>
  </si>
  <si>
    <r>
      <rPr>
        <b/>
        <sz val="10"/>
        <color theme="1"/>
        <rFont val="Calibri Light"/>
        <family val="2"/>
        <scheme val="major"/>
      </rPr>
      <t xml:space="preserve">Multa do FGTS sobre o Aviso Prévio Indenizado </t>
    </r>
    <r>
      <rPr>
        <sz val="10"/>
        <color theme="1"/>
        <rFont val="Calibri Light"/>
        <family val="2"/>
        <scheme val="major"/>
      </rPr>
      <t xml:space="preserve">                                                 </t>
    </r>
    <r>
      <rPr>
        <i/>
        <sz val="8"/>
        <color theme="1"/>
        <rFont val="Calibri Light"/>
        <family val="2"/>
        <scheme val="major"/>
      </rPr>
      <t xml:space="preserve"> (multa de 40% sobre FGTS ) x Aviso Prévio Indenizado (0,417%) =  (0,417%)*0,40  =  0,167%  (Art. 18, § 1º da Lei nº 8.036/90,Art. 1º da Lei Complementar nº 110/2001)</t>
    </r>
  </si>
  <si>
    <r>
      <rPr>
        <b/>
        <sz val="10"/>
        <color theme="1"/>
        <rFont val="Calibri Light"/>
        <family val="2"/>
        <scheme val="major"/>
      </rPr>
      <t>Aviso Prévio Trabalhado</t>
    </r>
    <r>
      <rPr>
        <sz val="10"/>
        <color theme="1"/>
        <rFont val="Calibri Light"/>
        <family val="2"/>
        <scheme val="major"/>
      </rPr>
      <t xml:space="preserve">                                                                                                                             </t>
    </r>
    <r>
      <rPr>
        <sz val="8"/>
        <color theme="1"/>
        <rFont val="Calibri Light"/>
        <family val="2"/>
        <scheme val="major"/>
      </rPr>
      <t xml:space="preserve"> </t>
    </r>
    <r>
      <rPr>
        <i/>
        <sz val="8"/>
        <color theme="1"/>
        <rFont val="Calibri Light"/>
        <family val="2"/>
        <scheme val="major"/>
      </rPr>
      <t>(redução de 7 dias/mes ou de 2 horas/dia, percentual relativo a contrato de 12 meses)   =   [(7/30)/12]*100=1,944%  (Ac.3006/2010-TCU; art.7º, XXI ,CF/88, 477, 487 e 491 CLT)</t>
    </r>
  </si>
  <si>
    <r>
      <rPr>
        <b/>
        <sz val="10"/>
        <color theme="1"/>
        <rFont val="Calibri Light"/>
        <family val="2"/>
        <scheme val="major"/>
      </rPr>
      <t xml:space="preserve">Incidência dos encargos do Submódulo 2.2 </t>
    </r>
    <r>
      <rPr>
        <sz val="10"/>
        <color theme="1"/>
        <rFont val="Calibri Light"/>
        <family val="2"/>
        <scheme val="major"/>
      </rPr>
      <t>sobre o Aviso Prévio Trabalhado</t>
    </r>
    <r>
      <rPr>
        <sz val="8"/>
        <color theme="1"/>
        <rFont val="Calibri Light"/>
        <family val="2"/>
        <scheme val="major"/>
      </rPr>
      <t xml:space="preserve"> </t>
    </r>
    <r>
      <rPr>
        <i/>
        <sz val="8"/>
        <color theme="1"/>
        <rFont val="Calibri Light"/>
        <family val="2"/>
        <scheme val="major"/>
      </rPr>
      <t>(36,8% x 1,944%)</t>
    </r>
  </si>
  <si>
    <r>
      <rPr>
        <b/>
        <sz val="10"/>
        <color theme="1"/>
        <rFont val="Calibri Light"/>
        <family val="2"/>
        <scheme val="major"/>
      </rPr>
      <t>Multa do FGTS sobre o Aviso Prévio Trabalhado</t>
    </r>
    <r>
      <rPr>
        <i/>
        <sz val="10"/>
        <color theme="1"/>
        <rFont val="Calibri Light"/>
        <family val="2"/>
        <scheme val="major"/>
      </rPr>
      <t xml:space="preserve"> </t>
    </r>
    <r>
      <rPr>
        <i/>
        <sz val="8"/>
        <color theme="1"/>
        <rFont val="Calibri Light"/>
        <family val="2"/>
        <scheme val="major"/>
      </rPr>
      <t>(40% x 1,944%)</t>
    </r>
  </si>
  <si>
    <r>
      <t xml:space="preserve">Substituto na cobertura de Ausências Legais </t>
    </r>
    <r>
      <rPr>
        <i/>
        <sz val="8"/>
        <color theme="1"/>
        <rFont val="Calibri Light"/>
        <family val="2"/>
        <scheme val="major"/>
      </rPr>
      <t>(estatística - uma/ano) = (1/12)/30</t>
    </r>
  </si>
  <si>
    <r>
      <t xml:space="preserve">Substituto na cobertura de Licença-Paternidade </t>
    </r>
    <r>
      <rPr>
        <i/>
        <sz val="8"/>
        <color theme="1"/>
        <rFont val="Calibri Light"/>
        <family val="2"/>
        <scheme val="major"/>
      </rPr>
      <t>(Estatística 1,5 % trabalhadores/ano)</t>
    </r>
  </si>
  <si>
    <r>
      <t>Substituto na cobertura de Ausência por Acidente de Trabalho</t>
    </r>
    <r>
      <rPr>
        <sz val="8"/>
        <color theme="1"/>
        <rFont val="Calibri Light"/>
        <family val="2"/>
        <scheme val="major"/>
      </rPr>
      <t xml:space="preserve"> </t>
    </r>
    <r>
      <rPr>
        <i/>
        <sz val="8"/>
        <color theme="1"/>
        <rFont val="Calibri Light"/>
        <family val="2"/>
        <scheme val="major"/>
      </rPr>
      <t>(estatística IBGE - 8% por ano - 15 dias pagos pela empresa) = [(8%)/12]/2</t>
    </r>
  </si>
  <si>
    <r>
      <t>Uniformes</t>
    </r>
    <r>
      <rPr>
        <i/>
        <sz val="10"/>
        <color theme="1"/>
        <rFont val="Calibri Light"/>
        <family val="2"/>
        <scheme val="major"/>
      </rPr>
      <t xml:space="preserve"> </t>
    </r>
    <r>
      <rPr>
        <i/>
        <sz val="9"/>
        <color theme="1"/>
        <rFont val="Calibri Light"/>
        <family val="2"/>
        <scheme val="major"/>
      </rPr>
      <t>(CLÁUSULA QUINQUAGÉSIMA - UNIFORMES)</t>
    </r>
  </si>
  <si>
    <r>
      <t xml:space="preserve">Lucro  </t>
    </r>
    <r>
      <rPr>
        <i/>
        <sz val="10"/>
        <color theme="1"/>
        <rFont val="Calibri Light"/>
        <family val="2"/>
        <scheme val="major"/>
      </rPr>
      <t xml:space="preserve">(Estudo TCU - TC 025.990/2008-2) </t>
    </r>
  </si>
  <si>
    <r>
      <rPr>
        <b/>
        <sz val="10"/>
        <color theme="1"/>
        <rFont val="Calibri Light"/>
        <family val="2"/>
        <scheme val="major"/>
      </rPr>
      <t>C.1.</t>
    </r>
    <r>
      <rPr>
        <sz val="10"/>
        <color theme="1"/>
        <rFont val="Calibri Light"/>
        <family val="2"/>
        <scheme val="major"/>
      </rPr>
      <t xml:space="preserve"> Tributos Federais -</t>
    </r>
    <r>
      <rPr>
        <i/>
        <sz val="10"/>
        <color theme="1"/>
        <rFont val="Calibri Light"/>
        <family val="2"/>
        <scheme val="major"/>
      </rPr>
      <t xml:space="preserve"> </t>
    </r>
    <r>
      <rPr>
        <b/>
        <i/>
        <sz val="10"/>
        <color theme="1"/>
        <rFont val="Calibri Light"/>
        <family val="2"/>
        <scheme val="major"/>
      </rPr>
      <t>PIS (0,65% ) + COFINS (3,0)</t>
    </r>
  </si>
  <si>
    <r>
      <rPr>
        <b/>
        <sz val="10"/>
        <color theme="1"/>
        <rFont val="Calibri Light"/>
        <family val="2"/>
        <scheme val="major"/>
      </rPr>
      <t>C.2.</t>
    </r>
    <r>
      <rPr>
        <sz val="10"/>
        <color theme="1"/>
        <rFont val="Calibri Light"/>
        <family val="2"/>
        <scheme val="major"/>
      </rPr>
      <t xml:space="preserve"> Tributos Estaduais  - </t>
    </r>
    <r>
      <rPr>
        <b/>
        <i/>
        <sz val="10"/>
        <color theme="1"/>
        <rFont val="Calibri Light"/>
        <family val="2"/>
        <scheme val="major"/>
      </rPr>
      <t>ISS (5%) (Distrito Federal)</t>
    </r>
  </si>
  <si>
    <t xml:space="preserve">Planilha de Custos e Formação de Preços para  prestação de serviços de copeiragem, com execução realizada mediante alocação pela contratada de empregados com os cargos de Copeiras, Garçons/Garçonetes, Auxiliar Operacional e Encarregado(a)  para o Ministério de Minas e Energia, sediado no Bloco “U” da Esplanada dos Minsitérios, em Brasília-DF, observadas as condições estabelecidas no Termo de Referência - TR.                                                                                                                                                                </t>
  </si>
  <si>
    <t>Copeira</t>
  </si>
  <si>
    <t xml:space="preserve">Auxiliar </t>
  </si>
  <si>
    <t xml:space="preserve">Planilha de Custos e Formação de Preços para  prestação de serviços de copeiragem, com execução realizada mediante alocação pela contratada de empregados com os cargos de Copeiras, Garçons/Garçonetes, Auxiliar Operacional e Encarregado(a)  para o Ministério de Minas e Energia, sediado no Bloco “U” da Esplanada dos Minsitérios, em Brasília-DF, observadas as condições estabelecidas no Termo de Referência - TR.  </t>
  </si>
  <si>
    <t>Data base da categoria (dia/mês/ano)</t>
  </si>
  <si>
    <t>VALOR MENSAL DOS SERVIÇOS (I + II + III+IV+V)</t>
  </si>
  <si>
    <t>CRACHÁ </t>
  </si>
  <si>
    <t>MEIA ¾ </t>
  </si>
  <si>
    <t>CALÇA FEMININA ou SAIA </t>
  </si>
  <si>
    <t>CAMISA MANGA CURTA </t>
  </si>
  <si>
    <t>TOUCA </t>
  </si>
  <si>
    <t>CAMISA </t>
  </si>
  <si>
    <t>CINTO </t>
  </si>
  <si>
    <t>CAMISETA </t>
  </si>
  <si>
    <r>
      <t>PLANILHA ESTIMATIVA DE CUSTOS ANUAL DE UNIFORMES</t>
    </r>
    <r>
      <rPr>
        <sz val="10"/>
        <color rgb="FF000000"/>
        <rFont val="Calibri"/>
        <family val="2"/>
        <scheme val="minor"/>
      </rPr>
      <t xml:space="preserve"> </t>
    </r>
    <r>
      <rPr>
        <sz val="10"/>
        <color theme="1"/>
        <rFont val="Calibri"/>
        <family val="2"/>
        <scheme val="minor"/>
      </rPr>
      <t>COPEIRAGEM CONSIDERANDO O QUADRO EFETIVO PREVISTO NO TERMO DE REFERENCIA</t>
    </r>
  </si>
  <si>
    <t>Valor Mensal Estimado  MME (R$)</t>
  </si>
  <si>
    <t>Diferença % em relação ao Estimado</t>
  </si>
  <si>
    <t>Produtos/Material</t>
  </si>
  <si>
    <r>
      <t>Açúcar cristal</t>
    </r>
    <r>
      <rPr>
        <sz val="10"/>
        <color rgb="FF000000"/>
        <rFont val="Calibri"/>
        <family val="2"/>
        <scheme val="minor"/>
      </rPr>
      <t>, branco, isento de impurezas, acondicionado em saco plástico, atóxico com data de fabricação e validade. Pacote com 5 kg.</t>
    </r>
  </si>
  <si>
    <r>
      <t>Açúcar refinado</t>
    </r>
    <r>
      <rPr>
        <sz val="10"/>
        <color rgb="FF000000"/>
        <rFont val="Calibri"/>
        <family val="2"/>
        <scheme val="minor"/>
      </rPr>
      <t>, branco, isento de impurezas, acondicionado em saco plástico, atóxico com data de fabricação e validade. Pacote com 1 kg.</t>
    </r>
  </si>
  <si>
    <r>
      <t>Açucareiro de aço inox</t>
    </r>
    <r>
      <rPr>
        <sz val="10"/>
        <color rgb="FF000000"/>
        <rFont val="Calibri"/>
        <family val="2"/>
        <scheme val="minor"/>
      </rPr>
      <t>, com colher e tampa, capacidade de 200 gr a 330 gr.</t>
    </r>
  </si>
  <si>
    <r>
      <t>Adoçante,</t>
    </r>
    <r>
      <rPr>
        <sz val="10"/>
        <color rgb="FF000000"/>
        <rFont val="Calibri"/>
        <family val="2"/>
        <scheme val="minor"/>
      </rPr>
      <t xml:space="preserve"> sem aspartame, frasco de 100 ml. </t>
    </r>
  </si>
  <si>
    <r>
      <t>Álcool,</t>
    </r>
    <r>
      <rPr>
        <sz val="10"/>
        <color theme="1"/>
        <rFont val="Calibri"/>
        <family val="2"/>
        <scheme val="minor"/>
      </rPr>
      <t xml:space="preserve"> etílico hidratado na concentração de 70º INPM 1.000 ml, com registro no “INMETRO.</t>
    </r>
  </si>
  <si>
    <r>
      <t>Alvejante</t>
    </r>
    <r>
      <rPr>
        <sz val="10"/>
        <color rgb="FF000000"/>
        <rFont val="Calibri"/>
        <family val="2"/>
        <scheme val="minor"/>
      </rPr>
      <t>, 1.000 ml, solução aquosa a base de hipoclorito de sódio ou cálcio com teor de cloro ativo.</t>
    </r>
  </si>
  <si>
    <r>
      <t>Apoio para copo,</t>
    </r>
    <r>
      <rPr>
        <sz val="10"/>
        <color rgb="FF000000"/>
        <rFont val="Calibri"/>
        <family val="2"/>
        <scheme val="minor"/>
      </rPr>
      <t xml:space="preserve"> em aço inox.</t>
    </r>
  </si>
  <si>
    <r>
      <t>Balde plástico,</t>
    </r>
    <r>
      <rPr>
        <sz val="10"/>
        <color rgb="FF000000"/>
        <rFont val="Calibri"/>
        <family val="2"/>
        <scheme val="minor"/>
      </rPr>
      <t xml:space="preserve"> 8 litros, com alça de alumínio de alta resistência.</t>
    </r>
  </si>
  <si>
    <r>
      <t>Bandeja em aço inox,</t>
    </r>
    <r>
      <rPr>
        <sz val="10"/>
        <color rgb="FF000000"/>
        <rFont val="Calibri"/>
        <family val="2"/>
        <scheme val="minor"/>
      </rPr>
      <t xml:space="preserve"> redonda, medida 35 cm de diâmetro, aproximada.</t>
    </r>
  </si>
  <si>
    <r>
      <t>Bandeja</t>
    </r>
    <r>
      <rPr>
        <sz val="10"/>
        <color rgb="FF000000"/>
        <rFont val="Calibri"/>
        <family val="2"/>
        <scheme val="minor"/>
      </rPr>
      <t xml:space="preserve"> </t>
    </r>
    <r>
      <rPr>
        <b/>
        <sz val="10"/>
        <color rgb="FF000000"/>
        <rFont val="Calibri"/>
        <family val="2"/>
        <scheme val="minor"/>
      </rPr>
      <t>em aço inox,</t>
    </r>
    <r>
      <rPr>
        <sz val="10"/>
        <color rgb="FF000000"/>
        <rFont val="Calibri"/>
        <family val="2"/>
        <scheme val="minor"/>
      </rPr>
      <t xml:space="preserve"> redonda, medida 45 cm de diâmetro, aproximada.  </t>
    </r>
  </si>
  <si>
    <r>
      <t>Bandeja</t>
    </r>
    <r>
      <rPr>
        <sz val="10"/>
        <color rgb="FF000000"/>
        <rFont val="Calibri"/>
        <family val="2"/>
        <scheme val="minor"/>
      </rPr>
      <t xml:space="preserve"> </t>
    </r>
    <r>
      <rPr>
        <b/>
        <sz val="10"/>
        <color rgb="FF000000"/>
        <rFont val="Calibri"/>
        <family val="2"/>
        <scheme val="minor"/>
      </rPr>
      <t>em aço inox,</t>
    </r>
    <r>
      <rPr>
        <sz val="10"/>
        <color rgb="FF000000"/>
        <rFont val="Calibri"/>
        <family val="2"/>
        <scheme val="minor"/>
      </rPr>
      <t xml:space="preserve"> retangular, medida 48x32 cm, aproximada.</t>
    </r>
  </si>
  <si>
    <r>
      <t>Bule de aço inox,</t>
    </r>
    <r>
      <rPr>
        <sz val="10"/>
        <color rgb="FF000000"/>
        <rFont val="Calibri"/>
        <family val="2"/>
        <scheme val="minor"/>
      </rPr>
      <t xml:space="preserve"> para café, capacidade de 750 ml a 1 litro, aproximada.</t>
    </r>
  </si>
  <si>
    <t>Qdade Anual</t>
  </si>
  <si>
    <r>
      <t>Caneca,</t>
    </r>
    <r>
      <rPr>
        <sz val="10"/>
        <color rgb="FF000000"/>
        <rFont val="Calibri"/>
        <family val="2"/>
        <scheme val="minor"/>
      </rPr>
      <t xml:space="preserve"> com borda e bico, com alça em baquelite, com capacidade de 1,5 litro.</t>
    </r>
  </si>
  <si>
    <r>
      <t>Caneca,</t>
    </r>
    <r>
      <rPr>
        <sz val="10"/>
        <color rgb="FF000000"/>
        <rFont val="Calibri"/>
        <family val="2"/>
        <scheme val="minor"/>
      </rPr>
      <t xml:space="preserve"> com borda e bico, com alça em baquelite, com capacidade de 3,0 litros.</t>
    </r>
  </si>
  <si>
    <r>
      <t xml:space="preserve">Carrinho para copa, </t>
    </r>
    <r>
      <rPr>
        <sz val="10"/>
        <color rgb="FF000000"/>
        <rFont val="Calibri"/>
        <family val="2"/>
        <scheme val="minor"/>
      </rPr>
      <t>para distribuição de café, em estrutura de aço inox, com alça para manuseio, 3 prateleiras, 3 prateleiras, 2 prateleiras ajustáveis, rodas e travas, proteção acima das rodas de 10 cm para não danificar as paredes, rodas sólidas com amortecimento de PVC, cobertura das prateleiras em polipropileno.</t>
    </r>
  </si>
  <si>
    <r>
      <t>Coador de pano flanela,</t>
    </r>
    <r>
      <rPr>
        <sz val="10"/>
        <color rgb="FF000000"/>
        <rFont val="Calibri"/>
        <family val="2"/>
        <scheme val="minor"/>
      </rPr>
      <t xml:space="preserve"> na cor branca, industrial nº </t>
    </r>
    <r>
      <rPr>
        <sz val="10"/>
        <color theme="1"/>
        <rFont val="Calibri"/>
        <family val="2"/>
        <scheme val="minor"/>
      </rPr>
      <t xml:space="preserve">10, </t>
    </r>
    <r>
      <rPr>
        <sz val="10"/>
        <color rgb="FF000000"/>
        <rFont val="Calibri"/>
        <family val="2"/>
        <scheme val="minor"/>
      </rPr>
      <t>medidas aproximadas altura 35 cm e largura de 32   cm.</t>
    </r>
  </si>
  <si>
    <r>
      <t>Colher em aço inox,</t>
    </r>
    <r>
      <rPr>
        <sz val="10"/>
        <color rgb="FF000000"/>
        <rFont val="Calibri"/>
        <family val="2"/>
        <scheme val="minor"/>
      </rPr>
      <t xml:space="preserve"> </t>
    </r>
    <r>
      <rPr>
        <sz val="10"/>
        <color theme="1"/>
        <rFont val="Calibri"/>
        <family val="2"/>
        <scheme val="minor"/>
      </rPr>
      <t>para café com aproximadamente 9 cm.</t>
    </r>
  </si>
  <si>
    <r>
      <t>Colher em aço inox</t>
    </r>
    <r>
      <rPr>
        <b/>
        <sz val="10"/>
        <color theme="1"/>
        <rFont val="Calibri"/>
        <family val="2"/>
        <scheme val="minor"/>
      </rPr>
      <t>,</t>
    </r>
    <r>
      <rPr>
        <sz val="10"/>
        <color theme="1"/>
        <rFont val="Calibri"/>
        <family val="2"/>
        <scheme val="minor"/>
      </rPr>
      <t xml:space="preserve"> para chá com aproximadamente 12 cm.</t>
    </r>
  </si>
  <si>
    <r>
      <t>Colher em aço inox,</t>
    </r>
    <r>
      <rPr>
        <sz val="10"/>
        <color rgb="FF000000"/>
        <rFont val="Calibri"/>
        <family val="2"/>
        <scheme val="minor"/>
      </rPr>
      <t xml:space="preserve"> tamanho grande aproximadamente 30 cm a 35 cm, com cabo em madeira ou plástico.</t>
    </r>
  </si>
  <si>
    <r>
      <t>Copos Descartáveis Biodegradáveis Fabricado a Partir de Amido de Milho – Capacidade 180/200 Ml,</t>
    </r>
    <r>
      <rPr>
        <sz val="10"/>
        <color theme="1"/>
        <rFont val="Calibri"/>
        <family val="2"/>
        <scheme val="minor"/>
      </rPr>
      <t xml:space="preserve"> cor branco ou natural, fabricação em material biodegradável atóxico sem uso. Os copos devem ser homogêneos, não parafinados, isentos de materiais estranhos, bolhas, rachaduras, furos, deformações, bordas afiadas e rebarbas. Não devem apresentar sujidade, interna ou externamente. Durante a utilização devem suportar as condições de uso a que se destinam, como temperatura e umidade, sem apresentar vazamentos, desintegração ou deformidades que comprometam o correto e seguro uso, bem como estar em conformidade com as normas vigentes sobre o produto, Caixa com 25 pacotes </t>
    </r>
    <r>
      <rPr>
        <sz val="10"/>
        <color rgb="FF000000"/>
        <rFont val="Calibri"/>
        <family val="2"/>
        <scheme val="minor"/>
      </rPr>
      <t>acondicionado em sacos plásticos, lacrados, contendo 100 unidades.</t>
    </r>
  </si>
  <si>
    <r>
      <t>Copos Descartáveis Biodegradáveis Fabricado a Partir de Amido de Milho – Capacidade 50 Ml,</t>
    </r>
    <r>
      <rPr>
        <sz val="10"/>
        <color theme="1"/>
        <rFont val="Calibri"/>
        <family val="2"/>
        <scheme val="minor"/>
      </rPr>
      <t xml:space="preserve"> cor branco ou natural, fabricação em material biodegradável atóxico sem uso. Os copos devem ser homogêneos, não parafinados, isentos de materiais estranhos, bolhas, rachaduras, furos, deformações, bordas afiadas e rebarbas. Não devem apresentar sujidade, interna ou externamente. Durante a utilização devem suportar as condições de uso a que se destinam, como temperatura e umidade, sem apresentar vazamentos, desintegração ou deformidades que comprometam o correto e seguro uso, bem como estar em conformidade com as normas vigentes sobre o produto, Caixa com 50 pacotes </t>
    </r>
    <r>
      <rPr>
        <sz val="10"/>
        <color rgb="FF000000"/>
        <rFont val="Calibri"/>
        <family val="2"/>
        <scheme val="minor"/>
      </rPr>
      <t>acondicionado em sacos plásticos, lacrados, contendo 100 unidades.</t>
    </r>
  </si>
  <si>
    <r>
      <t>Copo meio cristal liso para água</t>
    </r>
    <r>
      <rPr>
        <sz val="10"/>
        <color theme="1"/>
        <rFont val="Calibri"/>
        <family val="2"/>
        <scheme val="minor"/>
      </rPr>
      <t>, transparente, cilíndrico, com aproximadamente 14 cm de altura, 7 cm de diâmetro de boca, capacidade para 390 ml, fundo reforçado.</t>
    </r>
  </si>
  <si>
    <r>
      <t>Detergente,</t>
    </r>
    <r>
      <rPr>
        <sz val="10"/>
        <color rgb="FF000000"/>
        <rFont val="Calibri"/>
        <family val="2"/>
        <scheme val="minor"/>
      </rPr>
      <t xml:space="preserve"> neutro </t>
    </r>
    <r>
      <rPr>
        <b/>
        <sz val="10"/>
        <color rgb="FF000000"/>
        <rFont val="Calibri"/>
        <family val="2"/>
        <scheme val="minor"/>
      </rPr>
      <t>100% biodegradável</t>
    </r>
    <r>
      <rPr>
        <sz val="10"/>
        <color rgb="FF000000"/>
        <rFont val="Calibri"/>
        <family val="2"/>
        <scheme val="minor"/>
      </rPr>
      <t xml:space="preserve"> sistema push pull procedimentos de acordo com as  normas regulamentares do Ministério da Saúde, em frasco com 500 ml.</t>
    </r>
  </si>
  <si>
    <r>
      <t>Dispenser poupa copo</t>
    </r>
    <r>
      <rPr>
        <sz val="10"/>
        <color rgb="FF000000"/>
        <rFont val="Calibri"/>
        <family val="2"/>
        <scheme val="minor"/>
      </rPr>
      <t>, para copos descartáveis de água, 200 ml, com dispositivos semiautomáticos de fácil manuseio que libera apenas um copo de cada vez, em material plástico na cor branca. Capacidade de 100 copos. Marca “Free Cup” ou similar.</t>
    </r>
  </si>
  <si>
    <r>
      <t xml:space="preserve">Esponja de lã de aço, </t>
    </r>
    <r>
      <rPr>
        <sz val="10"/>
        <color theme="1"/>
        <rFont val="Calibri"/>
        <family val="2"/>
        <scheme val="minor"/>
      </rPr>
      <t>fardinho com 14 pacotes de 8 unidades</t>
    </r>
    <r>
      <rPr>
        <b/>
        <sz val="10"/>
        <color theme="1"/>
        <rFont val="Calibri"/>
        <family val="2"/>
        <scheme val="minor"/>
      </rPr>
      <t>.</t>
    </r>
  </si>
  <si>
    <r>
      <t>Esponja tipo dupla face</t>
    </r>
    <r>
      <rPr>
        <sz val="10"/>
        <color rgb="FF000000"/>
        <rFont val="Calibri"/>
        <family val="2"/>
        <scheme val="minor"/>
      </rPr>
      <t xml:space="preserve">, de espuma e manta abrasiva </t>
    </r>
  </si>
  <si>
    <r>
      <t>Forro emborrachado,</t>
    </r>
    <r>
      <rPr>
        <sz val="10"/>
        <color rgb="FF000000"/>
        <rFont val="Calibri"/>
        <family val="2"/>
        <scheme val="minor"/>
      </rPr>
      <t xml:space="preserve"> para bandeja redonda, medindo aproximadamente 30 cm. de diâmetro.</t>
    </r>
  </si>
  <si>
    <r>
      <t>Forro emborrachado,</t>
    </r>
    <r>
      <rPr>
        <sz val="10"/>
        <color rgb="FF000000"/>
        <rFont val="Calibri"/>
        <family val="2"/>
        <scheme val="minor"/>
      </rPr>
      <t xml:space="preserve"> para bandeja redonda, medindo aproximadamente 40 cm de diâmetro.</t>
    </r>
  </si>
  <si>
    <r>
      <t>Forro emborrachado,</t>
    </r>
    <r>
      <rPr>
        <sz val="10"/>
        <color rgb="FF000000"/>
        <rFont val="Calibri"/>
        <family val="2"/>
        <scheme val="minor"/>
      </rPr>
      <t xml:space="preserve"> para bandeja retangular, medido aproximadamente  45x30 cm.</t>
    </r>
  </si>
  <si>
    <r>
      <t>Garrafa térmica</t>
    </r>
    <r>
      <rPr>
        <sz val="10"/>
        <color theme="1"/>
        <rFont val="Calibri"/>
        <family val="2"/>
        <scheme val="minor"/>
      </rPr>
      <t xml:space="preserve"> </t>
    </r>
    <r>
      <rPr>
        <b/>
        <sz val="10"/>
        <color theme="1"/>
        <rFont val="Calibri"/>
        <family val="2"/>
        <scheme val="minor"/>
      </rPr>
      <t>tampa de pressão</t>
    </r>
    <r>
      <rPr>
        <sz val="10"/>
        <color theme="1"/>
        <rFont val="Calibri"/>
        <family val="2"/>
        <scheme val="minor"/>
      </rPr>
      <t xml:space="preserve"> em polipropileno e ampola de vidro formada por duas paredes de vidro espelhados com prata e separadas por alto vácuo, que garanta a temperatura por até 6 horas, com capacidade aproximada para 2 litros. </t>
    </r>
  </si>
  <si>
    <r>
      <t>Garrafa térmica</t>
    </r>
    <r>
      <rPr>
        <sz val="10"/>
        <color theme="1"/>
        <rFont val="Calibri"/>
        <family val="2"/>
        <scheme val="minor"/>
      </rPr>
      <t xml:space="preserve"> </t>
    </r>
    <r>
      <rPr>
        <b/>
        <sz val="10"/>
        <color theme="1"/>
        <rFont val="Calibri"/>
        <family val="2"/>
        <scheme val="minor"/>
      </rPr>
      <t>tampa de pressão</t>
    </r>
    <r>
      <rPr>
        <sz val="10"/>
        <color theme="1"/>
        <rFont val="Calibri"/>
        <family val="2"/>
        <scheme val="minor"/>
      </rPr>
      <t xml:space="preserve"> em polipropileno e ampola de vidro formada por duas paredes de vidro espelhados com prata e separadas por alto vácuo, que garanta a temperatura por até 6 horas, com capacidade aproximada para 1 litro. </t>
    </r>
  </si>
  <si>
    <r>
      <t xml:space="preserve">Garrafa térmica tampa de pressão </t>
    </r>
    <r>
      <rPr>
        <sz val="10"/>
        <color rgb="FF000000"/>
        <rFont val="Calibri"/>
        <family val="2"/>
        <scheme val="minor"/>
      </rPr>
      <t xml:space="preserve">em polipropileno e ampola de vidro formada por duas paredes de vidro espelhados com prata e separadas por alto vácuo, que garanta a temperatura por até 6 horas, com capacidade </t>
    </r>
    <r>
      <rPr>
        <sz val="10"/>
        <color theme="1"/>
        <rFont val="Calibri"/>
        <family val="2"/>
        <scheme val="minor"/>
      </rPr>
      <t>aproximada</t>
    </r>
    <r>
      <rPr>
        <sz val="10"/>
        <color rgb="FF000000"/>
        <rFont val="Calibri"/>
        <family val="2"/>
        <scheme val="minor"/>
      </rPr>
      <t xml:space="preserve"> para 0,5 litros.</t>
    </r>
  </si>
  <si>
    <r>
      <t>Guardanapo de papel,</t>
    </r>
    <r>
      <rPr>
        <sz val="10"/>
        <color rgb="FF000000"/>
        <rFont val="Calibri"/>
        <family val="2"/>
        <scheme val="minor"/>
      </rPr>
      <t xml:space="preserve"> material celulose, cor branca, folha dupla, medida aproximada 24x24 cm.</t>
    </r>
  </si>
  <si>
    <r>
      <t>Jarra de vidro</t>
    </r>
    <r>
      <rPr>
        <sz val="10"/>
        <color theme="1"/>
        <rFont val="Calibri"/>
        <family val="2"/>
        <scheme val="minor"/>
      </rPr>
      <t xml:space="preserve"> </t>
    </r>
    <r>
      <rPr>
        <b/>
        <sz val="10"/>
        <color theme="1"/>
        <rFont val="Calibri"/>
        <family val="2"/>
        <scheme val="minor"/>
      </rPr>
      <t xml:space="preserve">com tampa, </t>
    </r>
    <r>
      <rPr>
        <sz val="10"/>
        <color theme="1"/>
        <rFont val="Calibri"/>
        <family val="2"/>
        <scheme val="minor"/>
      </rPr>
      <t>com alça, liso transparente para água, com capacidade para 1,6 litros.</t>
    </r>
  </si>
  <si>
    <r>
      <t>Jarra em inox,</t>
    </r>
    <r>
      <rPr>
        <sz val="10"/>
        <color rgb="FF000000"/>
        <rFont val="Calibri"/>
        <family val="2"/>
        <scheme val="minor"/>
      </rPr>
      <t xml:space="preserve"> com tampa articulada, capacidade 2 litros, com alça. </t>
    </r>
  </si>
  <si>
    <r>
      <t xml:space="preserve">Limpador instantâneo multiuso, </t>
    </r>
    <r>
      <rPr>
        <sz val="10"/>
        <color theme="1"/>
        <rFont val="Calibri"/>
        <family val="2"/>
        <scheme val="minor"/>
      </rPr>
      <t>frasco plástico com 500 ml.</t>
    </r>
  </si>
  <si>
    <r>
      <t xml:space="preserve">Lixeira plástica, </t>
    </r>
    <r>
      <rPr>
        <sz val="10"/>
        <color rgb="FF000000"/>
        <rFont val="Calibri"/>
        <family val="2"/>
        <scheme val="minor"/>
      </rPr>
      <t>resistente, capacidade 50 litros, com tampa acionada por pedal.</t>
    </r>
  </si>
  <si>
    <r>
      <t>Pá com cabo longo para coleta de lixo</t>
    </r>
    <r>
      <rPr>
        <sz val="10"/>
        <color rgb="FF000000"/>
        <rFont val="Calibri"/>
        <family val="2"/>
        <scheme val="minor"/>
      </rPr>
      <t>, em plástico polipropileno.</t>
    </r>
  </si>
  <si>
    <r>
      <t>Pano de chão</t>
    </r>
    <r>
      <rPr>
        <sz val="10"/>
        <color rgb="FF000000"/>
        <rFont val="Calibri"/>
        <family val="2"/>
        <scheme val="minor"/>
      </rPr>
      <t>, tipo</t>
    </r>
    <r>
      <rPr>
        <b/>
        <sz val="10"/>
        <color rgb="FF000000"/>
        <rFont val="Calibri"/>
        <family val="2"/>
        <scheme val="minor"/>
      </rPr>
      <t xml:space="preserve"> </t>
    </r>
    <r>
      <rPr>
        <sz val="10"/>
        <color rgb="FF000000"/>
        <rFont val="Calibri"/>
        <family val="2"/>
        <scheme val="minor"/>
      </rPr>
      <t>saco, alvejado, duplo, com barrado</t>
    </r>
    <r>
      <rPr>
        <b/>
        <sz val="10"/>
        <color rgb="FF000000"/>
        <rFont val="Calibri"/>
        <family val="2"/>
        <scheme val="minor"/>
      </rPr>
      <t xml:space="preserve"> </t>
    </r>
    <r>
      <rPr>
        <sz val="10"/>
        <color rgb="FF000000"/>
        <rFont val="Calibri"/>
        <family val="2"/>
        <scheme val="minor"/>
      </rPr>
      <t xml:space="preserve">feito, 100% algodão etiqueta de identificação, dimensões mínimas 400 x 700 mm. </t>
    </r>
  </si>
  <si>
    <r>
      <t>Pano de pia</t>
    </r>
    <r>
      <rPr>
        <sz val="10"/>
        <color rgb="FF000000"/>
        <rFont val="Calibri"/>
        <family val="2"/>
        <scheme val="minor"/>
      </rPr>
      <t>, flanela para limpeza na cor branca,  dimensões mínimas de 50 cm x 30 cm, overlocadas nas bordas, acondicionadas em embalagem plástica, com etiqueta de identificação contendo composição, medidas e demais informações do produto.</t>
    </r>
  </si>
  <si>
    <r>
      <t>Pano de prato</t>
    </r>
    <r>
      <rPr>
        <sz val="10"/>
        <color rgb="FF000000"/>
        <rFont val="Calibri"/>
        <family val="2"/>
        <scheme val="minor"/>
      </rPr>
      <t>, para enxugar pratos em tecido liso 100% algodão, dimensões mínimas 50 x 30 cm, com acabamento nas bordas.</t>
    </r>
  </si>
  <si>
    <r>
      <t>Porta mantimento,</t>
    </r>
    <r>
      <rPr>
        <sz val="10"/>
        <color rgb="FF000000"/>
        <rFont val="Calibri"/>
        <family val="2"/>
        <scheme val="minor"/>
      </rPr>
      <t xml:space="preserve"> em alumínio com capacidade para 5 litros.</t>
    </r>
  </si>
  <si>
    <r>
      <t>Porta sabão e esponja</t>
    </r>
    <r>
      <rPr>
        <sz val="10"/>
        <color rgb="FF000000"/>
        <rFont val="Calibri"/>
        <family val="2"/>
        <scheme val="minor"/>
      </rPr>
      <t>, em plástico polipropileno.</t>
    </r>
  </si>
  <si>
    <r>
      <t>Rodo de metal</t>
    </r>
    <r>
      <rPr>
        <sz val="10"/>
        <color rgb="FF000000"/>
        <rFont val="Calibri"/>
        <family val="2"/>
        <scheme val="minor"/>
      </rPr>
      <t>, borracha siliconada dupla 40 cm. Cabo plastificado e pendurico.</t>
    </r>
  </si>
  <si>
    <r>
      <t>Sabão em barra,</t>
    </r>
    <r>
      <rPr>
        <sz val="10"/>
        <color rgb="FF000000"/>
        <rFont val="Calibri"/>
        <family val="2"/>
        <scheme val="minor"/>
      </rPr>
      <t xml:space="preserve"> de 200 gr., a base de sódio,</t>
    </r>
    <r>
      <rPr>
        <b/>
        <sz val="10"/>
        <color rgb="FF000000"/>
        <rFont val="Calibri"/>
        <family val="2"/>
        <scheme val="minor"/>
      </rPr>
      <t xml:space="preserve"> </t>
    </r>
    <r>
      <rPr>
        <sz val="10"/>
        <color rgb="FF000000"/>
        <rFont val="Calibri"/>
        <family val="2"/>
        <scheme val="minor"/>
      </rPr>
      <t>glicerina, cloreto de sódio, ácido</t>
    </r>
    <r>
      <rPr>
        <b/>
        <sz val="10"/>
        <color rgb="FF000000"/>
        <rFont val="Calibri"/>
        <family val="2"/>
        <scheme val="minor"/>
      </rPr>
      <t xml:space="preserve"> </t>
    </r>
    <r>
      <rPr>
        <sz val="10"/>
        <color rgb="FF000000"/>
        <rFont val="Calibri"/>
        <family val="2"/>
        <scheme val="minor"/>
      </rPr>
      <t>etileno hidroxidifosfônico, carbonato</t>
    </r>
    <r>
      <rPr>
        <b/>
        <sz val="10"/>
        <color rgb="FF000000"/>
        <rFont val="Calibri"/>
        <family val="2"/>
        <scheme val="minor"/>
      </rPr>
      <t xml:space="preserve"> </t>
    </r>
    <r>
      <rPr>
        <sz val="10"/>
        <color rgb="FF000000"/>
        <rFont val="Calibri"/>
        <family val="2"/>
        <scheme val="minor"/>
      </rPr>
      <t>de sódio, carbonato de cálcio, sulfato</t>
    </r>
    <r>
      <rPr>
        <b/>
        <sz val="10"/>
        <color rgb="FF000000"/>
        <rFont val="Calibri"/>
        <family val="2"/>
        <scheme val="minor"/>
      </rPr>
      <t xml:space="preserve"> </t>
    </r>
    <r>
      <rPr>
        <sz val="10"/>
        <color rgb="FF000000"/>
        <rFont val="Calibri"/>
        <family val="2"/>
        <scheme val="minor"/>
      </rPr>
      <t>de sódio, corante e água, neutro.</t>
    </r>
  </si>
  <si>
    <r>
      <t>Sabão em pó,</t>
    </r>
    <r>
      <rPr>
        <sz val="10"/>
        <color rgb="FF000000"/>
        <rFont val="Calibri"/>
        <family val="2"/>
        <scheme val="minor"/>
      </rPr>
      <t xml:space="preserve"> de l Kg, com detergente para composto de tensoativo aniônico, coadjuvantes, sinergista, branqueador óptico, tamponantes, corante, essência, alquil benzeno sulfonato de sódio.</t>
    </r>
  </si>
  <si>
    <r>
      <t>Saco de lixo,</t>
    </r>
    <r>
      <rPr>
        <sz val="10"/>
        <color rgb="FF000000"/>
        <rFont val="Calibri"/>
        <family val="2"/>
        <scheme val="minor"/>
      </rPr>
      <t xml:space="preserve"> para uso doméstico de polietileno, preto reforçado, especificações de acordo com a NBR 9191, com capacidade para 100 Litros , pacote contendo 100 unidades. </t>
    </r>
  </si>
  <si>
    <r>
      <t>Saponáceo cremoso,</t>
    </r>
    <r>
      <rPr>
        <sz val="10"/>
        <color rgb="FF000000"/>
        <rFont val="Calibri"/>
        <family val="2"/>
        <scheme val="minor"/>
      </rPr>
      <t xml:space="preserve"> 300 ml.</t>
    </r>
  </si>
  <si>
    <r>
      <t>Vassoura de pelo,</t>
    </r>
    <r>
      <rPr>
        <sz val="10"/>
        <color rgb="FF000000"/>
        <rFont val="Calibri"/>
        <family val="2"/>
        <scheme val="minor"/>
      </rPr>
      <t xml:space="preserve"> de animal sintética com 30 cm, cabo 1,20 m plastificado e pendurico.</t>
    </r>
  </si>
  <si>
    <r>
      <t xml:space="preserve">Vassoura piaçava, </t>
    </r>
    <r>
      <rPr>
        <sz val="10"/>
        <color rgb="FF000000"/>
        <rFont val="Calibri"/>
        <family val="2"/>
        <scheme val="minor"/>
      </rPr>
      <t>prensada, 30 cm, cerda de naylon.</t>
    </r>
    <r>
      <rPr>
        <b/>
        <sz val="10"/>
        <color rgb="FF000000"/>
        <rFont val="Calibri"/>
        <family val="2"/>
        <scheme val="minor"/>
      </rPr>
      <t xml:space="preserve"> </t>
    </r>
    <r>
      <rPr>
        <sz val="10"/>
        <color rgb="FF000000"/>
        <rFont val="Calibri"/>
        <family val="2"/>
        <scheme val="minor"/>
      </rPr>
      <t xml:space="preserve">Cabo de madeira 1,20 m plastificado e pendurico. </t>
    </r>
  </si>
  <si>
    <r>
      <t>Xícara com pires para café</t>
    </r>
    <r>
      <rPr>
        <sz val="10"/>
        <color rgb="FF000000"/>
        <rFont val="Calibri"/>
        <family val="2"/>
        <scheme val="minor"/>
      </rPr>
      <t>, com capacidade de 50 ml, em porcelana de 1ª linha branca.</t>
    </r>
  </si>
  <si>
    <r>
      <t>Xícara com pires para chá</t>
    </r>
    <r>
      <rPr>
        <sz val="10"/>
        <color rgb="FF000000"/>
        <rFont val="Calibri"/>
        <family val="2"/>
        <scheme val="minor"/>
      </rPr>
      <t>, com capacidade de 150 ml, em porcelana de 1ª linha branca.</t>
    </r>
  </si>
  <si>
    <r>
      <t xml:space="preserve">PLANILHA ESTIMATIVA DE CUSTO ANUAL DE MATERIAL DE CONSUMO, SOB DEMANDA, PARA A PRESTAÇÃO DE SERVIÇOS DE </t>
    </r>
    <r>
      <rPr>
        <b/>
        <sz val="10"/>
        <color rgb="FF000000"/>
        <rFont val="Calibri"/>
        <family val="2"/>
        <scheme val="minor"/>
      </rPr>
      <t xml:space="preserve"> </t>
    </r>
    <r>
      <rPr>
        <b/>
        <sz val="10"/>
        <color theme="1"/>
        <rFont val="Calibri"/>
        <family val="2"/>
        <scheme val="minor"/>
      </rPr>
      <t xml:space="preserve">COPEIRAGEM </t>
    </r>
  </si>
  <si>
    <t>VALOR TOTAL ANUAL ESTIMADO</t>
  </si>
  <si>
    <t>VALOR TOTAL MENSAL ESTIMADO</t>
  </si>
  <si>
    <t>PESQUISA DE PREÇOS</t>
  </si>
  <si>
    <t>CRN-DF
PE 01/2023</t>
  </si>
  <si>
    <t>GARÇOM</t>
  </si>
  <si>
    <t>MPF-RN
PE 01/2023</t>
  </si>
  <si>
    <t>MCTI 
PE 07/2023</t>
  </si>
  <si>
    <t>MCTI
PE 07-2023</t>
  </si>
  <si>
    <t>LENÇO OU GRAVATA</t>
  </si>
  <si>
    <t>TRT 8ª Região/PA
PE 23/2023</t>
  </si>
  <si>
    <t>TRT 8ª REGIÃO 
PE 23/2023</t>
  </si>
  <si>
    <t>INST. FEDERAL CATARINENSE 
PE 126/2023</t>
  </si>
  <si>
    <t>TRT 8ª REGIÃO
23/2023</t>
  </si>
  <si>
    <t>INST. FEDERAL CATARINENSE
PE 126/2023</t>
  </si>
  <si>
    <t>Termo aditivo MME
Nº 9/2022</t>
  </si>
  <si>
    <t>Termo aditivo MME nº 9/2022
1º Reajuste 3,9358%</t>
  </si>
  <si>
    <t>MÉDIA DOS VALORES</t>
  </si>
  <si>
    <t>PESQUISA EM ÓRGÃOS PÚBLICOS</t>
  </si>
  <si>
    <t>MÉDIA DOS VALORES POR CATEGORIA</t>
  </si>
  <si>
    <t>ÓRGÃO PÚBLICO</t>
  </si>
  <si>
    <t>Quant. Anual</t>
  </si>
  <si>
    <r>
      <rPr>
        <b/>
        <sz val="10"/>
        <color theme="1"/>
        <rFont val="Calibri"/>
        <family val="2"/>
        <scheme val="minor"/>
      </rPr>
      <t>Relógio de Ponto Biométrico</t>
    </r>
    <r>
      <rPr>
        <sz val="10"/>
        <color theme="1"/>
        <rFont val="Calibri"/>
        <family val="2"/>
        <scheme val="minor"/>
      </rPr>
      <t xml:space="preserve">  Control iD Class (Biometria, senha + TCP-IP) REP iDClass - incluso software para controle do ponto, treinamento, instalação, configuração do equipamento e bobina de papel. Homologado pelo Ministério do Trabalho e Emprego, segundo normas da Portaria 1510/2009. </t>
    </r>
  </si>
  <si>
    <t>z</t>
  </si>
  <si>
    <t>Valor Mensal por Empregado (32)</t>
  </si>
  <si>
    <t>ÓRGÃOS PÚBLICOS</t>
  </si>
  <si>
    <r>
      <rPr>
        <b/>
        <sz val="8"/>
        <color rgb="FF000000"/>
        <rFont val="Calibri Light"/>
        <family val="2"/>
        <scheme val="major"/>
      </rPr>
      <t xml:space="preserve">Nota 3: </t>
    </r>
    <r>
      <rPr>
        <sz val="8"/>
        <color rgb="FF000000"/>
        <rFont val="Calibri Light"/>
        <family val="2"/>
        <scheme val="major"/>
      </rPr>
      <t>Levando em consideração a vigência contratual prevista no art. 121, § 3º da Lei nº 14.133, de 01 de abril de 2021, a rubrica férias tem como objetivo principal suprir a necessidade do pagamento das férias remuneradas ao final do contrato de 12 meses. </t>
    </r>
    <r>
      <rPr>
        <b/>
        <sz val="8"/>
        <color rgb="FF000000"/>
        <rFont val="Calibri Light"/>
        <family val="2"/>
        <scheme val="major"/>
      </rPr>
      <t>Esta rubrica, quando da prorrogação contratual, torna-se custo não renovável.</t>
    </r>
  </si>
  <si>
    <t>Nota 3: Levando em consideração a vigência contratual prevista no art. 121, § 3º da Lei nº 14.133, de 01 de abril de 2021, a rubrica férias tem como objetivo principal suprir a necessidade do pagamento das férias remuneradas ao final do contrato de 12 meses. Esta rubrica, quando da prorrogação contratual, torna-se custo não renovável.</t>
  </si>
  <si>
    <t>Unit. (mensal)</t>
  </si>
  <si>
    <t>Termo aditivo MME nº 9/2022 (NACIONAL SERVIÇOS)
1º Reajuste 3,9358%</t>
  </si>
  <si>
    <t>COREN-MT
PE 08-2023</t>
  </si>
  <si>
    <t>CRF 9ª região
PE 06-2023</t>
  </si>
  <si>
    <t>BANCO DE PREÇOS</t>
  </si>
  <si>
    <t xml:space="preserve">MPDFT
PE 52-2023
</t>
  </si>
  <si>
    <r>
      <rPr>
        <b/>
        <sz val="10"/>
        <color theme="1"/>
        <rFont val="Calibri Light"/>
        <family val="2"/>
        <scheme val="major"/>
      </rPr>
      <t>Auxílio Alimentação</t>
    </r>
    <r>
      <rPr>
        <sz val="10"/>
        <color theme="1"/>
        <rFont val="Calibri Light"/>
        <family val="2"/>
        <scheme val="major"/>
      </rPr>
      <t xml:space="preserve"> (Valor de R$42,20 x 22 dias efetivamente trabalhados) - </t>
    </r>
    <r>
      <rPr>
        <sz val="8"/>
        <color theme="1"/>
        <rFont val="Calibri Light"/>
        <family val="2"/>
        <scheme val="major"/>
      </rPr>
      <t>CLÁUSULA DÉCIMA QUARTA - AUXÍLIO ALIMENTAÇÃO</t>
    </r>
  </si>
  <si>
    <t>2024 / CCT - SINDSERVIÇOS-DF/SEAC-DF</t>
  </si>
  <si>
    <t>Salário Normativo da Categoria Profissional/CCT-2024</t>
  </si>
  <si>
    <t xml:space="preserve">BANCO DE PREÇOS
(média da plataforma) </t>
  </si>
  <si>
    <t>Esta pesquisa foi baseada através de levantamento de mercado, pesquisa em órgãos públicos (banco de preços e painel de preços), sendo assim, preços reais e praticados na administração pública. Observando as divergências nos últimos anos, levamos em consideração os valores do reajuste do último aditivo de alguns itens e ampliamos a pesquisa para que todas as expectativas sejam cumpridas. Nesta situação os salários obedecem a CCT/2024 na base Distrito Federal.</t>
  </si>
  <si>
    <t>VALOR TOTAL 30 MESES ( Serviços + Materias)</t>
  </si>
  <si>
    <t>TOTAL GERAL (30 meses)</t>
  </si>
  <si>
    <r>
      <t>Café em pó,</t>
    </r>
    <r>
      <rPr>
        <sz val="10"/>
        <color theme="1"/>
        <rFont val="Calibri"/>
        <family val="2"/>
        <scheme val="minor"/>
      </rPr>
      <t xml:space="preserve"> torrado e moído em pó homogêneo, solúvel 100% puro, acondicionado em sistema de alto vácuo. "tijolinho" pacote 500 gramas, reconhecida pelos órgãos de fiscalização e controle contendo selo da ABIC, apresentando informações na embalagem conforme legislação em vigor, identificação tradicional, data de fabricação, data de vencimento, lote de fabricação, CNPJ, modo de conservação e telefone SAC ativo. Validade de 12 meses ou mais a partir da entrega pelo fornecedor. Para fins de cotação, deverá ser usada a medida de 01 (um) quilograma. tipo “Café Export” equivalente ou de melhor qualidade.</t>
    </r>
  </si>
  <si>
    <t>4101-05</t>
  </si>
  <si>
    <t>4134-25</t>
  </si>
  <si>
    <t xml:space="preserve">             </t>
  </si>
  <si>
    <r>
      <rPr>
        <b/>
        <sz val="10"/>
        <color theme="1"/>
        <rFont val="Calibri Light"/>
        <family val="2"/>
        <scheme val="major"/>
      </rPr>
      <t>Auxílio Transporte</t>
    </r>
    <r>
      <rPr>
        <sz val="10"/>
        <color theme="1"/>
        <rFont val="Calibri Light"/>
        <family val="2"/>
        <scheme val="major"/>
      </rPr>
      <t xml:space="preserve"> ((R$ 5,50)x2x22 dias) - 6% Salário Base  - Itinerário: Cidade Satélite/Estação Rodoviária P.P/Esplanada - Vice-versa - </t>
    </r>
    <r>
      <rPr>
        <sz val="8"/>
        <color theme="1"/>
        <rFont val="Calibri Light"/>
        <family val="2"/>
        <scheme val="major"/>
      </rPr>
      <t>CLÁUSULA DÉCIMA QUINTA - VALE-TRANSPORTE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</si>
</sst>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_-&quot;R$&quot;* #,##0.00_-;\-&quot;R$&quot;* #,##0.00_-;_-&quot;R$&quot;* &quot;-&quot;??_-;_-@_-"/>
    <numFmt numFmtId="165" formatCode="&quot;R$&quot;\ #,##0.00"/>
    <numFmt numFmtId="166" formatCode="0.000%"/>
    <numFmt numFmtId="167" formatCode="#,##0.00_ ;\-#,##0.00\ "/>
    <numFmt numFmtId="168" formatCode="&quot;R$&quot;#,##0.00"/>
    <numFmt numFmtId="169" formatCode="0.0%"/>
  </numFmts>
  <fonts count="50" x14ac:knownFonts="1">
    <font>
      <sz val="11"/>
      <color theme="1"/>
      <name val="Calibri"/>
      <family val="2"/>
      <scheme val="minor"/>
    </font>
    <font>
      <sz val="10"/>
      <color theme="1"/>
      <name val="Calibri"/>
      <family val="2"/>
      <scheme val="minor"/>
    </font>
    <font>
      <sz val="11"/>
      <color theme="1"/>
      <name val="Calibri"/>
      <family val="2"/>
      <scheme val="minor"/>
    </font>
    <font>
      <b/>
      <sz val="8"/>
      <color indexed="81"/>
      <name val="Tahoma"/>
      <family val="2"/>
    </font>
    <font>
      <sz val="8"/>
      <color indexed="81"/>
      <name val="Tahoma"/>
      <family val="2"/>
    </font>
    <font>
      <sz val="10"/>
      <name val="Arial"/>
      <family val="2"/>
    </font>
    <font>
      <sz val="12"/>
      <color theme="1"/>
      <name val="Calibri"/>
      <family val="2"/>
      <scheme val="minor"/>
    </font>
    <font>
      <sz val="10"/>
      <color theme="1"/>
      <name val="Calibri Light"/>
      <family val="2"/>
      <scheme val="major"/>
    </font>
    <font>
      <sz val="11"/>
      <color theme="1"/>
      <name val="Calibri Light"/>
      <family val="2"/>
      <scheme val="major"/>
    </font>
    <font>
      <b/>
      <sz val="10"/>
      <color theme="1"/>
      <name val="Calibri Light"/>
      <family val="2"/>
      <scheme val="major"/>
    </font>
    <font>
      <b/>
      <sz val="12"/>
      <color theme="1"/>
      <name val="Calibri Light"/>
      <family val="2"/>
      <scheme val="major"/>
    </font>
    <font>
      <b/>
      <sz val="9"/>
      <color theme="1"/>
      <name val="Calibri Light"/>
      <family val="2"/>
      <scheme val="major"/>
    </font>
    <font>
      <b/>
      <strike/>
      <sz val="9"/>
      <color theme="1"/>
      <name val="Calibri Light"/>
      <family val="2"/>
      <scheme val="major"/>
    </font>
    <font>
      <sz val="12"/>
      <color theme="1"/>
      <name val="Calibri Light"/>
      <family val="2"/>
      <scheme val="major"/>
    </font>
    <font>
      <b/>
      <sz val="8"/>
      <color theme="1"/>
      <name val="Calibri Light"/>
      <family val="2"/>
      <scheme val="major"/>
    </font>
    <font>
      <strike/>
      <sz val="10"/>
      <color theme="1"/>
      <name val="Calibri Light"/>
      <family val="2"/>
      <scheme val="major"/>
    </font>
    <font>
      <sz val="8"/>
      <color theme="1"/>
      <name val="Calibri Light"/>
      <family val="2"/>
      <scheme val="major"/>
    </font>
    <font>
      <b/>
      <sz val="11"/>
      <color theme="1"/>
      <name val="Calibri Light"/>
      <family val="2"/>
      <scheme val="major"/>
    </font>
    <font>
      <sz val="9"/>
      <color theme="1"/>
      <name val="Calibri Light"/>
      <family val="2"/>
      <scheme val="major"/>
    </font>
    <font>
      <sz val="10"/>
      <name val="Calibri Light"/>
      <family val="2"/>
      <scheme val="major"/>
    </font>
    <font>
      <sz val="8"/>
      <color rgb="FF000000"/>
      <name val="Calibri Light"/>
      <family val="2"/>
      <scheme val="major"/>
    </font>
    <font>
      <b/>
      <sz val="8"/>
      <color rgb="FF000000"/>
      <name val="Calibri Light"/>
      <family val="2"/>
      <scheme val="major"/>
    </font>
    <font>
      <b/>
      <sz val="8"/>
      <name val="Calibri Light"/>
      <family val="2"/>
      <scheme val="major"/>
    </font>
    <font>
      <b/>
      <sz val="10"/>
      <name val="Calibri Light"/>
      <family val="2"/>
      <scheme val="major"/>
    </font>
    <font>
      <b/>
      <sz val="11"/>
      <name val="Calibri"/>
      <family val="2"/>
      <scheme val="minor"/>
    </font>
    <font>
      <sz val="11"/>
      <name val="Calibri"/>
      <family val="2"/>
      <scheme val="minor"/>
    </font>
    <font>
      <b/>
      <sz val="12"/>
      <color theme="1"/>
      <name val="Calibri"/>
      <family val="2"/>
      <scheme val="minor"/>
    </font>
    <font>
      <b/>
      <sz val="10"/>
      <name val="Calibri"/>
      <family val="2"/>
      <scheme val="minor"/>
    </font>
    <font>
      <sz val="10"/>
      <name val="Calibri"/>
      <family val="2"/>
      <scheme val="minor"/>
    </font>
    <font>
      <b/>
      <sz val="10"/>
      <color rgb="FFFF0000"/>
      <name val="Calibri"/>
      <family val="2"/>
      <scheme val="minor"/>
    </font>
    <font>
      <sz val="10"/>
      <color rgb="FF000000"/>
      <name val="Calibri"/>
      <family val="2"/>
      <scheme val="minor"/>
    </font>
    <font>
      <sz val="11"/>
      <color rgb="FF000000"/>
      <name val="Calibri"/>
      <family val="2"/>
      <scheme val="minor"/>
    </font>
    <font>
      <b/>
      <sz val="10"/>
      <color indexed="8"/>
      <name val="Calibri"/>
      <family val="2"/>
      <scheme val="minor"/>
    </font>
    <font>
      <b/>
      <sz val="11"/>
      <color rgb="FF000000"/>
      <name val="Calibri"/>
      <family val="2"/>
      <scheme val="minor"/>
    </font>
    <font>
      <sz val="10"/>
      <color indexed="8"/>
      <name val="Calibri"/>
      <family val="2"/>
      <scheme val="minor"/>
    </font>
    <font>
      <sz val="10"/>
      <color rgb="FFFF0000"/>
      <name val="Calibri"/>
      <family val="2"/>
      <scheme val="minor"/>
    </font>
    <font>
      <b/>
      <sz val="11"/>
      <color theme="1"/>
      <name val="Calibri"/>
      <family val="2"/>
      <scheme val="minor"/>
    </font>
    <font>
      <b/>
      <sz val="11"/>
      <color theme="1"/>
      <name val="Calibri"/>
      <family val="2"/>
    </font>
    <font>
      <b/>
      <sz val="14"/>
      <color theme="1"/>
      <name val="Calibri"/>
      <family val="2"/>
      <scheme val="minor"/>
    </font>
    <font>
      <i/>
      <sz val="8"/>
      <color theme="1"/>
      <name val="Calibri Light"/>
      <family val="2"/>
      <scheme val="major"/>
    </font>
    <font>
      <i/>
      <sz val="10"/>
      <color theme="1"/>
      <name val="Calibri Light"/>
      <family val="2"/>
      <scheme val="major"/>
    </font>
    <font>
      <i/>
      <sz val="9"/>
      <color theme="1"/>
      <name val="Calibri Light"/>
      <family val="2"/>
      <scheme val="major"/>
    </font>
    <font>
      <b/>
      <i/>
      <sz val="10"/>
      <color theme="1"/>
      <name val="Calibri Light"/>
      <family val="2"/>
      <scheme val="major"/>
    </font>
    <font>
      <b/>
      <sz val="10"/>
      <color rgb="FF000000"/>
      <name val="Calibri"/>
      <family val="2"/>
      <scheme val="minor"/>
    </font>
    <font>
      <sz val="9"/>
      <color rgb="FF000000"/>
      <name val="Calibri"/>
      <family val="2"/>
      <scheme val="minor"/>
    </font>
    <font>
      <b/>
      <sz val="10"/>
      <color theme="1"/>
      <name val="Calibri"/>
      <family val="2"/>
      <scheme val="minor"/>
    </font>
    <font>
      <b/>
      <sz val="9"/>
      <name val="Calibri"/>
      <family val="2"/>
    </font>
    <font>
      <b/>
      <sz val="12"/>
      <color rgb="FF2309E1"/>
      <name val="Calibri"/>
      <family val="2"/>
      <scheme val="minor"/>
    </font>
    <font>
      <b/>
      <sz val="11"/>
      <color rgb="FF00B050"/>
      <name val="Calibri"/>
      <family val="2"/>
      <scheme val="minor"/>
    </font>
    <font>
      <sz val="11"/>
      <name val="Calibri Light"/>
      <family val="2"/>
      <scheme val="major"/>
    </font>
  </fonts>
  <fills count="22">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CCCCCC"/>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D4AECF"/>
        <bgColor indexed="64"/>
      </patternFill>
    </fill>
    <fill>
      <patternFill patternType="solid">
        <fgColor rgb="FF92D050"/>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E1F6FB"/>
        <bgColor indexed="64"/>
      </patternFill>
    </fill>
    <fill>
      <patternFill patternType="solid">
        <fgColor rgb="FFCCEFF4"/>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64"/>
      </right>
      <top style="thin">
        <color indexed="64"/>
      </top>
      <bottom style="thin">
        <color rgb="FF000000"/>
      </bottom>
      <diagonal/>
    </border>
  </borders>
  <cellStyleXfs count="6">
    <xf numFmtId="0" fontId="0"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5" fillId="0" borderId="0"/>
    <xf numFmtId="44" fontId="2" fillId="0" borderId="0" applyFont="0" applyFill="0" applyBorder="0" applyAlignment="0" applyProtection="0"/>
  </cellStyleXfs>
  <cellXfs count="461">
    <xf numFmtId="0" fontId="0" fillId="0" borderId="0" xfId="0"/>
    <xf numFmtId="0" fontId="0" fillId="0" borderId="4" xfId="0" applyBorder="1"/>
    <xf numFmtId="0" fontId="6" fillId="0" borderId="0" xfId="0" applyFont="1"/>
    <xf numFmtId="0" fontId="8" fillId="0" borderId="0" xfId="0" applyFont="1"/>
    <xf numFmtId="0" fontId="11" fillId="3" borderId="1" xfId="2" applyFont="1" applyFill="1" applyBorder="1" applyAlignment="1">
      <alignment horizontal="center" vertical="center" wrapText="1"/>
    </xf>
    <xf numFmtId="0" fontId="11" fillId="3" borderId="2"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9" fillId="3" borderId="4" xfId="2" applyFont="1" applyFill="1" applyBorder="1" applyAlignment="1">
      <alignment horizontal="center" vertical="center" wrapText="1"/>
    </xf>
    <xf numFmtId="0" fontId="9" fillId="0" borderId="4" xfId="2" applyFont="1" applyBorder="1" applyAlignment="1">
      <alignment horizontal="center" vertical="center" wrapText="1"/>
    </xf>
    <xf numFmtId="0" fontId="7" fillId="3" borderId="0" xfId="2" applyFont="1" applyFill="1" applyAlignment="1">
      <alignment wrapText="1"/>
    </xf>
    <xf numFmtId="0" fontId="7" fillId="3" borderId="1" xfId="2" applyFont="1" applyFill="1" applyBorder="1" applyAlignment="1">
      <alignment wrapText="1"/>
    </xf>
    <xf numFmtId="0" fontId="7" fillId="3" borderId="2" xfId="2" applyFont="1" applyFill="1" applyBorder="1" applyAlignment="1">
      <alignment wrapText="1"/>
    </xf>
    <xf numFmtId="0" fontId="7" fillId="3" borderId="3" xfId="2" applyFont="1" applyFill="1" applyBorder="1" applyAlignment="1">
      <alignment wrapText="1"/>
    </xf>
    <xf numFmtId="0" fontId="7" fillId="0" borderId="1" xfId="2" applyFont="1" applyBorder="1" applyAlignment="1">
      <alignment vertical="center" wrapText="1"/>
    </xf>
    <xf numFmtId="0" fontId="7" fillId="4" borderId="2" xfId="2" applyFont="1" applyFill="1" applyBorder="1" applyAlignment="1">
      <alignment vertical="center" wrapText="1"/>
    </xf>
    <xf numFmtId="0" fontId="7" fillId="4" borderId="4" xfId="2" applyFont="1" applyFill="1" applyBorder="1" applyAlignment="1">
      <alignment vertical="center" wrapText="1"/>
    </xf>
    <xf numFmtId="9" fontId="7" fillId="4" borderId="4" xfId="2" applyNumberFormat="1" applyFont="1" applyFill="1" applyBorder="1" applyAlignment="1">
      <alignment horizontal="center" vertical="center" wrapText="1"/>
    </xf>
    <xf numFmtId="4" fontId="9" fillId="4" borderId="4" xfId="2" applyNumberFormat="1" applyFont="1" applyFill="1" applyBorder="1" applyAlignment="1">
      <alignment horizontal="center" vertical="center" wrapText="1"/>
    </xf>
    <xf numFmtId="9" fontId="19" fillId="3" borderId="4" xfId="2" applyNumberFormat="1" applyFont="1" applyFill="1" applyBorder="1" applyAlignment="1">
      <alignment horizontal="center" vertical="center" wrapText="1"/>
    </xf>
    <xf numFmtId="4" fontId="19" fillId="3" borderId="4" xfId="2" applyNumberFormat="1" applyFont="1" applyFill="1" applyBorder="1" applyAlignment="1">
      <alignment horizontal="center" vertical="center" wrapText="1"/>
    </xf>
    <xf numFmtId="9" fontId="7" fillId="3" borderId="4" xfId="2" applyNumberFormat="1" applyFont="1" applyFill="1" applyBorder="1" applyAlignment="1">
      <alignment horizontal="center" vertical="center" wrapText="1"/>
    </xf>
    <xf numFmtId="4" fontId="7" fillId="3" borderId="4" xfId="2" applyNumberFormat="1" applyFont="1" applyFill="1" applyBorder="1" applyAlignment="1">
      <alignment horizontal="center" vertical="center" wrapText="1"/>
    </xf>
    <xf numFmtId="0" fontId="7" fillId="0" borderId="4" xfId="2" applyFont="1" applyBorder="1" applyAlignment="1">
      <alignment horizontal="center" vertical="center" wrapText="1"/>
    </xf>
    <xf numFmtId="9" fontId="9" fillId="4" borderId="4" xfId="2" applyNumberFormat="1" applyFont="1" applyFill="1" applyBorder="1" applyAlignment="1">
      <alignment horizontal="center" vertical="center" wrapText="1"/>
    </xf>
    <xf numFmtId="0" fontId="9" fillId="0" borderId="1" xfId="2" applyFont="1" applyBorder="1" applyAlignment="1">
      <alignment vertical="center" wrapText="1"/>
    </xf>
    <xf numFmtId="0" fontId="9" fillId="4" borderId="4" xfId="2" applyFont="1" applyFill="1" applyBorder="1" applyAlignment="1">
      <alignment vertical="center" wrapText="1"/>
    </xf>
    <xf numFmtId="10" fontId="7" fillId="3" borderId="4" xfId="2" applyNumberFormat="1" applyFont="1" applyFill="1" applyBorder="1" applyAlignment="1">
      <alignment horizontal="center" vertical="center" wrapText="1"/>
    </xf>
    <xf numFmtId="10" fontId="9" fillId="4" borderId="4" xfId="2" applyNumberFormat="1" applyFont="1" applyFill="1" applyBorder="1" applyAlignment="1">
      <alignment horizontal="center" vertical="center" wrapText="1"/>
    </xf>
    <xf numFmtId="0" fontId="7" fillId="3" borderId="1" xfId="2" applyFont="1" applyFill="1" applyBorder="1" applyAlignment="1">
      <alignment horizontal="left" vertical="center" wrapText="1"/>
    </xf>
    <xf numFmtId="0" fontId="7" fillId="3" borderId="2" xfId="2" applyFont="1" applyFill="1" applyBorder="1" applyAlignment="1">
      <alignment horizontal="left" vertical="center" wrapText="1"/>
    </xf>
    <xf numFmtId="0" fontId="7" fillId="3" borderId="3" xfId="2" applyFont="1" applyFill="1" applyBorder="1" applyAlignment="1">
      <alignment horizontal="left" vertical="center" wrapText="1"/>
    </xf>
    <xf numFmtId="10" fontId="11" fillId="3" borderId="4" xfId="2" applyNumberFormat="1" applyFont="1" applyFill="1" applyBorder="1" applyAlignment="1">
      <alignment horizontal="center" vertical="center" wrapText="1"/>
    </xf>
    <xf numFmtId="10" fontId="7" fillId="3" borderId="2" xfId="2" applyNumberFormat="1" applyFont="1" applyFill="1" applyBorder="1" applyAlignment="1">
      <alignment horizontal="center" vertical="center" wrapText="1"/>
    </xf>
    <xf numFmtId="4" fontId="7" fillId="3" borderId="4" xfId="2" applyNumberFormat="1" applyFont="1" applyFill="1" applyBorder="1" applyAlignment="1">
      <alignment horizontal="center" wrapText="1"/>
    </xf>
    <xf numFmtId="4" fontId="9" fillId="4" borderId="4" xfId="2" applyNumberFormat="1" applyFont="1" applyFill="1" applyBorder="1" applyAlignment="1">
      <alignment horizontal="center" wrapText="1"/>
    </xf>
    <xf numFmtId="0" fontId="9" fillId="3" borderId="1" xfId="2" applyFont="1" applyFill="1" applyBorder="1" applyAlignment="1">
      <alignment horizontal="center" vertical="center" wrapText="1"/>
    </xf>
    <xf numFmtId="0" fontId="9" fillId="3" borderId="2" xfId="2" applyFont="1" applyFill="1" applyBorder="1" applyAlignment="1">
      <alignment horizontal="left" vertical="center" wrapText="1"/>
    </xf>
    <xf numFmtId="10" fontId="9" fillId="3" borderId="2" xfId="2" applyNumberFormat="1" applyFont="1" applyFill="1" applyBorder="1" applyAlignment="1">
      <alignment horizontal="center" vertical="center" wrapText="1"/>
    </xf>
    <xf numFmtId="0" fontId="9" fillId="3" borderId="3" xfId="2" applyFont="1" applyFill="1" applyBorder="1" applyAlignment="1">
      <alignment horizontal="center" vertical="center" wrapText="1"/>
    </xf>
    <xf numFmtId="0" fontId="9" fillId="4" borderId="3" xfId="2" applyFont="1" applyFill="1" applyBorder="1" applyAlignment="1">
      <alignment vertical="center" wrapText="1"/>
    </xf>
    <xf numFmtId="0" fontId="17" fillId="0" borderId="4" xfId="2" applyFont="1" applyBorder="1" applyAlignment="1">
      <alignment wrapText="1"/>
    </xf>
    <xf numFmtId="0" fontId="7" fillId="0" borderId="4" xfId="2" applyFont="1" applyBorder="1" applyAlignment="1">
      <alignment vertical="center" wrapText="1"/>
    </xf>
    <xf numFmtId="166" fontId="7" fillId="3" borderId="4" xfId="2" applyNumberFormat="1" applyFont="1" applyFill="1" applyBorder="1" applyAlignment="1">
      <alignment horizontal="center" vertical="center" wrapText="1"/>
    </xf>
    <xf numFmtId="0" fontId="17" fillId="0" borderId="1" xfId="2" applyFont="1" applyBorder="1" applyAlignment="1">
      <alignment vertical="center" wrapText="1"/>
    </xf>
    <xf numFmtId="10" fontId="9" fillId="4" borderId="4" xfId="2" applyNumberFormat="1" applyFont="1" applyFill="1" applyBorder="1" applyAlignment="1">
      <alignment horizontal="center" wrapText="1"/>
    </xf>
    <xf numFmtId="0" fontId="9" fillId="3" borderId="1" xfId="2" applyFont="1" applyFill="1" applyBorder="1" applyAlignment="1">
      <alignment vertical="center" wrapText="1"/>
    </xf>
    <xf numFmtId="0" fontId="9" fillId="3" borderId="2" xfId="2" applyFont="1" applyFill="1" applyBorder="1" applyAlignment="1">
      <alignment vertical="center" wrapText="1"/>
    </xf>
    <xf numFmtId="0" fontId="9" fillId="3" borderId="3" xfId="2" applyFont="1" applyFill="1" applyBorder="1" applyAlignment="1">
      <alignment vertical="center" wrapText="1"/>
    </xf>
    <xf numFmtId="166" fontId="7" fillId="3" borderId="1" xfId="2" applyNumberFormat="1" applyFont="1" applyFill="1" applyBorder="1" applyAlignment="1">
      <alignment horizontal="center" vertical="center" wrapText="1"/>
    </xf>
    <xf numFmtId="166" fontId="7" fillId="3" borderId="4" xfId="1" applyNumberFormat="1" applyFont="1" applyFill="1" applyBorder="1" applyAlignment="1">
      <alignment horizontal="center" vertical="center" wrapText="1"/>
    </xf>
    <xf numFmtId="0" fontId="7" fillId="3" borderId="4" xfId="2" applyFont="1" applyFill="1" applyBorder="1" applyAlignment="1">
      <alignment wrapText="1"/>
    </xf>
    <xf numFmtId="0" fontId="7" fillId="4" borderId="4" xfId="2" applyFont="1" applyFill="1" applyBorder="1" applyAlignment="1">
      <alignment wrapText="1"/>
    </xf>
    <xf numFmtId="4" fontId="7" fillId="4" borderId="4" xfId="2" applyNumberFormat="1" applyFont="1" applyFill="1" applyBorder="1" applyAlignment="1">
      <alignment horizontal="center" vertical="center" wrapText="1"/>
    </xf>
    <xf numFmtId="10" fontId="9" fillId="3" borderId="4" xfId="2" applyNumberFormat="1" applyFont="1" applyFill="1" applyBorder="1" applyAlignment="1">
      <alignment horizontal="center" vertical="center" wrapText="1"/>
    </xf>
    <xf numFmtId="4" fontId="9" fillId="3" borderId="4" xfId="2" applyNumberFormat="1" applyFont="1" applyFill="1" applyBorder="1" applyAlignment="1">
      <alignment horizontal="right" wrapText="1"/>
    </xf>
    <xf numFmtId="0" fontId="9" fillId="0" borderId="4" xfId="2" applyFont="1" applyBorder="1" applyAlignment="1">
      <alignment vertical="center" wrapText="1"/>
    </xf>
    <xf numFmtId="0" fontId="9" fillId="3" borderId="2" xfId="2" applyFont="1" applyFill="1" applyBorder="1" applyAlignment="1">
      <alignment horizontal="center" vertical="center" wrapText="1"/>
    </xf>
    <xf numFmtId="4" fontId="9" fillId="3" borderId="3" xfId="2" applyNumberFormat="1" applyFont="1" applyFill="1" applyBorder="1" applyAlignment="1">
      <alignment horizontal="center" vertical="center" wrapText="1"/>
    </xf>
    <xf numFmtId="4" fontId="23" fillId="3" borderId="4" xfId="2" applyNumberFormat="1" applyFont="1" applyFill="1" applyBorder="1" applyAlignment="1">
      <alignment horizontal="center" vertical="center" wrapText="1"/>
    </xf>
    <xf numFmtId="4" fontId="9" fillId="3" borderId="4" xfId="2" applyNumberFormat="1" applyFont="1" applyFill="1" applyBorder="1" applyAlignment="1">
      <alignment horizontal="center" vertical="center" wrapText="1"/>
    </xf>
    <xf numFmtId="0" fontId="8" fillId="3" borderId="0" xfId="2" applyFont="1" applyFill="1" applyAlignment="1">
      <alignment wrapText="1"/>
    </xf>
    <xf numFmtId="4" fontId="9" fillId="3" borderId="3" xfId="2" applyNumberFormat="1" applyFont="1" applyFill="1" applyBorder="1" applyAlignment="1">
      <alignment horizontal="right" wrapText="1"/>
    </xf>
    <xf numFmtId="4" fontId="9" fillId="3" borderId="4" xfId="2" applyNumberFormat="1" applyFont="1" applyFill="1" applyBorder="1" applyAlignment="1">
      <alignment horizontal="center" wrapText="1"/>
    </xf>
    <xf numFmtId="0" fontId="7" fillId="3" borderId="4" xfId="2" applyFont="1" applyFill="1" applyBorder="1" applyAlignment="1">
      <alignment horizontal="center" vertical="center" wrapText="1"/>
    </xf>
    <xf numFmtId="167" fontId="9" fillId="3" borderId="4" xfId="2" applyNumberFormat="1" applyFont="1" applyFill="1" applyBorder="1" applyAlignment="1">
      <alignment horizontal="center" vertical="center" wrapText="1"/>
    </xf>
    <xf numFmtId="0" fontId="9" fillId="3" borderId="4" xfId="0" applyFont="1" applyFill="1" applyBorder="1" applyAlignment="1">
      <alignment vertical="center" wrapText="1"/>
    </xf>
    <xf numFmtId="0" fontId="9" fillId="3" borderId="4" xfId="0" applyFont="1" applyFill="1" applyBorder="1" applyAlignment="1">
      <alignment horizontal="center" vertical="center" wrapText="1"/>
    </xf>
    <xf numFmtId="0" fontId="9" fillId="0" borderId="1" xfId="0" applyFont="1" applyBorder="1" applyAlignment="1">
      <alignment vertical="center" wrapText="1"/>
    </xf>
    <xf numFmtId="168" fontId="0" fillId="0" borderId="0" xfId="0" applyNumberFormat="1"/>
    <xf numFmtId="0" fontId="28" fillId="0" borderId="4" xfId="4" applyFont="1" applyBorder="1" applyAlignment="1">
      <alignment horizontal="center" vertical="center" wrapText="1"/>
    </xf>
    <xf numFmtId="165" fontId="28" fillId="0" borderId="4" xfId="4" applyNumberFormat="1" applyFont="1" applyBorder="1" applyAlignment="1">
      <alignment vertical="center" wrapText="1"/>
    </xf>
    <xf numFmtId="4" fontId="28" fillId="0" borderId="4" xfId="4" applyNumberFormat="1" applyFont="1" applyBorder="1" applyAlignment="1">
      <alignment vertical="center" wrapText="1"/>
    </xf>
    <xf numFmtId="165" fontId="27" fillId="0" borderId="4" xfId="4" applyNumberFormat="1" applyFont="1" applyBorder="1" applyAlignment="1">
      <alignment vertical="center" wrapText="1"/>
    </xf>
    <xf numFmtId="0" fontId="28" fillId="0" borderId="4" xfId="4" applyFont="1" applyBorder="1" applyAlignment="1">
      <alignment vertical="center" wrapText="1"/>
    </xf>
    <xf numFmtId="4" fontId="30" fillId="0" borderId="4" xfId="0" applyNumberFormat="1" applyFont="1" applyBorder="1" applyAlignment="1">
      <alignment horizontal="center" vertical="center" wrapText="1"/>
    </xf>
    <xf numFmtId="0" fontId="30" fillId="0" borderId="4" xfId="0" applyFont="1" applyBorder="1" applyAlignment="1">
      <alignment vertical="center" wrapText="1"/>
    </xf>
    <xf numFmtId="4" fontId="31" fillId="0" borderId="4" xfId="0" applyNumberFormat="1" applyFont="1" applyBorder="1" applyAlignment="1">
      <alignment horizontal="center" vertical="center" wrapText="1"/>
    </xf>
    <xf numFmtId="0" fontId="27" fillId="12" borderId="4" xfId="4" applyFont="1" applyFill="1" applyBorder="1" applyAlignment="1">
      <alignment horizontal="center" vertical="center" wrapText="1"/>
    </xf>
    <xf numFmtId="0" fontId="25" fillId="0" borderId="0" xfId="0" applyFont="1" applyAlignment="1">
      <alignment vertical="center"/>
    </xf>
    <xf numFmtId="0" fontId="32" fillId="10" borderId="4" xfId="0" applyFont="1" applyFill="1" applyBorder="1" applyAlignment="1">
      <alignment horizontal="center" vertical="center" wrapText="1"/>
    </xf>
    <xf numFmtId="0" fontId="32" fillId="13" borderId="4" xfId="0" applyFont="1" applyFill="1" applyBorder="1" applyAlignment="1">
      <alignment horizontal="center" vertical="center" wrapText="1"/>
    </xf>
    <xf numFmtId="0" fontId="32" fillId="0" borderId="4" xfId="0" applyFont="1" applyBorder="1" applyAlignment="1">
      <alignment horizontal="center" vertical="center" wrapText="1"/>
    </xf>
    <xf numFmtId="4" fontId="28" fillId="13" borderId="4" xfId="0" applyNumberFormat="1" applyFont="1" applyFill="1" applyBorder="1" applyAlignment="1">
      <alignment vertical="center" wrapText="1"/>
    </xf>
    <xf numFmtId="10" fontId="28" fillId="13" borderId="4" xfId="3" applyNumberFormat="1" applyFont="1" applyFill="1" applyBorder="1" applyAlignment="1">
      <alignment horizontal="center" vertical="center" wrapText="1"/>
    </xf>
    <xf numFmtId="10" fontId="35" fillId="10" borderId="4" xfId="3" applyNumberFormat="1" applyFont="1" applyFill="1" applyBorder="1" applyAlignment="1">
      <alignment horizontal="center" vertical="center" wrapText="1"/>
    </xf>
    <xf numFmtId="10" fontId="35" fillId="13" borderId="4" xfId="3" applyNumberFormat="1" applyFont="1" applyFill="1" applyBorder="1" applyAlignment="1">
      <alignment horizontal="center" vertical="center" wrapText="1"/>
    </xf>
    <xf numFmtId="0" fontId="0" fillId="0" borderId="0" xfId="0" applyAlignment="1">
      <alignment horizontal="center" wrapText="1"/>
    </xf>
    <xf numFmtId="0" fontId="0" fillId="0" borderId="4" xfId="0" applyBorder="1" applyAlignment="1">
      <alignment horizontal="left" vertical="center" wrapText="1"/>
    </xf>
    <xf numFmtId="4" fontId="0" fillId="0" borderId="4" xfId="0" applyNumberFormat="1" applyBorder="1" applyAlignment="1">
      <alignment horizontal="center" vertical="center"/>
    </xf>
    <xf numFmtId="10" fontId="0" fillId="0" borderId="4" xfId="3" applyNumberFormat="1" applyFont="1" applyBorder="1" applyAlignment="1">
      <alignment horizontal="center" vertical="center"/>
    </xf>
    <xf numFmtId="0" fontId="9" fillId="6" borderId="4" xfId="2" applyFont="1" applyFill="1" applyBorder="1" applyAlignment="1">
      <alignment horizontal="center" vertical="center" wrapText="1"/>
    </xf>
    <xf numFmtId="10" fontId="7" fillId="6" borderId="2" xfId="2" applyNumberFormat="1" applyFont="1" applyFill="1" applyBorder="1" applyAlignment="1">
      <alignment horizontal="center" vertical="center" wrapText="1"/>
    </xf>
    <xf numFmtId="4" fontId="7" fillId="6" borderId="4" xfId="2" applyNumberFormat="1" applyFont="1" applyFill="1" applyBorder="1" applyAlignment="1">
      <alignment horizontal="center" wrapText="1"/>
    </xf>
    <xf numFmtId="4" fontId="23" fillId="3" borderId="4" xfId="2" applyNumberFormat="1" applyFont="1" applyFill="1" applyBorder="1" applyAlignment="1">
      <alignment horizontal="right" wrapText="1"/>
    </xf>
    <xf numFmtId="4" fontId="23" fillId="4" borderId="11" xfId="2" applyNumberFormat="1" applyFont="1" applyFill="1" applyBorder="1" applyAlignment="1">
      <alignment horizontal="center" vertical="center" wrapText="1"/>
    </xf>
    <xf numFmtId="167" fontId="23" fillId="3" borderId="4" xfId="2" applyNumberFormat="1" applyFont="1" applyFill="1" applyBorder="1" applyAlignment="1">
      <alignment horizontal="center" vertical="center" wrapText="1"/>
    </xf>
    <xf numFmtId="0" fontId="0" fillId="10" borderId="4" xfId="0" applyFill="1" applyBorder="1" applyAlignment="1">
      <alignment horizontal="center" vertical="center"/>
    </xf>
    <xf numFmtId="0" fontId="36" fillId="10" borderId="4" xfId="0" applyFont="1" applyFill="1" applyBorder="1" applyAlignment="1">
      <alignment vertical="center" wrapText="1"/>
    </xf>
    <xf numFmtId="0" fontId="0" fillId="10" borderId="4" xfId="0" applyFill="1" applyBorder="1"/>
    <xf numFmtId="0" fontId="0" fillId="10" borderId="4" xfId="0" applyFill="1" applyBorder="1" applyAlignment="1">
      <alignment horizontal="center" vertical="center" wrapText="1"/>
    </xf>
    <xf numFmtId="0" fontId="0" fillId="10" borderId="4" xfId="0" applyFill="1" applyBorder="1" applyAlignment="1">
      <alignment horizontal="left" vertical="center" wrapText="1"/>
    </xf>
    <xf numFmtId="4" fontId="0" fillId="10" borderId="4" xfId="0" applyNumberFormat="1" applyFill="1" applyBorder="1" applyAlignment="1">
      <alignment horizontal="center" vertical="center" wrapText="1"/>
    </xf>
    <xf numFmtId="0" fontId="0" fillId="10" borderId="4" xfId="0" applyFill="1" applyBorder="1" applyAlignment="1">
      <alignment vertical="center" wrapText="1"/>
    </xf>
    <xf numFmtId="4" fontId="36" fillId="10" borderId="4" xfId="0" applyNumberFormat="1" applyFont="1" applyFill="1" applyBorder="1" applyAlignment="1">
      <alignment horizontal="center" vertical="center" wrapText="1"/>
    </xf>
    <xf numFmtId="0" fontId="36" fillId="10" borderId="4" xfId="0" applyFont="1" applyFill="1" applyBorder="1" applyAlignment="1">
      <alignment horizontal="center" vertical="center"/>
    </xf>
    <xf numFmtId="0" fontId="0" fillId="10" borderId="0" xfId="0" applyFill="1"/>
    <xf numFmtId="4" fontId="36" fillId="10" borderId="4" xfId="0" applyNumberFormat="1" applyFont="1" applyFill="1" applyBorder="1" applyAlignment="1">
      <alignment horizontal="center" vertical="center"/>
    </xf>
    <xf numFmtId="0" fontId="1" fillId="0" borderId="4" xfId="0" applyFont="1" applyBorder="1" applyAlignment="1">
      <alignment horizontal="center" vertical="center" wrapText="1"/>
    </xf>
    <xf numFmtId="0" fontId="30" fillId="0" borderId="4" xfId="0" applyFont="1" applyBorder="1" applyAlignment="1">
      <alignment horizontal="center" vertical="center" wrapText="1"/>
    </xf>
    <xf numFmtId="0" fontId="0" fillId="0" borderId="4" xfId="0" applyBorder="1" applyAlignment="1">
      <alignment horizontal="center" vertical="center"/>
    </xf>
    <xf numFmtId="4" fontId="23" fillId="15" borderId="4" xfId="2" applyNumberFormat="1"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30" fillId="0" borderId="15" xfId="0" applyFont="1" applyBorder="1" applyAlignment="1">
      <alignment horizontal="center" vertical="center" wrapText="1"/>
    </xf>
    <xf numFmtId="0" fontId="43" fillId="0" borderId="15" xfId="0" applyFont="1" applyBorder="1" applyAlignment="1">
      <alignment horizontal="left" vertical="center" wrapText="1"/>
    </xf>
    <xf numFmtId="0" fontId="30" fillId="0" borderId="15" xfId="0" applyFont="1" applyBorder="1" applyAlignment="1">
      <alignment horizontal="left" vertical="center" wrapText="1"/>
    </xf>
    <xf numFmtId="3" fontId="30" fillId="0" borderId="15" xfId="0" applyNumberFormat="1" applyFont="1" applyBorder="1" applyAlignment="1">
      <alignment horizontal="center" vertical="center" wrapText="1"/>
    </xf>
    <xf numFmtId="4" fontId="30" fillId="0" borderId="15" xfId="0" applyNumberFormat="1" applyFont="1" applyBorder="1" applyAlignment="1">
      <alignment horizontal="center" vertical="center" wrapText="1"/>
    </xf>
    <xf numFmtId="0" fontId="30" fillId="6" borderId="15" xfId="0" applyFont="1" applyFill="1" applyBorder="1" applyAlignment="1">
      <alignment horizontal="left" vertical="center" wrapText="1"/>
    </xf>
    <xf numFmtId="0" fontId="30" fillId="8" borderId="15" xfId="0" applyFont="1" applyFill="1" applyBorder="1" applyAlignment="1">
      <alignment horizontal="left" vertical="center" wrapText="1"/>
    </xf>
    <xf numFmtId="0" fontId="30" fillId="15" borderId="15" xfId="0" applyFont="1" applyFill="1" applyBorder="1" applyAlignment="1">
      <alignment horizontal="left" vertical="center" wrapText="1"/>
    </xf>
    <xf numFmtId="3" fontId="30" fillId="15" borderId="15" xfId="0" applyNumberFormat="1" applyFont="1" applyFill="1" applyBorder="1" applyAlignment="1">
      <alignment horizontal="center" vertical="center" wrapText="1"/>
    </xf>
    <xf numFmtId="0" fontId="30" fillId="3" borderId="15" xfId="0" applyFont="1" applyFill="1" applyBorder="1" applyAlignment="1">
      <alignment horizontal="left" vertical="center" wrapText="1"/>
    </xf>
    <xf numFmtId="0" fontId="30" fillId="3" borderId="15" xfId="0" applyFont="1" applyFill="1" applyBorder="1" applyAlignment="1">
      <alignment horizontal="center" vertical="center" wrapText="1"/>
    </xf>
    <xf numFmtId="3" fontId="30" fillId="3" borderId="15" xfId="0" applyNumberFormat="1" applyFont="1" applyFill="1" applyBorder="1" applyAlignment="1">
      <alignment horizontal="center" vertical="center" wrapText="1"/>
    </xf>
    <xf numFmtId="0" fontId="30" fillId="6" borderId="4" xfId="0" applyFont="1" applyFill="1" applyBorder="1" applyAlignment="1">
      <alignment vertical="center" wrapText="1"/>
    </xf>
    <xf numFmtId="1" fontId="30" fillId="0" borderId="4" xfId="0" applyNumberFormat="1" applyFont="1" applyBorder="1" applyAlignment="1">
      <alignment horizontal="center" vertical="center" wrapText="1"/>
    </xf>
    <xf numFmtId="4" fontId="30" fillId="8" borderId="4" xfId="0" applyNumberFormat="1" applyFont="1" applyFill="1" applyBorder="1" applyAlignment="1">
      <alignment horizontal="center" vertical="center" wrapText="1"/>
    </xf>
    <xf numFmtId="0" fontId="30" fillId="8" borderId="4" xfId="0" applyFont="1" applyFill="1" applyBorder="1" applyAlignment="1">
      <alignment vertical="center" wrapText="1"/>
    </xf>
    <xf numFmtId="0" fontId="1" fillId="6" borderId="4" xfId="0" applyFont="1" applyFill="1" applyBorder="1" applyAlignment="1">
      <alignment vertical="center" wrapText="1"/>
    </xf>
    <xf numFmtId="0" fontId="1" fillId="8" borderId="4" xfId="0" applyFont="1" applyFill="1" applyBorder="1" applyAlignment="1">
      <alignment vertical="center" wrapText="1"/>
    </xf>
    <xf numFmtId="0" fontId="1" fillId="11" borderId="4" xfId="0" applyFont="1" applyFill="1" applyBorder="1" applyAlignment="1">
      <alignment vertical="center" wrapText="1"/>
    </xf>
    <xf numFmtId="0" fontId="30" fillId="7" borderId="4" xfId="0" applyFont="1" applyFill="1" applyBorder="1" applyAlignment="1">
      <alignment vertical="center" wrapText="1"/>
    </xf>
    <xf numFmtId="1" fontId="1" fillId="0" borderId="4" xfId="0" applyNumberFormat="1" applyFont="1" applyBorder="1" applyAlignment="1">
      <alignment horizontal="center" vertical="center" wrapText="1"/>
    </xf>
    <xf numFmtId="4" fontId="1" fillId="8" borderId="4" xfId="0" applyNumberFormat="1" applyFont="1" applyFill="1" applyBorder="1" applyAlignment="1">
      <alignment horizontal="center" vertical="center" wrapText="1"/>
    </xf>
    <xf numFmtId="0" fontId="30" fillId="11" borderId="4" xfId="0" applyFont="1" applyFill="1" applyBorder="1" applyAlignment="1">
      <alignment vertical="center" wrapText="1"/>
    </xf>
    <xf numFmtId="4" fontId="43" fillId="0" borderId="4" xfId="0" applyNumberFormat="1" applyFont="1" applyBorder="1" applyAlignment="1">
      <alignment horizontal="center" vertical="center" wrapText="1"/>
    </xf>
    <xf numFmtId="0" fontId="43" fillId="10" borderId="0" xfId="0" applyFont="1" applyFill="1" applyAlignment="1">
      <alignment horizontal="center" vertical="center" wrapText="1"/>
    </xf>
    <xf numFmtId="0" fontId="1" fillId="0" borderId="4" xfId="0" applyFont="1" applyBorder="1" applyAlignment="1">
      <alignment horizontal="center" vertical="center"/>
    </xf>
    <xf numFmtId="0" fontId="43" fillId="18" borderId="0" xfId="0" applyFont="1" applyFill="1" applyAlignment="1">
      <alignment horizontal="center" vertical="center" wrapText="1"/>
    </xf>
    <xf numFmtId="0" fontId="32" fillId="18" borderId="6" xfId="0" applyFont="1" applyFill="1" applyBorder="1" applyAlignment="1">
      <alignment horizontal="center" vertical="center" wrapText="1"/>
    </xf>
    <xf numFmtId="43" fontId="34" fillId="18" borderId="4" xfId="1" applyFont="1" applyFill="1" applyBorder="1" applyAlignment="1">
      <alignment horizontal="center" vertical="center" wrapText="1"/>
    </xf>
    <xf numFmtId="169" fontId="35" fillId="18" borderId="4" xfId="3" applyNumberFormat="1" applyFont="1" applyFill="1" applyBorder="1" applyAlignment="1">
      <alignment horizontal="center" vertical="center" wrapText="1"/>
    </xf>
    <xf numFmtId="43" fontId="34" fillId="10" borderId="4" xfId="1" applyFont="1" applyFill="1" applyBorder="1" applyAlignment="1">
      <alignment horizontal="center" vertical="center" wrapText="1"/>
    </xf>
    <xf numFmtId="43" fontId="34" fillId="13" borderId="4" xfId="1" applyFont="1" applyFill="1" applyBorder="1" applyAlignment="1">
      <alignment horizontal="center" vertical="center" wrapText="1"/>
    </xf>
    <xf numFmtId="0" fontId="43" fillId="14" borderId="0" xfId="0" applyFont="1" applyFill="1" applyAlignment="1">
      <alignment horizontal="center" vertical="center" wrapText="1"/>
    </xf>
    <xf numFmtId="0" fontId="32" fillId="14" borderId="4" xfId="0" applyFont="1" applyFill="1" applyBorder="1" applyAlignment="1">
      <alignment horizontal="center" vertical="center" wrapText="1"/>
    </xf>
    <xf numFmtId="43" fontId="34" fillId="14" borderId="4" xfId="1" applyFont="1" applyFill="1" applyBorder="1" applyAlignment="1">
      <alignment horizontal="center" vertical="center" wrapText="1"/>
    </xf>
    <xf numFmtId="10" fontId="35" fillId="14" borderId="4" xfId="0" applyNumberFormat="1" applyFont="1" applyFill="1" applyBorder="1" applyAlignment="1">
      <alignment vertical="center" wrapText="1"/>
    </xf>
    <xf numFmtId="10" fontId="28" fillId="14" borderId="4" xfId="0" applyNumberFormat="1" applyFont="1" applyFill="1" applyBorder="1" applyAlignment="1">
      <alignment vertical="center" wrapText="1"/>
    </xf>
    <xf numFmtId="0" fontId="45" fillId="0" borderId="4" xfId="0" applyFont="1" applyBorder="1" applyAlignment="1">
      <alignment horizontal="center" vertical="center" wrapText="1"/>
    </xf>
    <xf numFmtId="0" fontId="43" fillId="0" borderId="4" xfId="0" applyFont="1" applyBorder="1" applyAlignment="1">
      <alignment horizontal="justify" vertical="center" wrapText="1"/>
    </xf>
    <xf numFmtId="0" fontId="45" fillId="0" borderId="4" xfId="0" applyFont="1" applyBorder="1" applyAlignment="1">
      <alignment horizontal="justify" vertical="center" wrapText="1"/>
    </xf>
    <xf numFmtId="3" fontId="0" fillId="0" borderId="4" xfId="0" applyNumberFormat="1" applyBorder="1" applyAlignment="1">
      <alignment horizontal="center" vertical="center" wrapText="1"/>
    </xf>
    <xf numFmtId="4" fontId="33" fillId="0" borderId="4" xfId="0" applyNumberFormat="1" applyFont="1" applyBorder="1" applyAlignment="1">
      <alignment horizontal="center" vertical="center" wrapText="1"/>
    </xf>
    <xf numFmtId="0" fontId="45" fillId="0" borderId="4" xfId="0" applyFont="1" applyBorder="1" applyAlignment="1">
      <alignment vertical="center" wrapText="1"/>
    </xf>
    <xf numFmtId="0" fontId="30" fillId="0" borderId="16" xfId="0" applyFont="1" applyBorder="1" applyAlignment="1">
      <alignment horizontal="center" vertical="center" wrapText="1"/>
    </xf>
    <xf numFmtId="4" fontId="30" fillId="0" borderId="16" xfId="0" applyNumberFormat="1" applyFont="1" applyBorder="1" applyAlignment="1">
      <alignment horizontal="center" vertical="center" wrapText="1"/>
    </xf>
    <xf numFmtId="4" fontId="30" fillId="0" borderId="0" xfId="0" applyNumberFormat="1" applyFont="1" applyAlignment="1">
      <alignment horizontal="center" vertical="center" wrapText="1"/>
    </xf>
    <xf numFmtId="43" fontId="35" fillId="8" borderId="4" xfId="1" applyFont="1" applyFill="1" applyBorder="1" applyAlignment="1">
      <alignment horizontal="center" vertical="center" wrapText="1"/>
    </xf>
    <xf numFmtId="168" fontId="30" fillId="0" borderId="24" xfId="0" applyNumberFormat="1" applyFont="1" applyBorder="1" applyAlignment="1">
      <alignment horizontal="center" vertical="center" wrapText="1"/>
    </xf>
    <xf numFmtId="168" fontId="1" fillId="0" borderId="24" xfId="0" applyNumberFormat="1" applyFont="1" applyBorder="1" applyAlignment="1">
      <alignment horizontal="center" vertical="center" wrapText="1"/>
    </xf>
    <xf numFmtId="44" fontId="46" fillId="0" borderId="24" xfId="5" applyFont="1" applyFill="1" applyBorder="1" applyAlignment="1">
      <alignment horizontal="left" vertical="center" shrinkToFit="1"/>
    </xf>
    <xf numFmtId="44" fontId="0" fillId="0" borderId="4" xfId="0" applyNumberFormat="1" applyBorder="1" applyAlignment="1">
      <alignment horizontal="center" vertical="center" wrapText="1"/>
    </xf>
    <xf numFmtId="165" fontId="0" fillId="0" borderId="4" xfId="0" applyNumberFormat="1" applyBorder="1" applyAlignment="1">
      <alignment horizontal="center" vertical="center"/>
    </xf>
    <xf numFmtId="164" fontId="0" fillId="0" borderId="0" xfId="0" applyNumberFormat="1"/>
    <xf numFmtId="0" fontId="0" fillId="0" borderId="0" xfId="0" applyAlignment="1">
      <alignment horizontal="center" vertical="center"/>
    </xf>
    <xf numFmtId="4" fontId="0" fillId="0" borderId="0" xfId="0" applyNumberFormat="1"/>
    <xf numFmtId="165" fontId="0" fillId="0" borderId="4" xfId="0" applyNumberFormat="1" applyBorder="1"/>
    <xf numFmtId="0" fontId="45" fillId="19" borderId="4" xfId="0" applyFont="1" applyFill="1" applyBorder="1" applyAlignment="1">
      <alignment horizontal="center" vertical="center" wrapText="1"/>
    </xf>
    <xf numFmtId="0" fontId="1" fillId="0" borderId="4" xfId="0" applyFont="1" applyBorder="1" applyAlignment="1">
      <alignment horizontal="left" vertical="center" wrapText="1"/>
    </xf>
    <xf numFmtId="4" fontId="35" fillId="0" borderId="4"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45" fillId="20" borderId="4" xfId="0" applyNumberFormat="1" applyFont="1" applyFill="1" applyBorder="1" applyAlignment="1">
      <alignment horizontal="center" vertical="center" wrapText="1"/>
    </xf>
    <xf numFmtId="0" fontId="1" fillId="0" borderId="4" xfId="0" applyFont="1" applyBorder="1"/>
    <xf numFmtId="4" fontId="1" fillId="21" borderId="4" xfId="0" applyNumberFormat="1" applyFont="1" applyFill="1" applyBorder="1" applyAlignment="1">
      <alignment horizontal="center" vertical="center" wrapText="1"/>
    </xf>
    <xf numFmtId="0" fontId="45" fillId="20" borderId="4" xfId="0" applyFont="1" applyFill="1" applyBorder="1"/>
    <xf numFmtId="4" fontId="47" fillId="20" borderId="4" xfId="0" applyNumberFormat="1" applyFont="1" applyFill="1" applyBorder="1" applyAlignment="1">
      <alignment horizontal="center" vertical="center" wrapText="1"/>
    </xf>
    <xf numFmtId="4" fontId="30" fillId="0" borderId="1" xfId="0" applyNumberFormat="1" applyFont="1" applyBorder="1" applyAlignment="1">
      <alignment horizontal="center" vertical="center" wrapText="1"/>
    </xf>
    <xf numFmtId="165" fontId="28" fillId="0" borderId="4" xfId="0" applyNumberFormat="1" applyFont="1" applyBorder="1" applyAlignment="1">
      <alignment horizontal="center" vertical="center" wrapText="1"/>
    </xf>
    <xf numFmtId="165" fontId="45" fillId="20" borderId="4" xfId="0" applyNumberFormat="1" applyFont="1" applyFill="1" applyBorder="1" applyAlignment="1">
      <alignment horizontal="center" vertical="center" wrapText="1"/>
    </xf>
    <xf numFmtId="4" fontId="48" fillId="10" borderId="4" xfId="0" applyNumberFormat="1" applyFont="1" applyFill="1" applyBorder="1" applyAlignment="1">
      <alignment horizontal="center" vertical="center"/>
    </xf>
    <xf numFmtId="43" fontId="0" fillId="0" borderId="0" xfId="1" applyFont="1"/>
    <xf numFmtId="4" fontId="31" fillId="3" borderId="4" xfId="0" applyNumberFormat="1" applyFont="1" applyFill="1" applyBorder="1" applyAlignment="1">
      <alignment horizontal="center" vertical="center" wrapText="1"/>
    </xf>
    <xf numFmtId="10" fontId="7" fillId="6" borderId="4" xfId="2" applyNumberFormat="1" applyFont="1" applyFill="1" applyBorder="1" applyAlignment="1">
      <alignment horizontal="center" vertical="center" wrapText="1"/>
    </xf>
    <xf numFmtId="4" fontId="7" fillId="6" borderId="4" xfId="2" applyNumberFormat="1" applyFont="1" applyFill="1" applyBorder="1" applyAlignment="1">
      <alignment horizontal="center" vertical="center" wrapText="1"/>
    </xf>
    <xf numFmtId="4" fontId="19" fillId="6" borderId="4" xfId="2" applyNumberFormat="1" applyFont="1" applyFill="1" applyBorder="1" applyAlignment="1">
      <alignment horizontal="center" vertical="center" wrapText="1"/>
    </xf>
    <xf numFmtId="0" fontId="49" fillId="3" borderId="0" xfId="0" applyFont="1" applyFill="1"/>
    <xf numFmtId="0" fontId="7" fillId="3" borderId="1" xfId="2" applyFont="1" applyFill="1" applyBorder="1" applyAlignment="1">
      <alignment vertical="center" wrapText="1"/>
    </xf>
    <xf numFmtId="0" fontId="7" fillId="3" borderId="2" xfId="2" applyFont="1" applyFill="1" applyBorder="1" applyAlignment="1">
      <alignment vertical="center" wrapText="1"/>
    </xf>
    <xf numFmtId="0" fontId="7" fillId="3" borderId="3" xfId="2" applyFont="1" applyFill="1" applyBorder="1" applyAlignment="1">
      <alignment vertical="center" wrapText="1"/>
    </xf>
    <xf numFmtId="14" fontId="7" fillId="3" borderId="1" xfId="2" applyNumberFormat="1" applyFont="1" applyFill="1" applyBorder="1" applyAlignment="1">
      <alignment horizontal="center" vertical="center" wrapText="1"/>
    </xf>
    <xf numFmtId="14" fontId="7" fillId="3" borderId="3" xfId="2" applyNumberFormat="1" applyFont="1" applyFill="1" applyBorder="1" applyAlignment="1">
      <alignment horizontal="center" vertical="center" wrapText="1"/>
    </xf>
    <xf numFmtId="0" fontId="7" fillId="3" borderId="1"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9" fillId="0" borderId="1" xfId="2" applyFont="1" applyBorder="1" applyAlignment="1">
      <alignment vertical="center" wrapText="1"/>
    </xf>
    <xf numFmtId="0" fontId="9" fillId="0" borderId="2" xfId="2" applyFont="1" applyBorder="1" applyAlignment="1">
      <alignment vertical="center" wrapText="1"/>
    </xf>
    <xf numFmtId="0" fontId="9" fillId="0" borderId="3" xfId="2" applyFont="1" applyBorder="1" applyAlignment="1">
      <alignment vertical="center" wrapText="1"/>
    </xf>
    <xf numFmtId="0" fontId="14" fillId="4" borderId="1" xfId="2" applyFont="1" applyFill="1" applyBorder="1" applyAlignment="1">
      <alignment horizontal="center" vertical="center" wrapText="1"/>
    </xf>
    <xf numFmtId="0" fontId="14" fillId="4" borderId="3" xfId="2" applyFont="1" applyFill="1" applyBorder="1" applyAlignment="1">
      <alignment horizontal="center" vertical="center" wrapText="1"/>
    </xf>
    <xf numFmtId="0" fontId="11" fillId="3" borderId="1" xfId="2" applyFont="1" applyFill="1" applyBorder="1" applyAlignment="1">
      <alignment horizontal="left" vertical="center" wrapText="1"/>
    </xf>
    <xf numFmtId="0" fontId="11" fillId="3" borderId="2" xfId="2" applyFont="1" applyFill="1" applyBorder="1" applyAlignment="1">
      <alignment horizontal="left" vertical="center" wrapText="1"/>
    </xf>
    <xf numFmtId="0" fontId="11" fillId="3" borderId="3" xfId="2" applyFont="1" applyFill="1" applyBorder="1" applyAlignment="1">
      <alignment horizontal="left" vertical="center" wrapText="1"/>
    </xf>
    <xf numFmtId="0" fontId="11" fillId="3" borderId="4" xfId="2" applyFont="1" applyFill="1" applyBorder="1" applyAlignment="1">
      <alignment horizontal="left" vertical="center" wrapText="1"/>
    </xf>
    <xf numFmtId="0" fontId="8" fillId="3" borderId="4" xfId="2" applyFont="1" applyFill="1" applyBorder="1" applyAlignment="1">
      <alignment horizontal="center" wrapText="1"/>
    </xf>
    <xf numFmtId="0" fontId="11" fillId="4" borderId="1" xfId="2" applyFont="1" applyFill="1" applyBorder="1" applyAlignment="1">
      <alignment horizontal="center" vertical="center" wrapText="1"/>
    </xf>
    <xf numFmtId="0" fontId="11" fillId="4" borderId="2" xfId="2" applyFont="1" applyFill="1" applyBorder="1" applyAlignment="1">
      <alignment horizontal="center" vertical="center" wrapText="1"/>
    </xf>
    <xf numFmtId="0" fontId="11" fillId="4" borderId="3" xfId="2" applyFont="1" applyFill="1" applyBorder="1" applyAlignment="1">
      <alignment horizontal="center" vertical="center" wrapText="1"/>
    </xf>
    <xf numFmtId="0" fontId="7" fillId="0" borderId="0" xfId="2" applyFont="1" applyAlignment="1">
      <alignment horizontal="left" vertical="center" wrapText="1"/>
    </xf>
    <xf numFmtId="0" fontId="10" fillId="4" borderId="1" xfId="2" applyFont="1" applyFill="1" applyBorder="1" applyAlignment="1">
      <alignment horizontal="left" vertical="center" wrapText="1"/>
    </xf>
    <xf numFmtId="0" fontId="10" fillId="4" borderId="2" xfId="2" applyFont="1" applyFill="1" applyBorder="1" applyAlignment="1">
      <alignment horizontal="left" vertical="center" wrapText="1"/>
    </xf>
    <xf numFmtId="0" fontId="10" fillId="4" borderId="3" xfId="2" applyFont="1" applyFill="1" applyBorder="1" applyAlignment="1">
      <alignment horizontal="left" vertical="center" wrapText="1"/>
    </xf>
    <xf numFmtId="0" fontId="7" fillId="0" borderId="4" xfId="2" applyFont="1" applyBorder="1" applyAlignment="1">
      <alignment horizontal="left" vertical="center" wrapText="1"/>
    </xf>
    <xf numFmtId="0" fontId="13" fillId="3" borderId="4" xfId="2" applyFont="1" applyFill="1" applyBorder="1" applyAlignment="1">
      <alignment horizontal="center" vertical="center" wrapText="1"/>
    </xf>
    <xf numFmtId="0" fontId="16" fillId="3" borderId="1" xfId="2" applyFont="1" applyFill="1" applyBorder="1" applyAlignment="1">
      <alignment horizontal="left" vertical="center" wrapText="1"/>
    </xf>
    <xf numFmtId="0" fontId="16" fillId="3" borderId="2" xfId="2" applyFont="1" applyFill="1" applyBorder="1" applyAlignment="1">
      <alignment horizontal="left" vertical="center" wrapText="1"/>
    </xf>
    <xf numFmtId="0" fontId="16" fillId="3" borderId="3" xfId="2" applyFont="1" applyFill="1" applyBorder="1" applyAlignment="1">
      <alignment horizontal="left" vertical="center" wrapText="1"/>
    </xf>
    <xf numFmtId="0" fontId="17" fillId="4" borderId="4" xfId="2" applyFont="1" applyFill="1" applyBorder="1" applyAlignment="1">
      <alignment horizontal="center" vertical="center" wrapText="1"/>
    </xf>
    <xf numFmtId="0" fontId="13" fillId="3" borderId="1" xfId="2" applyFont="1" applyFill="1" applyBorder="1" applyAlignment="1">
      <alignment horizontal="center" vertical="center" wrapText="1"/>
    </xf>
    <xf numFmtId="0" fontId="13"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1"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5" borderId="9" xfId="2" applyFont="1" applyFill="1" applyBorder="1" applyAlignment="1">
      <alignment horizontal="center" vertical="center" wrapText="1"/>
    </xf>
    <xf numFmtId="0" fontId="11" fillId="5" borderId="8" xfId="2" applyFont="1" applyFill="1" applyBorder="1" applyAlignment="1">
      <alignment horizontal="center" vertical="center" wrapText="1"/>
    </xf>
    <xf numFmtId="0" fontId="11" fillId="5" borderId="10" xfId="2" applyFont="1" applyFill="1" applyBorder="1" applyAlignment="1">
      <alignment horizontal="center" vertical="center" wrapText="1"/>
    </xf>
    <xf numFmtId="0" fontId="7" fillId="0" borderId="1" xfId="2" applyFont="1" applyBorder="1" applyAlignment="1">
      <alignment horizontal="left" vertical="center" wrapText="1"/>
    </xf>
    <xf numFmtId="0" fontId="7" fillId="0" borderId="2" xfId="2" applyFont="1" applyBorder="1" applyAlignment="1">
      <alignment horizontal="left" vertical="center" wrapText="1"/>
    </xf>
    <xf numFmtId="0" fontId="7" fillId="0" borderId="3" xfId="2" applyFont="1" applyBorder="1" applyAlignment="1">
      <alignment horizontal="left" vertical="center" wrapText="1"/>
    </xf>
    <xf numFmtId="165" fontId="9" fillId="6" borderId="1" xfId="2" applyNumberFormat="1" applyFont="1" applyFill="1" applyBorder="1" applyAlignment="1">
      <alignment horizontal="center" vertical="center" wrapText="1"/>
    </xf>
    <xf numFmtId="165" fontId="9" fillId="6" borderId="3" xfId="2" applyNumberFormat="1" applyFont="1" applyFill="1" applyBorder="1" applyAlignment="1">
      <alignment horizontal="center" vertical="center" wrapText="1"/>
    </xf>
    <xf numFmtId="0" fontId="7" fillId="3" borderId="1" xfId="2" applyFont="1" applyFill="1" applyBorder="1" applyAlignment="1">
      <alignment horizontal="left" vertical="center" wrapText="1"/>
    </xf>
    <xf numFmtId="0" fontId="7" fillId="3" borderId="2" xfId="2" applyFont="1" applyFill="1" applyBorder="1" applyAlignment="1">
      <alignment horizontal="left" vertical="center" wrapText="1"/>
    </xf>
    <xf numFmtId="0" fontId="7" fillId="3" borderId="3" xfId="2" applyFont="1" applyFill="1" applyBorder="1" applyAlignment="1">
      <alignment horizontal="left" vertical="center" wrapText="1"/>
    </xf>
    <xf numFmtId="0" fontId="9" fillId="3" borderId="1" xfId="2" applyFont="1" applyFill="1" applyBorder="1" applyAlignment="1">
      <alignment horizontal="center" vertical="center" wrapText="1"/>
    </xf>
    <xf numFmtId="0" fontId="9" fillId="3" borderId="3" xfId="2" applyFont="1" applyFill="1" applyBorder="1" applyAlignment="1">
      <alignment horizontal="center" vertical="center" wrapText="1"/>
    </xf>
    <xf numFmtId="0" fontId="7" fillId="3" borderId="4" xfId="2" applyFont="1" applyFill="1" applyBorder="1" applyAlignment="1">
      <alignment horizontal="left" vertical="center" wrapText="1"/>
    </xf>
    <xf numFmtId="0" fontId="9" fillId="0" borderId="4" xfId="2" applyFont="1" applyBorder="1" applyAlignment="1">
      <alignment horizontal="center" vertical="center" wrapText="1"/>
    </xf>
    <xf numFmtId="0" fontId="9" fillId="4" borderId="1" xfId="2" applyFont="1" applyFill="1" applyBorder="1" applyAlignment="1">
      <alignment horizontal="center" vertical="center" wrapText="1"/>
    </xf>
    <xf numFmtId="0" fontId="9" fillId="4" borderId="2" xfId="2" applyFont="1" applyFill="1" applyBorder="1" applyAlignment="1">
      <alignment horizontal="center" vertical="center" wrapText="1"/>
    </xf>
    <xf numFmtId="0" fontId="7" fillId="3" borderId="2" xfId="2" applyFont="1" applyFill="1" applyBorder="1" applyAlignment="1">
      <alignment horizontal="center" vertical="center" wrapText="1"/>
    </xf>
    <xf numFmtId="0" fontId="18" fillId="4" borderId="4" xfId="2" applyFont="1" applyFill="1" applyBorder="1" applyAlignment="1">
      <alignment horizontal="left" vertical="center" wrapText="1"/>
    </xf>
    <xf numFmtId="0" fontId="9" fillId="3" borderId="2" xfId="2" applyFont="1" applyFill="1" applyBorder="1" applyAlignment="1">
      <alignment horizontal="center" vertical="center" wrapText="1"/>
    </xf>
    <xf numFmtId="0" fontId="9" fillId="3" borderId="1" xfId="2" applyFont="1" applyFill="1" applyBorder="1" applyAlignment="1">
      <alignment horizontal="left" vertical="center" wrapText="1"/>
    </xf>
    <xf numFmtId="0" fontId="9" fillId="4" borderId="3" xfId="2" applyFont="1" applyFill="1" applyBorder="1" applyAlignment="1">
      <alignment horizontal="center" vertical="center" wrapText="1"/>
    </xf>
    <xf numFmtId="0" fontId="16" fillId="0" borderId="1" xfId="2" applyFont="1" applyBorder="1" applyAlignment="1">
      <alignment horizontal="left" vertical="center" wrapText="1"/>
    </xf>
    <xf numFmtId="0" fontId="16" fillId="0" borderId="2" xfId="2" applyFont="1" applyBorder="1" applyAlignment="1">
      <alignment horizontal="left" vertical="center" wrapText="1"/>
    </xf>
    <xf numFmtId="0" fontId="16" fillId="0" borderId="3" xfId="2" applyFont="1" applyBorder="1" applyAlignment="1">
      <alignment horizontal="left" vertical="center" wrapText="1"/>
    </xf>
    <xf numFmtId="0" fontId="11" fillId="4" borderId="1" xfId="2" applyFont="1" applyFill="1" applyBorder="1" applyAlignment="1">
      <alignment horizontal="left" vertical="center" wrapText="1"/>
    </xf>
    <xf numFmtId="0" fontId="11" fillId="4" borderId="2" xfId="2" applyFont="1" applyFill="1" applyBorder="1" applyAlignment="1">
      <alignment horizontal="left" vertical="center" wrapText="1"/>
    </xf>
    <xf numFmtId="0" fontId="9" fillId="3" borderId="2" xfId="2" applyFont="1" applyFill="1" applyBorder="1" applyAlignment="1">
      <alignment horizontal="left" vertical="center" wrapText="1"/>
    </xf>
    <xf numFmtId="0" fontId="9" fillId="3" borderId="3" xfId="2" applyFont="1" applyFill="1" applyBorder="1" applyAlignment="1">
      <alignment horizontal="left" vertical="center" wrapText="1"/>
    </xf>
    <xf numFmtId="0" fontId="21" fillId="0" borderId="2"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9" fillId="3" borderId="4" xfId="2" applyFont="1" applyFill="1" applyBorder="1" applyAlignment="1">
      <alignment horizontal="center" vertical="center" wrapText="1"/>
    </xf>
    <xf numFmtId="0" fontId="9" fillId="3" borderId="4" xfId="2" applyFont="1" applyFill="1" applyBorder="1" applyAlignment="1">
      <alignment horizontal="left" vertical="center" wrapText="1"/>
    </xf>
    <xf numFmtId="0" fontId="22" fillId="3" borderId="1" xfId="2" applyFont="1" applyFill="1" applyBorder="1" applyAlignment="1">
      <alignment horizontal="left" vertical="center" wrapText="1"/>
    </xf>
    <xf numFmtId="0" fontId="22" fillId="3" borderId="2" xfId="2" applyFont="1" applyFill="1" applyBorder="1" applyAlignment="1">
      <alignment horizontal="left" vertical="center" wrapText="1"/>
    </xf>
    <xf numFmtId="0" fontId="22" fillId="3" borderId="3" xfId="2" applyFont="1" applyFill="1" applyBorder="1" applyAlignment="1">
      <alignment horizontal="left" vertical="center" wrapText="1"/>
    </xf>
    <xf numFmtId="0" fontId="11" fillId="4" borderId="4" xfId="2" applyFont="1" applyFill="1" applyBorder="1" applyAlignment="1">
      <alignment horizontal="center" vertical="center" wrapText="1"/>
    </xf>
    <xf numFmtId="0" fontId="9" fillId="4" borderId="1" xfId="2" applyFont="1" applyFill="1" applyBorder="1" applyAlignment="1">
      <alignment horizontal="center" wrapText="1"/>
    </xf>
    <xf numFmtId="0" fontId="9" fillId="4" borderId="2" xfId="2" applyFont="1" applyFill="1" applyBorder="1" applyAlignment="1">
      <alignment horizontal="center" wrapText="1"/>
    </xf>
    <xf numFmtId="0" fontId="9" fillId="4" borderId="3" xfId="2" applyFont="1" applyFill="1" applyBorder="1" applyAlignment="1">
      <alignment horizontal="center" wrapText="1"/>
    </xf>
    <xf numFmtId="0" fontId="17" fillId="3" borderId="1" xfId="2" applyFont="1" applyFill="1" applyBorder="1" applyAlignment="1">
      <alignment horizontal="center" wrapText="1"/>
    </xf>
    <xf numFmtId="0" fontId="17" fillId="3" borderId="2" xfId="2" applyFont="1" applyFill="1" applyBorder="1" applyAlignment="1">
      <alignment horizontal="center" wrapText="1"/>
    </xf>
    <xf numFmtId="0" fontId="17" fillId="3" borderId="3" xfId="2" applyFont="1" applyFill="1" applyBorder="1" applyAlignment="1">
      <alignment horizontal="center" wrapText="1"/>
    </xf>
    <xf numFmtId="0" fontId="11" fillId="4" borderId="3" xfId="2" applyFont="1" applyFill="1" applyBorder="1" applyAlignment="1">
      <alignment horizontal="left" vertical="center" wrapText="1"/>
    </xf>
    <xf numFmtId="0" fontId="9" fillId="0" borderId="1" xfId="2" applyFont="1" applyBorder="1" applyAlignment="1">
      <alignment horizontal="left" vertical="center" wrapText="1"/>
    </xf>
    <xf numFmtId="0" fontId="9" fillId="0" borderId="2" xfId="2" applyFont="1" applyBorder="1" applyAlignment="1">
      <alignment horizontal="left" vertical="center" wrapText="1"/>
    </xf>
    <xf numFmtId="0" fontId="9" fillId="0" borderId="3" xfId="2" applyFont="1" applyBorder="1" applyAlignment="1">
      <alignment horizontal="left" vertical="center" wrapText="1"/>
    </xf>
    <xf numFmtId="0" fontId="17" fillId="4" borderId="1" xfId="2" applyFont="1" applyFill="1" applyBorder="1" applyAlignment="1">
      <alignment horizontal="center" vertical="center" wrapText="1"/>
    </xf>
    <xf numFmtId="0" fontId="17" fillId="4" borderId="2" xfId="2" applyFont="1" applyFill="1" applyBorder="1" applyAlignment="1">
      <alignment horizontal="center" vertical="center" wrapText="1"/>
    </xf>
    <xf numFmtId="0" fontId="17" fillId="4" borderId="3" xfId="2" applyFont="1" applyFill="1" applyBorder="1" applyAlignment="1">
      <alignment horizontal="center" vertical="center" wrapText="1"/>
    </xf>
    <xf numFmtId="0" fontId="14" fillId="3" borderId="1" xfId="2" applyFont="1" applyFill="1" applyBorder="1" applyAlignment="1">
      <alignment horizontal="left" vertical="center" wrapText="1"/>
    </xf>
    <xf numFmtId="10" fontId="11" fillId="3" borderId="4" xfId="2" applyNumberFormat="1" applyFont="1" applyFill="1" applyBorder="1" applyAlignment="1">
      <alignment horizontal="center" vertical="center" wrapText="1"/>
    </xf>
    <xf numFmtId="10" fontId="9" fillId="3" borderId="1" xfId="2" applyNumberFormat="1" applyFont="1" applyFill="1" applyBorder="1" applyAlignment="1">
      <alignment horizontal="center" vertical="center" wrapText="1"/>
    </xf>
    <xf numFmtId="10" fontId="9" fillId="3" borderId="3" xfId="2" applyNumberFormat="1" applyFont="1" applyFill="1" applyBorder="1" applyAlignment="1">
      <alignment horizontal="center" vertical="center" wrapText="1"/>
    </xf>
    <xf numFmtId="10" fontId="9" fillId="4" borderId="1" xfId="2" applyNumberFormat="1" applyFont="1" applyFill="1" applyBorder="1" applyAlignment="1">
      <alignment horizontal="center" vertical="center" wrapText="1"/>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8" fillId="3" borderId="2" xfId="2" applyFont="1" applyFill="1" applyBorder="1" applyAlignment="1">
      <alignment horizontal="center" vertical="center" wrapText="1"/>
    </xf>
    <xf numFmtId="0" fontId="8" fillId="3" borderId="3" xfId="2" applyFont="1" applyFill="1" applyBorder="1" applyAlignment="1">
      <alignment horizontal="center" vertical="center" wrapText="1"/>
    </xf>
    <xf numFmtId="0" fontId="7" fillId="15" borderId="1" xfId="2" applyFont="1" applyFill="1" applyBorder="1" applyAlignment="1">
      <alignment horizontal="left" vertical="center" wrapText="1"/>
    </xf>
    <xf numFmtId="0" fontId="7" fillId="15" borderId="2" xfId="2" applyFont="1" applyFill="1" applyBorder="1" applyAlignment="1">
      <alignment horizontal="left" vertical="center" wrapText="1"/>
    </xf>
    <xf numFmtId="0" fontId="7" fillId="15" borderId="3" xfId="2" applyFont="1" applyFill="1" applyBorder="1" applyAlignment="1">
      <alignment horizontal="left" vertical="center" wrapText="1"/>
    </xf>
    <xf numFmtId="0" fontId="9" fillId="15" borderId="1" xfId="2" applyFont="1" applyFill="1" applyBorder="1" applyAlignment="1">
      <alignment horizontal="center" vertical="center" wrapText="1"/>
    </xf>
    <xf numFmtId="0" fontId="9" fillId="15" borderId="3" xfId="2" applyFont="1" applyFill="1" applyBorder="1" applyAlignment="1">
      <alignment horizontal="center" vertical="center" wrapText="1"/>
    </xf>
    <xf numFmtId="165" fontId="9" fillId="15" borderId="1" xfId="2" applyNumberFormat="1" applyFont="1" applyFill="1" applyBorder="1" applyAlignment="1">
      <alignment horizontal="center" vertical="center" wrapText="1"/>
    </xf>
    <xf numFmtId="165" fontId="9" fillId="15" borderId="3" xfId="2" applyNumberFormat="1" applyFont="1" applyFill="1" applyBorder="1" applyAlignment="1">
      <alignment horizontal="center" vertical="center" wrapText="1"/>
    </xf>
    <xf numFmtId="0" fontId="11" fillId="15" borderId="9" xfId="2" applyFont="1" applyFill="1" applyBorder="1" applyAlignment="1">
      <alignment horizontal="center" vertical="center" wrapText="1"/>
    </xf>
    <xf numFmtId="0" fontId="11" fillId="15" borderId="8" xfId="2" applyFont="1" applyFill="1" applyBorder="1" applyAlignment="1">
      <alignment horizontal="center" vertical="center" wrapText="1"/>
    </xf>
    <xf numFmtId="0" fontId="11" fillId="15" borderId="10" xfId="2" applyFont="1" applyFill="1" applyBorder="1" applyAlignment="1">
      <alignment horizontal="center" vertical="center" wrapText="1"/>
    </xf>
    <xf numFmtId="0" fontId="9" fillId="16" borderId="1" xfId="2" applyFont="1" applyFill="1" applyBorder="1" applyAlignment="1">
      <alignment horizontal="center" vertical="center" wrapText="1"/>
    </xf>
    <xf numFmtId="0" fontId="9" fillId="16" borderId="3" xfId="2" applyFont="1" applyFill="1" applyBorder="1" applyAlignment="1">
      <alignment horizontal="center" vertical="center" wrapText="1"/>
    </xf>
    <xf numFmtId="165" fontId="9" fillId="16" borderId="1" xfId="2" applyNumberFormat="1" applyFont="1" applyFill="1" applyBorder="1" applyAlignment="1">
      <alignment horizontal="center" vertical="center" wrapText="1"/>
    </xf>
    <xf numFmtId="165" fontId="9" fillId="16" borderId="3" xfId="2" applyNumberFormat="1" applyFont="1" applyFill="1" applyBorder="1" applyAlignment="1">
      <alignment horizontal="center" vertical="center" wrapText="1"/>
    </xf>
    <xf numFmtId="0" fontId="11" fillId="16" borderId="9" xfId="2" applyFont="1" applyFill="1" applyBorder="1" applyAlignment="1">
      <alignment horizontal="center" vertical="center" wrapText="1"/>
    </xf>
    <xf numFmtId="0" fontId="11" fillId="16" borderId="8" xfId="2" applyFont="1" applyFill="1" applyBorder="1" applyAlignment="1">
      <alignment horizontal="center" vertical="center" wrapText="1"/>
    </xf>
    <xf numFmtId="0" fontId="11" fillId="16" borderId="10" xfId="2" applyFont="1" applyFill="1" applyBorder="1" applyAlignment="1">
      <alignment horizontal="center" vertical="center" wrapText="1"/>
    </xf>
    <xf numFmtId="0" fontId="7" fillId="6" borderId="1" xfId="2" applyFont="1" applyFill="1" applyBorder="1" applyAlignment="1">
      <alignment horizontal="left" vertical="center" wrapText="1"/>
    </xf>
    <xf numFmtId="0" fontId="7" fillId="6" borderId="2" xfId="2" applyFont="1" applyFill="1" applyBorder="1" applyAlignment="1">
      <alignment horizontal="left" vertical="center" wrapText="1"/>
    </xf>
    <xf numFmtId="0" fontId="7" fillId="6" borderId="3" xfId="2" applyFont="1" applyFill="1" applyBorder="1" applyAlignment="1">
      <alignment horizontal="left" vertical="center" wrapText="1"/>
    </xf>
    <xf numFmtId="0" fontId="9" fillId="17" borderId="1" xfId="2" applyFont="1" applyFill="1" applyBorder="1" applyAlignment="1">
      <alignment horizontal="center" vertical="center" wrapText="1"/>
    </xf>
    <xf numFmtId="0" fontId="9" fillId="17" borderId="3" xfId="2" applyFont="1" applyFill="1" applyBorder="1" applyAlignment="1">
      <alignment horizontal="center" vertical="center" wrapText="1"/>
    </xf>
    <xf numFmtId="165" fontId="9" fillId="17" borderId="1" xfId="2" applyNumberFormat="1" applyFont="1" applyFill="1" applyBorder="1" applyAlignment="1">
      <alignment horizontal="center" vertical="center" wrapText="1"/>
    </xf>
    <xf numFmtId="165" fontId="9" fillId="17" borderId="3" xfId="2" applyNumberFormat="1" applyFont="1" applyFill="1" applyBorder="1" applyAlignment="1">
      <alignment horizontal="center" vertical="center" wrapText="1"/>
    </xf>
    <xf numFmtId="0" fontId="11" fillId="17" borderId="9" xfId="2" applyFont="1" applyFill="1" applyBorder="1" applyAlignment="1">
      <alignment horizontal="center" vertical="center" wrapText="1"/>
    </xf>
    <xf numFmtId="0" fontId="11" fillId="17" borderId="8" xfId="2" applyFont="1" applyFill="1" applyBorder="1" applyAlignment="1">
      <alignment horizontal="center" vertical="center" wrapText="1"/>
    </xf>
    <xf numFmtId="0" fontId="11" fillId="17" borderId="10" xfId="2" applyFont="1" applyFill="1" applyBorder="1" applyAlignment="1">
      <alignment horizontal="center" vertical="center" wrapText="1"/>
    </xf>
    <xf numFmtId="4" fontId="0" fillId="0" borderId="4" xfId="0" applyNumberFormat="1" applyBorder="1" applyAlignment="1">
      <alignment horizontal="center"/>
    </xf>
    <xf numFmtId="0" fontId="0" fillId="0" borderId="4" xfId="0" applyBorder="1" applyAlignment="1">
      <alignment horizontal="center"/>
    </xf>
    <xf numFmtId="0" fontId="28" fillId="0" borderId="4" xfId="0" applyFont="1" applyBorder="1" applyAlignment="1">
      <alignment horizontal="left" vertical="center"/>
    </xf>
    <xf numFmtId="0" fontId="45" fillId="0" borderId="4" xfId="0" applyFont="1" applyBorder="1" applyAlignment="1">
      <alignment horizontal="right" vertical="center" wrapText="1"/>
    </xf>
    <xf numFmtId="0" fontId="30" fillId="2" borderId="4" xfId="0" applyFont="1" applyFill="1" applyBorder="1" applyAlignment="1">
      <alignment horizontal="center" vertical="center" wrapText="1"/>
    </xf>
    <xf numFmtId="0" fontId="28" fillId="0" borderId="4" xfId="0" applyFont="1" applyBorder="1" applyAlignment="1">
      <alignment horizontal="center" vertical="center" wrapText="1"/>
    </xf>
    <xf numFmtId="0" fontId="30" fillId="2" borderId="9" xfId="0" applyFont="1" applyFill="1" applyBorder="1" applyAlignment="1">
      <alignment horizontal="center" vertical="center" wrapText="1"/>
    </xf>
    <xf numFmtId="0" fontId="30" fillId="2" borderId="10" xfId="0" applyFont="1" applyFill="1" applyBorder="1" applyAlignment="1">
      <alignment horizontal="center" vertical="center" wrapText="1"/>
    </xf>
    <xf numFmtId="0" fontId="30" fillId="2" borderId="14"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25"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1" fillId="7" borderId="4" xfId="0" applyFont="1" applyFill="1" applyBorder="1" applyAlignment="1">
      <alignment horizontal="center" vertical="center" wrapText="1"/>
    </xf>
    <xf numFmtId="165" fontId="0" fillId="0" borderId="4" xfId="0" applyNumberFormat="1" applyBorder="1" applyAlignment="1">
      <alignment horizontal="center"/>
    </xf>
    <xf numFmtId="0" fontId="30" fillId="0" borderId="20"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16" xfId="0" applyFont="1" applyBorder="1" applyAlignment="1">
      <alignment horizontal="right" vertical="center" wrapText="1"/>
    </xf>
    <xf numFmtId="0" fontId="30" fillId="0" borderId="17" xfId="0" applyFont="1" applyBorder="1" applyAlignment="1">
      <alignment horizontal="right" vertical="center" wrapText="1"/>
    </xf>
    <xf numFmtId="0" fontId="30" fillId="0" borderId="18" xfId="0" applyFont="1" applyBorder="1" applyAlignment="1">
      <alignment horizontal="right" vertical="center" wrapText="1"/>
    </xf>
    <xf numFmtId="0" fontId="30" fillId="0" borderId="19"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29" xfId="0" applyFont="1" applyBorder="1" applyAlignment="1">
      <alignment horizontal="center" vertical="center" wrapText="1"/>
    </xf>
    <xf numFmtId="0" fontId="44" fillId="0" borderId="19" xfId="0" applyFont="1" applyBorder="1" applyAlignment="1">
      <alignment horizontal="center" vertical="center" wrapText="1"/>
    </xf>
    <xf numFmtId="0" fontId="44" fillId="0" borderId="21"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28" fillId="0" borderId="4" xfId="0" applyFont="1" applyBorder="1" applyAlignment="1">
      <alignment horizontal="center" vertical="center"/>
    </xf>
    <xf numFmtId="0" fontId="30" fillId="0" borderId="26" xfId="0" applyFont="1" applyBorder="1" applyAlignment="1">
      <alignment horizontal="center" vertical="center" wrapText="1"/>
    </xf>
    <xf numFmtId="0" fontId="27" fillId="0" borderId="4" xfId="0" applyFont="1" applyBorder="1" applyAlignment="1">
      <alignment horizontal="center" vertical="center" wrapText="1"/>
    </xf>
    <xf numFmtId="4" fontId="33" fillId="0" borderId="4" xfId="0" applyNumberFormat="1" applyFont="1" applyBorder="1" applyAlignment="1">
      <alignment horizontal="center" vertical="center" wrapText="1"/>
    </xf>
    <xf numFmtId="0" fontId="0" fillId="7" borderId="4" xfId="0" applyFill="1" applyBorder="1" applyAlignment="1">
      <alignment horizontal="center" vertical="center" wrapText="1"/>
    </xf>
    <xf numFmtId="0" fontId="0" fillId="0" borderId="4" xfId="0" applyBorder="1" applyAlignment="1">
      <alignment horizontal="center" vertical="center" wrapText="1"/>
    </xf>
    <xf numFmtId="0" fontId="45" fillId="7" borderId="4" xfId="0" applyFont="1" applyFill="1" applyBorder="1" applyAlignment="1">
      <alignment horizontal="center" vertical="center" wrapText="1"/>
    </xf>
    <xf numFmtId="0" fontId="45" fillId="0" borderId="4" xfId="0" applyFont="1" applyBorder="1" applyAlignment="1">
      <alignment horizontal="center" vertical="center" wrapText="1"/>
    </xf>
    <xf numFmtId="0" fontId="43" fillId="0" borderId="4"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10" xfId="0" applyFont="1" applyBorder="1" applyAlignment="1">
      <alignment horizontal="center" vertical="center" wrapText="1"/>
    </xf>
    <xf numFmtId="0" fontId="45" fillId="0" borderId="14" xfId="0" applyFont="1" applyBorder="1" applyAlignment="1">
      <alignment horizontal="center" vertical="center" wrapText="1"/>
    </xf>
    <xf numFmtId="0" fontId="45" fillId="0" borderId="11" xfId="0" applyFont="1" applyBorder="1" applyAlignment="1">
      <alignment horizontal="center" vertical="center" wrapText="1"/>
    </xf>
    <xf numFmtId="0" fontId="45" fillId="7" borderId="1" xfId="0" applyFont="1" applyFill="1" applyBorder="1" applyAlignment="1">
      <alignment horizontal="center" vertical="center" wrapText="1"/>
    </xf>
    <xf numFmtId="0" fontId="45" fillId="7" borderId="3" xfId="0" applyFont="1" applyFill="1" applyBorder="1" applyAlignment="1">
      <alignment horizontal="center" vertical="center" wrapText="1"/>
    </xf>
    <xf numFmtId="0" fontId="35"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4" xfId="0" applyFont="1" applyBorder="1" applyAlignment="1">
      <alignment horizontal="center" vertical="center"/>
    </xf>
    <xf numFmtId="0" fontId="0" fillId="0" borderId="7" xfId="0" applyBorder="1" applyAlignment="1">
      <alignment horizontal="center" vertical="center"/>
    </xf>
    <xf numFmtId="0" fontId="32" fillId="9" borderId="4" xfId="0" applyFont="1" applyFill="1" applyBorder="1" applyAlignment="1">
      <alignment horizontal="center" vertical="center" wrapText="1"/>
    </xf>
    <xf numFmtId="0" fontId="32" fillId="3" borderId="2" xfId="0" applyFont="1" applyFill="1" applyBorder="1" applyAlignment="1">
      <alignment horizontal="center" vertical="center"/>
    </xf>
    <xf numFmtId="0" fontId="32" fillId="3" borderId="3" xfId="0" applyFont="1" applyFill="1" applyBorder="1" applyAlignment="1">
      <alignment horizontal="center" vertical="center"/>
    </xf>
    <xf numFmtId="0" fontId="32" fillId="3" borderId="5" xfId="0" applyFont="1" applyFill="1" applyBorder="1" applyAlignment="1">
      <alignment horizontal="center" vertical="center" wrapText="1"/>
    </xf>
    <xf numFmtId="0" fontId="32" fillId="3" borderId="13" xfId="0" applyFont="1" applyFill="1" applyBorder="1" applyAlignment="1">
      <alignment horizontal="center" vertical="center" wrapText="1"/>
    </xf>
    <xf numFmtId="0" fontId="32" fillId="3" borderId="6" xfId="0" applyFont="1" applyFill="1" applyBorder="1" applyAlignment="1">
      <alignment horizontal="center" vertical="center" wrapText="1"/>
    </xf>
    <xf numFmtId="0" fontId="32" fillId="8" borderId="5" xfId="0" applyFont="1" applyFill="1" applyBorder="1" applyAlignment="1">
      <alignment horizontal="center" vertical="center" wrapText="1"/>
    </xf>
    <xf numFmtId="0" fontId="32" fillId="8" borderId="13" xfId="0" applyFont="1" applyFill="1" applyBorder="1" applyAlignment="1">
      <alignment horizontal="center" vertical="center" wrapText="1"/>
    </xf>
    <xf numFmtId="0" fontId="32" fillId="8" borderId="6" xfId="0" applyFont="1" applyFill="1" applyBorder="1" applyAlignment="1">
      <alignment horizontal="center" vertical="center" wrapText="1"/>
    </xf>
    <xf numFmtId="0" fontId="32" fillId="10" borderId="1"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32" fillId="13" borderId="1" xfId="0" applyFont="1" applyFill="1" applyBorder="1" applyAlignment="1">
      <alignment horizontal="center" vertical="center" wrapText="1"/>
    </xf>
    <xf numFmtId="0" fontId="32" fillId="13" borderId="3" xfId="0" applyFont="1" applyFill="1" applyBorder="1" applyAlignment="1">
      <alignment horizontal="center" vertical="center" wrapText="1"/>
    </xf>
    <xf numFmtId="0" fontId="32" fillId="14" borderId="1" xfId="0" applyFont="1" applyFill="1" applyBorder="1" applyAlignment="1">
      <alignment horizontal="center" vertical="center" wrapText="1"/>
    </xf>
    <xf numFmtId="0" fontId="32" fillId="14" borderId="3" xfId="0" applyFont="1" applyFill="1" applyBorder="1" applyAlignment="1">
      <alignment horizontal="center" vertical="center" wrapText="1"/>
    </xf>
    <xf numFmtId="0" fontId="24" fillId="0" borderId="0" xfId="0" applyFont="1" applyAlignment="1">
      <alignment horizontal="left" vertical="center"/>
    </xf>
    <xf numFmtId="0" fontId="25" fillId="0" borderId="0" xfId="0" applyFont="1" applyAlignment="1">
      <alignment horizontal="left" vertical="center"/>
    </xf>
    <xf numFmtId="0" fontId="0" fillId="0" borderId="0" xfId="0" applyAlignment="1">
      <alignment horizontal="left" vertical="center"/>
    </xf>
    <xf numFmtId="0" fontId="1" fillId="0" borderId="2" xfId="0" applyFont="1" applyBorder="1" applyAlignment="1">
      <alignment horizontal="center"/>
    </xf>
    <xf numFmtId="0" fontId="32" fillId="18" borderId="4" xfId="0" applyFont="1" applyFill="1" applyBorder="1" applyAlignment="1">
      <alignment horizontal="center" vertical="center" wrapText="1"/>
    </xf>
    <xf numFmtId="0" fontId="43" fillId="0" borderId="9" xfId="0" applyFont="1" applyBorder="1" applyAlignment="1">
      <alignment horizontal="center" vertical="center"/>
    </xf>
    <xf numFmtId="0" fontId="43" fillId="0" borderId="8" xfId="0" applyFont="1" applyBorder="1" applyAlignment="1">
      <alignment horizontal="center" vertical="center"/>
    </xf>
    <xf numFmtId="0" fontId="43" fillId="0" borderId="10" xfId="0" applyFont="1" applyBorder="1" applyAlignment="1">
      <alignment horizontal="center" vertical="center"/>
    </xf>
    <xf numFmtId="0" fontId="27" fillId="0" borderId="4" xfId="4" applyFont="1" applyBorder="1" applyAlignment="1">
      <alignment horizontal="center" vertical="center"/>
    </xf>
    <xf numFmtId="4" fontId="27" fillId="0" borderId="4" xfId="4" applyNumberFormat="1" applyFont="1" applyBorder="1" applyAlignment="1">
      <alignment horizontal="center"/>
    </xf>
    <xf numFmtId="0" fontId="9" fillId="0" borderId="4" xfId="2" applyFont="1" applyBorder="1" applyAlignment="1">
      <alignment horizontal="left" vertical="center" wrapText="1"/>
    </xf>
    <xf numFmtId="0" fontId="10" fillId="4" borderId="4" xfId="2" applyFont="1" applyFill="1" applyBorder="1" applyAlignment="1">
      <alignment horizontal="center" vertical="center" wrapText="1"/>
    </xf>
    <xf numFmtId="0" fontId="24" fillId="0" borderId="4" xfId="4" applyFont="1" applyBorder="1" applyAlignment="1">
      <alignment horizontal="left" vertical="center"/>
    </xf>
    <xf numFmtId="4" fontId="27" fillId="0" borderId="4" xfId="4" applyNumberFormat="1" applyFont="1" applyBorder="1" applyAlignment="1">
      <alignment horizontal="center" vertical="center"/>
    </xf>
    <xf numFmtId="4" fontId="24" fillId="0" borderId="4" xfId="4" applyNumberFormat="1" applyFont="1" applyBorder="1" applyAlignment="1">
      <alignment horizontal="center" vertical="center"/>
    </xf>
    <xf numFmtId="0" fontId="24" fillId="0" borderId="4" xfId="4" applyFont="1" applyBorder="1" applyAlignment="1">
      <alignment horizontal="center" vertical="center"/>
    </xf>
    <xf numFmtId="165" fontId="28" fillId="0" borderId="4" xfId="4" applyNumberFormat="1" applyFont="1" applyBorder="1" applyAlignment="1">
      <alignment horizontal="left" vertical="center" wrapText="1"/>
    </xf>
    <xf numFmtId="0" fontId="28" fillId="0" borderId="4" xfId="4" applyFont="1" applyBorder="1" applyAlignment="1">
      <alignment horizontal="left" vertical="center" wrapText="1"/>
    </xf>
    <xf numFmtId="4" fontId="28" fillId="0" borderId="4" xfId="4" applyNumberFormat="1" applyFont="1" applyBorder="1" applyAlignment="1">
      <alignment horizontal="center" vertical="center" wrapText="1"/>
    </xf>
    <xf numFmtId="4" fontId="27" fillId="0" borderId="4" xfId="4" applyNumberFormat="1" applyFont="1" applyBorder="1" applyAlignment="1">
      <alignment horizontal="center" vertical="center" wrapText="1"/>
    </xf>
    <xf numFmtId="165" fontId="27" fillId="0" borderId="4" xfId="4" applyNumberFormat="1" applyFont="1" applyBorder="1" applyAlignment="1">
      <alignment horizontal="center" vertical="center" wrapText="1"/>
    </xf>
    <xf numFmtId="0" fontId="25" fillId="0" borderId="4" xfId="4" applyFont="1" applyBorder="1" applyAlignment="1">
      <alignment horizontal="center" vertical="center"/>
    </xf>
    <xf numFmtId="0" fontId="28" fillId="0" borderId="1" xfId="4" applyFont="1" applyBorder="1" applyAlignment="1">
      <alignment horizontal="left" vertical="center"/>
    </xf>
    <xf numFmtId="0" fontId="28" fillId="0" borderId="2" xfId="4" applyFont="1" applyBorder="1" applyAlignment="1">
      <alignment horizontal="left" vertical="center"/>
    </xf>
    <xf numFmtId="0" fontId="28" fillId="0" borderId="3" xfId="4" applyFont="1" applyBorder="1" applyAlignment="1">
      <alignment horizontal="left" vertical="center"/>
    </xf>
    <xf numFmtId="0" fontId="27" fillId="12" borderId="4" xfId="4" applyFont="1" applyFill="1" applyBorder="1" applyAlignment="1">
      <alignment horizontal="center" vertical="center" wrapText="1"/>
    </xf>
    <xf numFmtId="0" fontId="24" fillId="0" borderId="4" xfId="2" applyFont="1" applyBorder="1" applyAlignment="1">
      <alignment horizontal="left" vertical="center"/>
    </xf>
    <xf numFmtId="165" fontId="36" fillId="0" borderId="4" xfId="0" applyNumberFormat="1" applyFont="1" applyBorder="1" applyAlignment="1">
      <alignment horizontal="center" vertical="center"/>
    </xf>
    <xf numFmtId="0" fontId="28" fillId="0" borderId="4" xfId="4" applyFont="1" applyBorder="1" applyAlignment="1">
      <alignment horizontal="center"/>
    </xf>
    <xf numFmtId="0" fontId="28" fillId="0" borderId="4" xfId="4" applyFont="1" applyBorder="1" applyAlignment="1">
      <alignment horizontal="center" vertical="center"/>
    </xf>
    <xf numFmtId="0" fontId="27" fillId="0" borderId="4" xfId="4" applyFont="1" applyBorder="1" applyAlignment="1">
      <alignment horizontal="center" vertical="center" wrapText="1"/>
    </xf>
    <xf numFmtId="0" fontId="26" fillId="0" borderId="4" xfId="2" applyFont="1" applyBorder="1" applyAlignment="1">
      <alignment horizontal="center" vertical="center" wrapText="1"/>
    </xf>
    <xf numFmtId="0" fontId="24" fillId="0" borderId="4" xfId="4" applyFont="1" applyBorder="1" applyAlignment="1">
      <alignment horizontal="center" vertical="center" wrapText="1"/>
    </xf>
    <xf numFmtId="0" fontId="36" fillId="10" borderId="4" xfId="0" applyFont="1" applyFill="1" applyBorder="1" applyAlignment="1">
      <alignment horizontal="center" vertical="center"/>
    </xf>
    <xf numFmtId="0" fontId="0" fillId="10" borderId="4" xfId="0" applyFill="1" applyBorder="1" applyAlignment="1">
      <alignment horizontal="center" vertical="center"/>
    </xf>
    <xf numFmtId="0" fontId="0" fillId="10" borderId="1" xfId="0" applyFill="1" applyBorder="1" applyAlignment="1">
      <alignment horizontal="center" vertical="center"/>
    </xf>
    <xf numFmtId="0" fontId="0" fillId="10" borderId="3" xfId="0" applyFill="1" applyBorder="1" applyAlignment="1">
      <alignment horizontal="center" vertical="center"/>
    </xf>
    <xf numFmtId="0" fontId="0" fillId="10" borderId="4" xfId="0" applyFill="1" applyBorder="1" applyAlignment="1">
      <alignment horizontal="center" vertical="center" wrapText="1"/>
    </xf>
    <xf numFmtId="0" fontId="36" fillId="10" borderId="1" xfId="0" applyFont="1" applyFill="1" applyBorder="1" applyAlignment="1">
      <alignment horizontal="center" vertical="center"/>
    </xf>
    <xf numFmtId="0" fontId="36" fillId="10" borderId="2" xfId="0" applyFont="1" applyFill="1" applyBorder="1" applyAlignment="1">
      <alignment horizontal="center" vertical="center"/>
    </xf>
    <xf numFmtId="0" fontId="36" fillId="10" borderId="3" xfId="0" applyFont="1" applyFill="1" applyBorder="1" applyAlignment="1">
      <alignment horizontal="center" vertical="center"/>
    </xf>
    <xf numFmtId="165" fontId="0" fillId="10" borderId="5" xfId="0" applyNumberFormat="1" applyFill="1" applyBorder="1" applyAlignment="1">
      <alignment horizontal="center" vertical="center"/>
    </xf>
    <xf numFmtId="165" fontId="0" fillId="10" borderId="6" xfId="0" applyNumberFormat="1" applyFill="1" applyBorder="1" applyAlignment="1">
      <alignment horizontal="center" vertical="center"/>
    </xf>
    <xf numFmtId="165" fontId="36" fillId="10" borderId="5" xfId="0" applyNumberFormat="1" applyFont="1" applyFill="1" applyBorder="1" applyAlignment="1">
      <alignment horizontal="center" vertical="center" wrapText="1"/>
    </xf>
    <xf numFmtId="165" fontId="36" fillId="10" borderId="6" xfId="0" applyNumberFormat="1" applyFont="1" applyFill="1" applyBorder="1" applyAlignment="1">
      <alignment horizontal="center" vertical="center" wrapText="1"/>
    </xf>
    <xf numFmtId="0" fontId="0" fillId="0" borderId="7" xfId="0" applyBorder="1" applyAlignment="1">
      <alignment horizontal="center"/>
    </xf>
    <xf numFmtId="0" fontId="37" fillId="10" borderId="4" xfId="0" applyFont="1" applyFill="1" applyBorder="1" applyAlignment="1">
      <alignment horizontal="center" vertical="center"/>
    </xf>
    <xf numFmtId="0" fontId="38" fillId="10" borderId="9" xfId="0" applyFont="1" applyFill="1" applyBorder="1" applyAlignment="1">
      <alignment horizontal="center" vertical="center" wrapText="1"/>
    </xf>
    <xf numFmtId="0" fontId="38" fillId="10" borderId="12" xfId="0" applyFont="1" applyFill="1" applyBorder="1" applyAlignment="1">
      <alignment horizontal="center" vertical="center" wrapText="1"/>
    </xf>
    <xf numFmtId="0" fontId="38" fillId="10" borderId="1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6" fillId="10" borderId="4" xfId="0" applyFont="1" applyFill="1" applyBorder="1" applyAlignment="1">
      <alignment horizontal="left" vertical="center" wrapText="1"/>
    </xf>
    <xf numFmtId="0" fontId="0" fillId="0" borderId="4" xfId="0" applyBorder="1" applyAlignment="1">
      <alignment horizontal="center" vertical="center"/>
    </xf>
    <xf numFmtId="0" fontId="36" fillId="0" borderId="4" xfId="0"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45" fillId="0" borderId="1" xfId="0" applyFont="1" applyBorder="1" applyAlignment="1">
      <alignment horizontal="center" vertical="center"/>
    </xf>
    <xf numFmtId="0" fontId="45" fillId="0" borderId="2" xfId="0" applyFont="1" applyBorder="1" applyAlignment="1">
      <alignment horizontal="center" vertical="center"/>
    </xf>
    <xf numFmtId="0" fontId="45" fillId="0" borderId="3" xfId="0" applyFont="1" applyBorder="1" applyAlignment="1">
      <alignment horizontal="center" vertical="center"/>
    </xf>
    <xf numFmtId="0" fontId="45" fillId="0" borderId="4" xfId="0" applyFont="1" applyBorder="1" applyAlignment="1">
      <alignment horizontal="center" vertical="center"/>
    </xf>
    <xf numFmtId="0" fontId="45" fillId="0" borderId="4" xfId="0" applyFont="1" applyBorder="1" applyAlignment="1">
      <alignment horizontal="center"/>
    </xf>
    <xf numFmtId="0" fontId="45" fillId="19" borderId="1" xfId="0" applyFont="1" applyFill="1" applyBorder="1" applyAlignment="1">
      <alignment horizontal="center" vertical="center"/>
    </xf>
    <xf numFmtId="0" fontId="45" fillId="19" borderId="2" xfId="0" applyFont="1" applyFill="1" applyBorder="1" applyAlignment="1">
      <alignment horizontal="center" vertical="center"/>
    </xf>
    <xf numFmtId="0" fontId="45" fillId="19" borderId="3" xfId="0" applyFont="1" applyFill="1" applyBorder="1" applyAlignment="1">
      <alignment horizontal="center" vertical="center"/>
    </xf>
    <xf numFmtId="0" fontId="45" fillId="19" borderId="14" xfId="0" applyFont="1" applyFill="1" applyBorder="1" applyAlignment="1">
      <alignment horizontal="center"/>
    </xf>
    <xf numFmtId="0" fontId="45" fillId="19" borderId="7" xfId="0" applyFont="1" applyFill="1" applyBorder="1" applyAlignment="1">
      <alignment horizontal="center"/>
    </xf>
    <xf numFmtId="0" fontId="45" fillId="19" borderId="11" xfId="0" applyFont="1" applyFill="1" applyBorder="1" applyAlignment="1">
      <alignment horizontal="center"/>
    </xf>
    <xf numFmtId="0" fontId="45" fillId="19" borderId="2" xfId="0" applyFont="1" applyFill="1" applyBorder="1" applyAlignment="1">
      <alignment horizontal="center"/>
    </xf>
    <xf numFmtId="0" fontId="45" fillId="19" borderId="3" xfId="0" applyFont="1" applyFill="1" applyBorder="1" applyAlignment="1">
      <alignment horizontal="center"/>
    </xf>
    <xf numFmtId="0" fontId="45" fillId="19" borderId="4" xfId="0" applyFont="1" applyFill="1" applyBorder="1" applyAlignment="1">
      <alignment horizontal="center" vertical="center" wrapText="1"/>
    </xf>
    <xf numFmtId="0" fontId="45" fillId="19" borderId="1" xfId="0" applyFont="1" applyFill="1" applyBorder="1" applyAlignment="1">
      <alignment horizontal="center" vertical="center" wrapText="1"/>
    </xf>
    <xf numFmtId="0" fontId="45" fillId="19" borderId="3" xfId="0" applyFont="1" applyFill="1" applyBorder="1" applyAlignment="1">
      <alignment horizontal="center" vertical="center" wrapText="1"/>
    </xf>
  </cellXfs>
  <cellStyles count="6">
    <cellStyle name="Moeda" xfId="5" builtinId="4"/>
    <cellStyle name="Normal" xfId="0" builtinId="0"/>
    <cellStyle name="Normal 2" xfId="2" xr:uid="{00000000-0005-0000-0000-000002000000}"/>
    <cellStyle name="Normal 3" xfId="4" xr:uid="{00000000-0005-0000-0000-000003000000}"/>
    <cellStyle name="Porcentagem" xfId="3" builtinId="5"/>
    <cellStyle name="Vírgula" xfId="1" builtinId="3"/>
  </cellStyles>
  <dxfs count="0"/>
  <tableStyles count="0" defaultTableStyle="TableStyleMedium2" defaultPivotStyle="PivotStyleLight16"/>
  <colors>
    <mruColors>
      <color rgb="FFD4AECF"/>
      <color rgb="FF99DFE9"/>
      <color rgb="FFFFFF99"/>
      <color rgb="FFA2DA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GABINETE\Termo%20de%20Referencia\TR%20Diversos%202019\TR%20Manuten&#231;&#227;o%20Ar%20Condicionado\PLANLHAS\Planilha%20Manuten&#231;&#227;o%20Ar%20Condicionado%202019%20(Salvo%20automaticamen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ação Mat. Consumo Repos. (2"/>
      <sheetName val="Mat. Dimerização"/>
      <sheetName val="Eng. Mecânico"/>
      <sheetName val="Tec. Segurança "/>
      <sheetName val="Encarregado de Manutenção AC"/>
      <sheetName val="Tec. Mecânico AC"/>
      <sheetName val="Auxiliar Técnico AC"/>
      <sheetName val="Materiais Pesquisa"/>
      <sheetName val="Serviços Especializado Pesquisa"/>
      <sheetName val="Serviços Especializado Consolid"/>
      <sheetName val="Ferramentas-Equips Pesquisa "/>
      <sheetName val=" EPI Pesquisa"/>
      <sheetName val=" Uniformes Pesquisa"/>
      <sheetName val="Uniformes Consolidada"/>
      <sheetName val="Resumo Geral (MO+Mat.)"/>
      <sheetName val="Autorização de Materiais"/>
      <sheetName val="Pesquisa MO x Orgãos Publicos"/>
      <sheetName val="Form. Relatório Manut. Corre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2:G158"/>
  <sheetViews>
    <sheetView topLeftCell="A147" zoomScale="140" zoomScaleNormal="140" workbookViewId="0">
      <selection activeCell="D172" sqref="D172"/>
    </sheetView>
  </sheetViews>
  <sheetFormatPr defaultColWidth="9.140625" defaultRowHeight="15" x14ac:dyDescent="0.25"/>
  <cols>
    <col min="1" max="1" width="6.140625" style="3" customWidth="1"/>
    <col min="2" max="5" width="15.7109375" style="3" customWidth="1"/>
    <col min="6" max="7" width="12.7109375" style="3" customWidth="1"/>
    <col min="8" max="16384" width="9.140625" style="3"/>
  </cols>
  <sheetData>
    <row r="2" spans="1:7" x14ac:dyDescent="0.25">
      <c r="A2" s="212" t="s">
        <v>0</v>
      </c>
      <c r="B2" s="212"/>
      <c r="C2" s="212"/>
      <c r="D2" s="212"/>
      <c r="E2" s="212"/>
      <c r="F2" s="212"/>
      <c r="G2" s="212"/>
    </row>
    <row r="3" spans="1:7" x14ac:dyDescent="0.25">
      <c r="A3" s="212" t="s">
        <v>1</v>
      </c>
      <c r="B3" s="212"/>
      <c r="C3" s="212"/>
      <c r="D3" s="212"/>
      <c r="E3" s="212"/>
      <c r="F3" s="212"/>
      <c r="G3" s="212"/>
    </row>
    <row r="4" spans="1:7" x14ac:dyDescent="0.25">
      <c r="A4" s="212" t="s">
        <v>2</v>
      </c>
      <c r="B4" s="212"/>
      <c r="C4" s="212"/>
      <c r="D4" s="212"/>
      <c r="E4" s="212"/>
      <c r="F4" s="212"/>
      <c r="G4" s="212"/>
    </row>
    <row r="5" spans="1:7" x14ac:dyDescent="0.25">
      <c r="A5" s="212" t="s">
        <v>3</v>
      </c>
      <c r="B5" s="212"/>
      <c r="C5" s="212"/>
      <c r="D5" s="212"/>
      <c r="E5" s="212"/>
      <c r="F5" s="212"/>
      <c r="G5" s="212"/>
    </row>
    <row r="6" spans="1:7" x14ac:dyDescent="0.25">
      <c r="A6" s="212" t="s">
        <v>4</v>
      </c>
      <c r="B6" s="212"/>
      <c r="C6" s="212"/>
      <c r="D6" s="212"/>
      <c r="E6" s="212"/>
      <c r="F6" s="212"/>
      <c r="G6" s="212"/>
    </row>
    <row r="7" spans="1:7" x14ac:dyDescent="0.25">
      <c r="A7" s="208"/>
      <c r="B7" s="208"/>
      <c r="C7" s="208"/>
      <c r="D7" s="208"/>
      <c r="E7" s="208"/>
      <c r="F7" s="208"/>
      <c r="G7" s="208"/>
    </row>
    <row r="8" spans="1:7" x14ac:dyDescent="0.25">
      <c r="A8" s="204"/>
      <c r="B8" s="204"/>
      <c r="C8" s="204"/>
      <c r="D8" s="204"/>
      <c r="E8" s="204"/>
      <c r="F8" s="204"/>
      <c r="G8" s="204"/>
    </row>
    <row r="9" spans="1:7" ht="88.9" customHeight="1" x14ac:dyDescent="0.25">
      <c r="A9" s="209" t="s">
        <v>325</v>
      </c>
      <c r="B9" s="210"/>
      <c r="C9" s="210"/>
      <c r="D9" s="210"/>
      <c r="E9" s="210"/>
      <c r="F9" s="210"/>
      <c r="G9" s="211"/>
    </row>
    <row r="10" spans="1:7" ht="32.25" customHeight="1" x14ac:dyDescent="0.25">
      <c r="A10" s="205" t="s">
        <v>28</v>
      </c>
      <c r="B10" s="206"/>
      <c r="C10" s="206"/>
      <c r="D10" s="206"/>
      <c r="E10" s="206"/>
      <c r="F10" s="206"/>
      <c r="G10" s="207"/>
    </row>
    <row r="11" spans="1:7" x14ac:dyDescent="0.25">
      <c r="A11" s="4"/>
      <c r="B11" s="5"/>
      <c r="C11" s="5"/>
      <c r="D11" s="5"/>
      <c r="E11" s="5"/>
      <c r="F11" s="5"/>
      <c r="G11" s="6"/>
    </row>
    <row r="12" spans="1:7" x14ac:dyDescent="0.25">
      <c r="A12" s="200" t="s">
        <v>122</v>
      </c>
      <c r="B12" s="201"/>
      <c r="C12" s="201"/>
      <c r="D12" s="201"/>
      <c r="E12" s="201"/>
      <c r="F12" s="201"/>
      <c r="G12" s="202"/>
    </row>
    <row r="13" spans="1:7" x14ac:dyDescent="0.25">
      <c r="A13" s="200" t="s">
        <v>123</v>
      </c>
      <c r="B13" s="201"/>
      <c r="C13" s="201"/>
      <c r="D13" s="201"/>
      <c r="E13" s="201"/>
      <c r="F13" s="201"/>
      <c r="G13" s="202"/>
    </row>
    <row r="14" spans="1:7" x14ac:dyDescent="0.25">
      <c r="A14" s="203" t="s">
        <v>29</v>
      </c>
      <c r="B14" s="203"/>
      <c r="C14" s="203"/>
      <c r="D14" s="203"/>
      <c r="E14" s="203"/>
      <c r="F14" s="203"/>
      <c r="G14" s="203"/>
    </row>
    <row r="15" spans="1:7" x14ac:dyDescent="0.25">
      <c r="A15" s="204"/>
      <c r="B15" s="204"/>
      <c r="C15" s="204"/>
      <c r="D15" s="204"/>
      <c r="E15" s="204"/>
      <c r="F15" s="204"/>
      <c r="G15" s="204"/>
    </row>
    <row r="16" spans="1:7" x14ac:dyDescent="0.25">
      <c r="A16" s="205" t="s">
        <v>30</v>
      </c>
      <c r="B16" s="206"/>
      <c r="C16" s="206"/>
      <c r="D16" s="206"/>
      <c r="E16" s="206"/>
      <c r="F16" s="206"/>
      <c r="G16" s="207"/>
    </row>
    <row r="17" spans="1:7" x14ac:dyDescent="0.25">
      <c r="A17" s="7" t="s">
        <v>31</v>
      </c>
      <c r="B17" s="188" t="s">
        <v>32</v>
      </c>
      <c r="C17" s="189"/>
      <c r="D17" s="189"/>
      <c r="E17" s="190"/>
      <c r="F17" s="191">
        <f ca="1">NOW()</f>
        <v>45383.743923379632</v>
      </c>
      <c r="G17" s="192"/>
    </row>
    <row r="18" spans="1:7" x14ac:dyDescent="0.25">
      <c r="A18" s="7" t="s">
        <v>33</v>
      </c>
      <c r="B18" s="188" t="s">
        <v>34</v>
      </c>
      <c r="C18" s="189"/>
      <c r="D18" s="189"/>
      <c r="E18" s="190"/>
      <c r="F18" s="193" t="s">
        <v>35</v>
      </c>
      <c r="G18" s="194"/>
    </row>
    <row r="19" spans="1:7" ht="29.25" customHeight="1" x14ac:dyDescent="0.25">
      <c r="A19" s="8" t="s">
        <v>36</v>
      </c>
      <c r="B19" s="195" t="s">
        <v>37</v>
      </c>
      <c r="C19" s="196"/>
      <c r="D19" s="196"/>
      <c r="E19" s="197"/>
      <c r="F19" s="198" t="s">
        <v>431</v>
      </c>
      <c r="G19" s="199"/>
    </row>
    <row r="20" spans="1:7" ht="15.75" x14ac:dyDescent="0.25">
      <c r="A20" s="7" t="s">
        <v>38</v>
      </c>
      <c r="B20" s="188" t="s">
        <v>124</v>
      </c>
      <c r="C20" s="189"/>
      <c r="D20" s="189"/>
      <c r="E20" s="190"/>
      <c r="F20" s="218">
        <v>30</v>
      </c>
      <c r="G20" s="219"/>
    </row>
    <row r="21" spans="1:7" x14ac:dyDescent="0.25">
      <c r="A21" s="9"/>
      <c r="B21" s="9"/>
      <c r="C21" s="9"/>
      <c r="D21" s="9"/>
      <c r="E21" s="9"/>
      <c r="F21" s="9"/>
      <c r="G21" s="9"/>
    </row>
    <row r="22" spans="1:7" x14ac:dyDescent="0.25">
      <c r="A22" s="205" t="s">
        <v>39</v>
      </c>
      <c r="B22" s="206"/>
      <c r="C22" s="206"/>
      <c r="D22" s="206"/>
      <c r="E22" s="206"/>
      <c r="F22" s="206"/>
      <c r="G22" s="207"/>
    </row>
    <row r="23" spans="1:7" ht="50.25" customHeight="1" x14ac:dyDescent="0.25">
      <c r="A23" s="220" t="s">
        <v>40</v>
      </c>
      <c r="B23" s="220"/>
      <c r="C23" s="220"/>
      <c r="D23" s="220"/>
      <c r="E23" s="4" t="s">
        <v>41</v>
      </c>
      <c r="F23" s="221" t="s">
        <v>42</v>
      </c>
      <c r="G23" s="222"/>
    </row>
    <row r="24" spans="1:7" ht="15.75" x14ac:dyDescent="0.25">
      <c r="A24" s="223" t="s">
        <v>117</v>
      </c>
      <c r="B24" s="224"/>
      <c r="C24" s="224"/>
      <c r="D24" s="225"/>
      <c r="E24" s="4" t="s">
        <v>43</v>
      </c>
      <c r="F24" s="213">
        <v>1</v>
      </c>
      <c r="G24" s="213"/>
    </row>
    <row r="25" spans="1:7" ht="28.5" customHeight="1" x14ac:dyDescent="0.25">
      <c r="A25" s="214" t="s">
        <v>125</v>
      </c>
      <c r="B25" s="215"/>
      <c r="C25" s="215"/>
      <c r="D25" s="215"/>
      <c r="E25" s="215"/>
      <c r="F25" s="215"/>
      <c r="G25" s="216"/>
    </row>
    <row r="26" spans="1:7" ht="33.75" customHeight="1" x14ac:dyDescent="0.25">
      <c r="A26" s="214" t="s">
        <v>126</v>
      </c>
      <c r="B26" s="215"/>
      <c r="C26" s="215"/>
      <c r="D26" s="215"/>
      <c r="E26" s="215"/>
      <c r="F26" s="215"/>
      <c r="G26" s="216"/>
    </row>
    <row r="27" spans="1:7" x14ac:dyDescent="0.25">
      <c r="A27" s="10"/>
      <c r="B27" s="11"/>
      <c r="C27" s="11"/>
      <c r="D27" s="11"/>
      <c r="E27" s="11"/>
      <c r="F27" s="11"/>
      <c r="G27" s="12"/>
    </row>
    <row r="28" spans="1:7" x14ac:dyDescent="0.25">
      <c r="A28" s="217" t="s">
        <v>44</v>
      </c>
      <c r="B28" s="217"/>
      <c r="C28" s="217"/>
      <c r="D28" s="217"/>
      <c r="E28" s="217"/>
      <c r="F28" s="217"/>
      <c r="G28" s="217"/>
    </row>
    <row r="29" spans="1:7" x14ac:dyDescent="0.25">
      <c r="A29" s="237" t="s">
        <v>45</v>
      </c>
      <c r="B29" s="237"/>
      <c r="C29" s="237"/>
      <c r="D29" s="237"/>
      <c r="E29" s="237"/>
      <c r="F29" s="237"/>
      <c r="G29" s="237"/>
    </row>
    <row r="30" spans="1:7" x14ac:dyDescent="0.25">
      <c r="A30" s="237" t="s">
        <v>46</v>
      </c>
      <c r="B30" s="237"/>
      <c r="C30" s="237"/>
      <c r="D30" s="237"/>
      <c r="E30" s="237"/>
      <c r="F30" s="237"/>
      <c r="G30" s="237"/>
    </row>
    <row r="31" spans="1:7" x14ac:dyDescent="0.25">
      <c r="A31" s="7">
        <v>1</v>
      </c>
      <c r="B31" s="231" t="s">
        <v>47</v>
      </c>
      <c r="C31" s="232"/>
      <c r="D31" s="232"/>
      <c r="E31" s="233"/>
      <c r="F31" s="234" t="str">
        <f>A24</f>
        <v>Encarregado</v>
      </c>
      <c r="G31" s="235"/>
    </row>
    <row r="32" spans="1:7" x14ac:dyDescent="0.25">
      <c r="A32" s="7">
        <v>2</v>
      </c>
      <c r="B32" s="231" t="s">
        <v>48</v>
      </c>
      <c r="C32" s="232"/>
      <c r="D32" s="232"/>
      <c r="E32" s="233"/>
      <c r="F32" s="234" t="s">
        <v>438</v>
      </c>
      <c r="G32" s="235"/>
    </row>
    <row r="33" spans="1:7" x14ac:dyDescent="0.25">
      <c r="A33" s="8">
        <v>3</v>
      </c>
      <c r="B33" s="226" t="s">
        <v>432</v>
      </c>
      <c r="C33" s="227"/>
      <c r="D33" s="227"/>
      <c r="E33" s="228"/>
      <c r="F33" s="229">
        <v>4019.36</v>
      </c>
      <c r="G33" s="230"/>
    </row>
    <row r="34" spans="1:7" x14ac:dyDescent="0.25">
      <c r="A34" s="7">
        <v>4</v>
      </c>
      <c r="B34" s="231" t="s">
        <v>49</v>
      </c>
      <c r="C34" s="232"/>
      <c r="D34" s="232"/>
      <c r="E34" s="233"/>
      <c r="F34" s="234" t="str">
        <f>A24</f>
        <v>Encarregado</v>
      </c>
      <c r="G34" s="235"/>
    </row>
    <row r="35" spans="1:7" ht="17.45" customHeight="1" x14ac:dyDescent="0.25">
      <c r="A35" s="7">
        <v>5</v>
      </c>
      <c r="B35" s="236" t="s">
        <v>329</v>
      </c>
      <c r="C35" s="236"/>
      <c r="D35" s="236"/>
      <c r="E35" s="236"/>
      <c r="F35" s="191">
        <v>45301</v>
      </c>
      <c r="G35" s="194"/>
    </row>
    <row r="36" spans="1:7" x14ac:dyDescent="0.25">
      <c r="A36" s="193"/>
      <c r="B36" s="240"/>
      <c r="C36" s="240"/>
      <c r="D36" s="240"/>
      <c r="E36" s="240"/>
      <c r="F36" s="240"/>
      <c r="G36" s="194"/>
    </row>
    <row r="37" spans="1:7" x14ac:dyDescent="0.25">
      <c r="A37" s="13"/>
      <c r="B37" s="241" t="s">
        <v>127</v>
      </c>
      <c r="C37" s="241"/>
      <c r="D37" s="241"/>
      <c r="E37" s="241"/>
      <c r="F37" s="14"/>
      <c r="G37" s="15"/>
    </row>
    <row r="38" spans="1:7" x14ac:dyDescent="0.25">
      <c r="A38" s="7">
        <v>1</v>
      </c>
      <c r="B38" s="234" t="s">
        <v>50</v>
      </c>
      <c r="C38" s="242"/>
      <c r="D38" s="242"/>
      <c r="E38" s="235"/>
      <c r="F38" s="7" t="s">
        <v>51</v>
      </c>
      <c r="G38" s="7" t="s">
        <v>8</v>
      </c>
    </row>
    <row r="39" spans="1:7" x14ac:dyDescent="0.25">
      <c r="A39" s="8" t="s">
        <v>31</v>
      </c>
      <c r="B39" s="243" t="s">
        <v>52</v>
      </c>
      <c r="C39" s="232"/>
      <c r="D39" s="232"/>
      <c r="E39" s="233"/>
      <c r="F39" s="16">
        <v>1</v>
      </c>
      <c r="G39" s="17">
        <f>F33</f>
        <v>4019.36</v>
      </c>
    </row>
    <row r="40" spans="1:7" x14ac:dyDescent="0.25">
      <c r="A40" s="7" t="s">
        <v>33</v>
      </c>
      <c r="B40" s="231" t="s">
        <v>128</v>
      </c>
      <c r="C40" s="232"/>
      <c r="D40" s="232"/>
      <c r="E40" s="233"/>
      <c r="F40" s="18">
        <v>0</v>
      </c>
      <c r="G40" s="19">
        <f>G39*F40</f>
        <v>0</v>
      </c>
    </row>
    <row r="41" spans="1:7" x14ac:dyDescent="0.25">
      <c r="A41" s="7" t="s">
        <v>36</v>
      </c>
      <c r="B41" s="231" t="s">
        <v>53</v>
      </c>
      <c r="C41" s="232"/>
      <c r="D41" s="232"/>
      <c r="E41" s="233"/>
      <c r="F41" s="20">
        <v>0</v>
      </c>
      <c r="G41" s="21">
        <f>G40*F41</f>
        <v>0</v>
      </c>
    </row>
    <row r="42" spans="1:7" x14ac:dyDescent="0.25">
      <c r="A42" s="7" t="s">
        <v>38</v>
      </c>
      <c r="B42" s="231" t="s">
        <v>54</v>
      </c>
      <c r="C42" s="232"/>
      <c r="D42" s="232"/>
      <c r="E42" s="233"/>
      <c r="F42" s="20">
        <v>0</v>
      </c>
      <c r="G42" s="21">
        <f>G41*F42</f>
        <v>0</v>
      </c>
    </row>
    <row r="43" spans="1:7" x14ac:dyDescent="0.25">
      <c r="A43" s="7" t="s">
        <v>55</v>
      </c>
      <c r="B43" s="231" t="s">
        <v>56</v>
      </c>
      <c r="C43" s="232"/>
      <c r="D43" s="232"/>
      <c r="E43" s="233"/>
      <c r="F43" s="20">
        <v>0</v>
      </c>
      <c r="G43" s="21">
        <f>G42*F43</f>
        <v>0</v>
      </c>
    </row>
    <row r="44" spans="1:7" x14ac:dyDescent="0.25">
      <c r="A44" s="7" t="s">
        <v>57</v>
      </c>
      <c r="B44" s="231" t="s">
        <v>58</v>
      </c>
      <c r="C44" s="232"/>
      <c r="D44" s="232"/>
      <c r="E44" s="233"/>
      <c r="F44" s="20"/>
      <c r="G44" s="21"/>
    </row>
    <row r="45" spans="1:7" x14ac:dyDescent="0.25">
      <c r="A45" s="22"/>
      <c r="B45" s="238" t="s">
        <v>59</v>
      </c>
      <c r="C45" s="239"/>
      <c r="D45" s="239"/>
      <c r="E45" s="239"/>
      <c r="F45" s="23">
        <f>SUM(F39:F44)</f>
        <v>1</v>
      </c>
      <c r="G45" s="17">
        <f>SUM(G39:G44)</f>
        <v>4019.36</v>
      </c>
    </row>
    <row r="46" spans="1:7" x14ac:dyDescent="0.25">
      <c r="A46" s="245" t="s">
        <v>129</v>
      </c>
      <c r="B46" s="246"/>
      <c r="C46" s="246"/>
      <c r="D46" s="246"/>
      <c r="E46" s="246"/>
      <c r="F46" s="246"/>
      <c r="G46" s="247"/>
    </row>
    <row r="47" spans="1:7" x14ac:dyDescent="0.25">
      <c r="A47" s="193"/>
      <c r="B47" s="240"/>
      <c r="C47" s="240"/>
      <c r="D47" s="240"/>
      <c r="E47" s="240"/>
      <c r="F47" s="240"/>
      <c r="G47" s="194"/>
    </row>
    <row r="48" spans="1:7" x14ac:dyDescent="0.25">
      <c r="A48" s="24"/>
      <c r="B48" s="248" t="s">
        <v>60</v>
      </c>
      <c r="C48" s="249"/>
      <c r="D48" s="249"/>
      <c r="E48" s="249"/>
      <c r="F48" s="25"/>
      <c r="G48" s="25"/>
    </row>
    <row r="49" spans="1:7" x14ac:dyDescent="0.25">
      <c r="A49" s="243" t="s">
        <v>61</v>
      </c>
      <c r="B49" s="250"/>
      <c r="C49" s="250"/>
      <c r="D49" s="250"/>
      <c r="E49" s="250"/>
      <c r="F49" s="250"/>
      <c r="G49" s="251"/>
    </row>
    <row r="50" spans="1:7" x14ac:dyDescent="0.25">
      <c r="A50" s="7" t="s">
        <v>62</v>
      </c>
      <c r="B50" s="243" t="s">
        <v>63</v>
      </c>
      <c r="C50" s="250"/>
      <c r="D50" s="250"/>
      <c r="E50" s="250"/>
      <c r="F50" s="251"/>
      <c r="G50" s="7" t="s">
        <v>8</v>
      </c>
    </row>
    <row r="51" spans="1:7" x14ac:dyDescent="0.25">
      <c r="A51" s="7" t="s">
        <v>31</v>
      </c>
      <c r="B51" s="231" t="s">
        <v>64</v>
      </c>
      <c r="C51" s="232"/>
      <c r="D51" s="232"/>
      <c r="E51" s="233"/>
      <c r="F51" s="26">
        <v>8.3299999999999999E-2</v>
      </c>
      <c r="G51" s="21">
        <f>F51*G45</f>
        <v>334.81268799999998</v>
      </c>
    </row>
    <row r="52" spans="1:7" x14ac:dyDescent="0.25">
      <c r="A52" s="7" t="s">
        <v>33</v>
      </c>
      <c r="B52" s="231" t="s">
        <v>65</v>
      </c>
      <c r="C52" s="232"/>
      <c r="D52" s="232"/>
      <c r="E52" s="233"/>
      <c r="F52" s="26">
        <v>0.121</v>
      </c>
      <c r="G52" s="21">
        <f>F52*G45</f>
        <v>486.34255999999999</v>
      </c>
    </row>
    <row r="53" spans="1:7" x14ac:dyDescent="0.25">
      <c r="A53" s="24"/>
      <c r="B53" s="238" t="s">
        <v>21</v>
      </c>
      <c r="C53" s="239"/>
      <c r="D53" s="239"/>
      <c r="E53" s="244"/>
      <c r="F53" s="27">
        <f>SUM(F51:F52)</f>
        <v>0.20429999999999998</v>
      </c>
      <c r="G53" s="17">
        <f>SUM(G51:G52)</f>
        <v>821.15524800000003</v>
      </c>
    </row>
    <row r="54" spans="1:7" ht="28.5" customHeight="1" x14ac:dyDescent="0.25">
      <c r="A54" s="214" t="s">
        <v>130</v>
      </c>
      <c r="B54" s="215"/>
      <c r="C54" s="215"/>
      <c r="D54" s="215"/>
      <c r="E54" s="215"/>
      <c r="F54" s="215"/>
      <c r="G54" s="216"/>
    </row>
    <row r="55" spans="1:7" ht="30" customHeight="1" x14ac:dyDescent="0.25">
      <c r="A55" s="214" t="s">
        <v>131</v>
      </c>
      <c r="B55" s="215"/>
      <c r="C55" s="215"/>
      <c r="D55" s="215"/>
      <c r="E55" s="215"/>
      <c r="F55" s="215"/>
      <c r="G55" s="216"/>
    </row>
    <row r="56" spans="1:7" ht="42.75" customHeight="1" x14ac:dyDescent="0.25">
      <c r="A56" s="252" t="s">
        <v>423</v>
      </c>
      <c r="B56" s="253"/>
      <c r="C56" s="253"/>
      <c r="D56" s="253"/>
      <c r="E56" s="253"/>
      <c r="F56" s="253"/>
      <c r="G56" s="254"/>
    </row>
    <row r="57" spans="1:7" x14ac:dyDescent="0.25">
      <c r="A57" s="28"/>
      <c r="B57" s="29"/>
      <c r="C57" s="29"/>
      <c r="D57" s="29"/>
      <c r="E57" s="29"/>
      <c r="F57" s="29"/>
      <c r="G57" s="30"/>
    </row>
    <row r="58" spans="1:7" ht="31.5" customHeight="1" x14ac:dyDescent="0.25">
      <c r="A58" s="243" t="s">
        <v>66</v>
      </c>
      <c r="B58" s="250"/>
      <c r="C58" s="250"/>
      <c r="D58" s="250"/>
      <c r="E58" s="250"/>
      <c r="F58" s="250"/>
      <c r="G58" s="251"/>
    </row>
    <row r="59" spans="1:7" ht="24" x14ac:dyDescent="0.25">
      <c r="A59" s="7" t="s">
        <v>67</v>
      </c>
      <c r="B59" s="243" t="s">
        <v>68</v>
      </c>
      <c r="C59" s="232"/>
      <c r="D59" s="232"/>
      <c r="E59" s="233"/>
      <c r="F59" s="31" t="s">
        <v>69</v>
      </c>
      <c r="G59" s="7" t="s">
        <v>8</v>
      </c>
    </row>
    <row r="60" spans="1:7" x14ac:dyDescent="0.25">
      <c r="A60" s="7" t="s">
        <v>31</v>
      </c>
      <c r="B60" s="231" t="s">
        <v>70</v>
      </c>
      <c r="C60" s="232"/>
      <c r="D60" s="232"/>
      <c r="E60" s="233"/>
      <c r="F60" s="32">
        <v>0.2</v>
      </c>
      <c r="G60" s="33">
        <f>F60*(G45+G53+G126)</f>
        <v>998.84569977507545</v>
      </c>
    </row>
    <row r="61" spans="1:7" x14ac:dyDescent="0.25">
      <c r="A61" s="7" t="s">
        <v>33</v>
      </c>
      <c r="B61" s="231" t="s">
        <v>71</v>
      </c>
      <c r="C61" s="232"/>
      <c r="D61" s="232"/>
      <c r="E61" s="233"/>
      <c r="F61" s="32">
        <v>2.5000000000000001E-2</v>
      </c>
      <c r="G61" s="33">
        <f>F61*(G45+G53+G126)</f>
        <v>124.85571247188443</v>
      </c>
    </row>
    <row r="62" spans="1:7" x14ac:dyDescent="0.25">
      <c r="A62" s="7" t="s">
        <v>36</v>
      </c>
      <c r="B62" s="231" t="s">
        <v>72</v>
      </c>
      <c r="C62" s="232"/>
      <c r="D62" s="232"/>
      <c r="E62" s="233"/>
      <c r="F62" s="32">
        <v>0.03</v>
      </c>
      <c r="G62" s="33">
        <f>F62*(G45+G53+G126)</f>
        <v>149.82685496626132</v>
      </c>
    </row>
    <row r="63" spans="1:7" x14ac:dyDescent="0.25">
      <c r="A63" s="7" t="s">
        <v>38</v>
      </c>
      <c r="B63" s="231" t="s">
        <v>73</v>
      </c>
      <c r="C63" s="232"/>
      <c r="D63" s="232"/>
      <c r="E63" s="233"/>
      <c r="F63" s="32">
        <v>1.4999999999999999E-2</v>
      </c>
      <c r="G63" s="33">
        <f>F63*(G45+G53+G126)</f>
        <v>74.913427483130661</v>
      </c>
    </row>
    <row r="64" spans="1:7" x14ac:dyDescent="0.25">
      <c r="A64" s="7" t="s">
        <v>55</v>
      </c>
      <c r="B64" s="231" t="s">
        <v>74</v>
      </c>
      <c r="C64" s="232"/>
      <c r="D64" s="232"/>
      <c r="E64" s="233"/>
      <c r="F64" s="32">
        <v>0.01</v>
      </c>
      <c r="G64" s="33">
        <f>F64*(G45+G53+G126)</f>
        <v>49.942284988753777</v>
      </c>
    </row>
    <row r="65" spans="1:7" x14ac:dyDescent="0.25">
      <c r="A65" s="7" t="s">
        <v>57</v>
      </c>
      <c r="B65" s="231" t="s">
        <v>75</v>
      </c>
      <c r="C65" s="232"/>
      <c r="D65" s="232"/>
      <c r="E65" s="233"/>
      <c r="F65" s="32">
        <v>6.0000000000000001E-3</v>
      </c>
      <c r="G65" s="33">
        <f>F65*(G45+G53+G126)</f>
        <v>29.965370993252264</v>
      </c>
    </row>
    <row r="66" spans="1:7" x14ac:dyDescent="0.25">
      <c r="A66" s="7" t="s">
        <v>76</v>
      </c>
      <c r="B66" s="231" t="s">
        <v>77</v>
      </c>
      <c r="C66" s="232"/>
      <c r="D66" s="232"/>
      <c r="E66" s="233"/>
      <c r="F66" s="32">
        <v>2E-3</v>
      </c>
      <c r="G66" s="33">
        <f>F66*(G45+G53+G126)</f>
        <v>9.9884569977507542</v>
      </c>
    </row>
    <row r="67" spans="1:7" x14ac:dyDescent="0.25">
      <c r="A67" s="7" t="s">
        <v>78</v>
      </c>
      <c r="B67" s="231" t="s">
        <v>79</v>
      </c>
      <c r="C67" s="232"/>
      <c r="D67" s="232"/>
      <c r="E67" s="233"/>
      <c r="F67" s="32">
        <v>0.08</v>
      </c>
      <c r="G67" s="33">
        <f>F67*(G45+G53+G126)</f>
        <v>399.53827991003021</v>
      </c>
    </row>
    <row r="68" spans="1:7" x14ac:dyDescent="0.25">
      <c r="A68" s="24"/>
      <c r="B68" s="238" t="s">
        <v>21</v>
      </c>
      <c r="C68" s="239"/>
      <c r="D68" s="239"/>
      <c r="E68" s="244"/>
      <c r="F68" s="27">
        <f>SUM(F60:F67)</f>
        <v>0.36800000000000005</v>
      </c>
      <c r="G68" s="34">
        <f>SUM(G60:G67)</f>
        <v>1837.876087586139</v>
      </c>
    </row>
    <row r="69" spans="1:7" x14ac:dyDescent="0.25">
      <c r="A69" s="214" t="s">
        <v>132</v>
      </c>
      <c r="B69" s="215"/>
      <c r="C69" s="215"/>
      <c r="D69" s="215"/>
      <c r="E69" s="215"/>
      <c r="F69" s="215"/>
      <c r="G69" s="216"/>
    </row>
    <row r="70" spans="1:7" ht="28.5" customHeight="1" x14ac:dyDescent="0.25">
      <c r="A70" s="214" t="s">
        <v>133</v>
      </c>
      <c r="B70" s="215"/>
      <c r="C70" s="215"/>
      <c r="D70" s="215"/>
      <c r="E70" s="215"/>
      <c r="F70" s="215"/>
      <c r="G70" s="216"/>
    </row>
    <row r="71" spans="1:7" ht="22.5" customHeight="1" x14ac:dyDescent="0.25">
      <c r="A71" s="257" t="s">
        <v>80</v>
      </c>
      <c r="B71" s="258"/>
      <c r="C71" s="258"/>
      <c r="D71" s="258"/>
      <c r="E71" s="258"/>
      <c r="F71" s="258"/>
      <c r="G71" s="259"/>
    </row>
    <row r="72" spans="1:7" x14ac:dyDescent="0.25">
      <c r="A72" s="35"/>
      <c r="B72" s="36"/>
      <c r="C72" s="29"/>
      <c r="D72" s="29"/>
      <c r="E72" s="29"/>
      <c r="F72" s="37"/>
      <c r="G72" s="38"/>
    </row>
    <row r="73" spans="1:7" x14ac:dyDescent="0.25">
      <c r="A73" s="243" t="s">
        <v>81</v>
      </c>
      <c r="B73" s="250"/>
      <c r="C73" s="250"/>
      <c r="D73" s="250"/>
      <c r="E73" s="250"/>
      <c r="F73" s="250"/>
      <c r="G73" s="251"/>
    </row>
    <row r="74" spans="1:7" x14ac:dyDescent="0.25">
      <c r="A74" s="7" t="s">
        <v>82</v>
      </c>
      <c r="B74" s="255" t="s">
        <v>83</v>
      </c>
      <c r="C74" s="255"/>
      <c r="D74" s="255"/>
      <c r="E74" s="255"/>
      <c r="F74" s="255"/>
      <c r="G74" s="7" t="s">
        <v>8</v>
      </c>
    </row>
    <row r="75" spans="1:7" ht="41.25" customHeight="1" x14ac:dyDescent="0.25">
      <c r="A75" s="7" t="s">
        <v>31</v>
      </c>
      <c r="B75" s="236" t="s">
        <v>441</v>
      </c>
      <c r="C75" s="236"/>
      <c r="D75" s="236"/>
      <c r="E75" s="236"/>
      <c r="F75" s="236"/>
      <c r="G75" s="21">
        <f>((5.5)*2*22)-6%*G45</f>
        <v>0.83840000000000714</v>
      </c>
    </row>
    <row r="76" spans="1:7" ht="30" customHeight="1" x14ac:dyDescent="0.25">
      <c r="A76" s="7" t="s">
        <v>33</v>
      </c>
      <c r="B76" s="236" t="s">
        <v>430</v>
      </c>
      <c r="C76" s="236"/>
      <c r="D76" s="236"/>
      <c r="E76" s="236"/>
      <c r="F76" s="236"/>
      <c r="G76" s="21">
        <f>42.2*22</f>
        <v>928.40000000000009</v>
      </c>
    </row>
    <row r="77" spans="1:7" x14ac:dyDescent="0.25">
      <c r="A77" s="7" t="s">
        <v>36</v>
      </c>
      <c r="B77" s="256" t="s">
        <v>134</v>
      </c>
      <c r="C77" s="236"/>
      <c r="D77" s="236"/>
      <c r="E77" s="236"/>
      <c r="F77" s="236"/>
      <c r="G77" s="21">
        <v>187.18</v>
      </c>
    </row>
    <row r="78" spans="1:7" x14ac:dyDescent="0.25">
      <c r="A78" s="7" t="s">
        <v>38</v>
      </c>
      <c r="B78" s="256" t="s">
        <v>150</v>
      </c>
      <c r="C78" s="256"/>
      <c r="D78" s="256"/>
      <c r="E78" s="256"/>
      <c r="F78" s="256"/>
      <c r="G78" s="21">
        <v>12.81</v>
      </c>
    </row>
    <row r="79" spans="1:7" x14ac:dyDescent="0.25">
      <c r="A79" s="7" t="s">
        <v>55</v>
      </c>
      <c r="B79" s="256" t="s">
        <v>84</v>
      </c>
      <c r="C79" s="256"/>
      <c r="D79" s="256"/>
      <c r="E79" s="256"/>
      <c r="F79" s="256"/>
      <c r="G79" s="21"/>
    </row>
    <row r="80" spans="1:7" x14ac:dyDescent="0.25">
      <c r="A80" s="7" t="s">
        <v>57</v>
      </c>
      <c r="B80" s="256" t="s">
        <v>151</v>
      </c>
      <c r="C80" s="256"/>
      <c r="D80" s="256"/>
      <c r="E80" s="256"/>
      <c r="F80" s="256"/>
      <c r="G80" s="21">
        <v>3.3</v>
      </c>
    </row>
    <row r="81" spans="1:7" x14ac:dyDescent="0.25">
      <c r="A81" s="22"/>
      <c r="B81" s="238" t="s">
        <v>21</v>
      </c>
      <c r="C81" s="239"/>
      <c r="D81" s="239"/>
      <c r="E81" s="239"/>
      <c r="F81" s="244"/>
      <c r="G81" s="17">
        <f>SUM(G75:G80)</f>
        <v>1132.5283999999999</v>
      </c>
    </row>
    <row r="82" spans="1:7" ht="21" customHeight="1" x14ac:dyDescent="0.25">
      <c r="A82" s="214" t="s">
        <v>135</v>
      </c>
      <c r="B82" s="215"/>
      <c r="C82" s="215"/>
      <c r="D82" s="215"/>
      <c r="E82" s="215"/>
      <c r="F82" s="215"/>
      <c r="G82" s="216"/>
    </row>
    <row r="83" spans="1:7" ht="27" customHeight="1" x14ac:dyDescent="0.25">
      <c r="A83" s="214" t="s">
        <v>136</v>
      </c>
      <c r="B83" s="215"/>
      <c r="C83" s="215"/>
      <c r="D83" s="215"/>
      <c r="E83" s="215"/>
      <c r="F83" s="215"/>
      <c r="G83" s="216"/>
    </row>
    <row r="84" spans="1:7" x14ac:dyDescent="0.25">
      <c r="A84" s="28"/>
      <c r="B84" s="29"/>
      <c r="C84" s="29"/>
      <c r="D84" s="29"/>
      <c r="E84" s="29"/>
      <c r="F84" s="29"/>
      <c r="G84" s="30"/>
    </row>
    <row r="85" spans="1:7" ht="33.75" customHeight="1" x14ac:dyDescent="0.25">
      <c r="A85" s="24"/>
      <c r="B85" s="260" t="s">
        <v>85</v>
      </c>
      <c r="C85" s="260"/>
      <c r="D85" s="260"/>
      <c r="E85" s="260"/>
      <c r="F85" s="260"/>
      <c r="G85" s="39"/>
    </row>
    <row r="86" spans="1:7" x14ac:dyDescent="0.25">
      <c r="A86" s="7">
        <v>2</v>
      </c>
      <c r="B86" s="255" t="s">
        <v>86</v>
      </c>
      <c r="C86" s="255"/>
      <c r="D86" s="255"/>
      <c r="E86" s="255"/>
      <c r="F86" s="255"/>
      <c r="G86" s="7" t="s">
        <v>8</v>
      </c>
    </row>
    <row r="87" spans="1:7" x14ac:dyDescent="0.25">
      <c r="A87" s="7" t="s">
        <v>62</v>
      </c>
      <c r="B87" s="236" t="s">
        <v>87</v>
      </c>
      <c r="C87" s="236"/>
      <c r="D87" s="236"/>
      <c r="E87" s="236"/>
      <c r="F87" s="236"/>
      <c r="G87" s="21">
        <f>G53</f>
        <v>821.15524800000003</v>
      </c>
    </row>
    <row r="88" spans="1:7" x14ac:dyDescent="0.25">
      <c r="A88" s="7" t="s">
        <v>67</v>
      </c>
      <c r="B88" s="236" t="s">
        <v>68</v>
      </c>
      <c r="C88" s="236"/>
      <c r="D88" s="236"/>
      <c r="E88" s="236"/>
      <c r="F88" s="236"/>
      <c r="G88" s="21">
        <f>G68</f>
        <v>1837.876087586139</v>
      </c>
    </row>
    <row r="89" spans="1:7" x14ac:dyDescent="0.25">
      <c r="A89" s="7" t="s">
        <v>82</v>
      </c>
      <c r="B89" s="236" t="s">
        <v>83</v>
      </c>
      <c r="C89" s="236"/>
      <c r="D89" s="236"/>
      <c r="E89" s="236"/>
      <c r="F89" s="236"/>
      <c r="G89" s="21">
        <f>G81</f>
        <v>1132.5283999999999</v>
      </c>
    </row>
    <row r="90" spans="1:7" x14ac:dyDescent="0.25">
      <c r="A90" s="40"/>
      <c r="B90" s="261" t="s">
        <v>21</v>
      </c>
      <c r="C90" s="262"/>
      <c r="D90" s="262"/>
      <c r="E90" s="262"/>
      <c r="F90" s="263"/>
      <c r="G90" s="17">
        <f>SUM(G87:G89)</f>
        <v>3791.5597355861391</v>
      </c>
    </row>
    <row r="91" spans="1:7" x14ac:dyDescent="0.25">
      <c r="A91" s="264"/>
      <c r="B91" s="265"/>
      <c r="C91" s="265"/>
      <c r="D91" s="265"/>
      <c r="E91" s="265"/>
      <c r="F91" s="265"/>
      <c r="G91" s="266"/>
    </row>
    <row r="92" spans="1:7" x14ac:dyDescent="0.25">
      <c r="A92" s="41"/>
      <c r="B92" s="248" t="s">
        <v>88</v>
      </c>
      <c r="C92" s="249"/>
      <c r="D92" s="249"/>
      <c r="E92" s="267"/>
      <c r="F92" s="25"/>
      <c r="G92" s="25"/>
    </row>
    <row r="93" spans="1:7" ht="24" x14ac:dyDescent="0.25">
      <c r="A93" s="7">
        <v>3</v>
      </c>
      <c r="B93" s="234" t="s">
        <v>89</v>
      </c>
      <c r="C93" s="242"/>
      <c r="D93" s="242"/>
      <c r="E93" s="235"/>
      <c r="F93" s="31" t="s">
        <v>69</v>
      </c>
      <c r="G93" s="7" t="s">
        <v>8</v>
      </c>
    </row>
    <row r="94" spans="1:7" ht="37.5" customHeight="1" x14ac:dyDescent="0.25">
      <c r="A94" s="4" t="s">
        <v>31</v>
      </c>
      <c r="B94" s="231" t="s">
        <v>312</v>
      </c>
      <c r="C94" s="232"/>
      <c r="D94" s="232"/>
      <c r="E94" s="233"/>
      <c r="F94" s="42">
        <v>4.1700000000000001E-3</v>
      </c>
      <c r="G94" s="21">
        <f>F94*(G45+G53)</f>
        <v>20.184948584160001</v>
      </c>
    </row>
    <row r="95" spans="1:7" ht="21" customHeight="1" x14ac:dyDescent="0.25">
      <c r="A95" s="4" t="s">
        <v>33</v>
      </c>
      <c r="B95" s="231" t="s">
        <v>313</v>
      </c>
      <c r="C95" s="232"/>
      <c r="D95" s="232"/>
      <c r="E95" s="233"/>
      <c r="F95" s="42">
        <f>F67*F94</f>
        <v>3.3360000000000003E-4</v>
      </c>
      <c r="G95" s="21">
        <f>F95*(G45+G53)</f>
        <v>1.6147958867328001</v>
      </c>
    </row>
    <row r="96" spans="1:7" ht="49.5" customHeight="1" x14ac:dyDescent="0.25">
      <c r="A96" s="7" t="s">
        <v>36</v>
      </c>
      <c r="B96" s="231" t="s">
        <v>314</v>
      </c>
      <c r="C96" s="232"/>
      <c r="D96" s="232"/>
      <c r="E96" s="233"/>
      <c r="F96" s="42">
        <f xml:space="preserve"> (40%)*F94</f>
        <v>1.6680000000000002E-3</v>
      </c>
      <c r="G96" s="21">
        <f>F96*(G45+G53)</f>
        <v>8.0739794336640003</v>
      </c>
    </row>
    <row r="97" spans="1:7" ht="48" customHeight="1" x14ac:dyDescent="0.25">
      <c r="A97" s="7" t="s">
        <v>38</v>
      </c>
      <c r="B97" s="231" t="s">
        <v>315</v>
      </c>
      <c r="C97" s="232"/>
      <c r="D97" s="232"/>
      <c r="E97" s="233"/>
      <c r="F97" s="42">
        <f>(7/30)/12</f>
        <v>1.9444444444444445E-2</v>
      </c>
      <c r="G97" s="21">
        <f>F97*(G45+G53)</f>
        <v>94.121129822222215</v>
      </c>
    </row>
    <row r="98" spans="1:7" ht="39" customHeight="1" x14ac:dyDescent="0.25">
      <c r="A98" s="7" t="s">
        <v>55</v>
      </c>
      <c r="B98" s="231" t="s">
        <v>316</v>
      </c>
      <c r="C98" s="232"/>
      <c r="D98" s="232"/>
      <c r="E98" s="233"/>
      <c r="F98" s="42">
        <f>F68*F97</f>
        <v>7.1555555555555565E-3</v>
      </c>
      <c r="G98" s="21">
        <f>F98*(G45+G53)</f>
        <v>34.636575774577778</v>
      </c>
    </row>
    <row r="99" spans="1:7" ht="18" customHeight="1" x14ac:dyDescent="0.25">
      <c r="A99" s="7" t="s">
        <v>57</v>
      </c>
      <c r="B99" s="231" t="s">
        <v>317</v>
      </c>
      <c r="C99" s="232"/>
      <c r="D99" s="232"/>
      <c r="E99" s="233"/>
      <c r="F99" s="26">
        <f>(1+(1/12)+(1/3/12))*0.08*0.4</f>
        <v>3.5555555555555556E-2</v>
      </c>
      <c r="G99" s="19">
        <f>F99*(G45+G53)</f>
        <v>172.10720881777777</v>
      </c>
    </row>
    <row r="100" spans="1:7" x14ac:dyDescent="0.25">
      <c r="A100" s="43"/>
      <c r="B100" s="271" t="s">
        <v>21</v>
      </c>
      <c r="C100" s="272"/>
      <c r="D100" s="272"/>
      <c r="E100" s="273"/>
      <c r="F100" s="44">
        <f>SUM(F94:F99)</f>
        <v>6.8327155555555547E-2</v>
      </c>
      <c r="G100" s="17">
        <f>SUM(G94:G99)</f>
        <v>330.73863831913457</v>
      </c>
    </row>
    <row r="101" spans="1:7" x14ac:dyDescent="0.25">
      <c r="A101" s="45"/>
      <c r="B101" s="46"/>
      <c r="C101" s="46"/>
      <c r="D101" s="46"/>
      <c r="E101" s="46"/>
      <c r="F101" s="46"/>
      <c r="G101" s="47"/>
    </row>
    <row r="102" spans="1:7" x14ac:dyDescent="0.25">
      <c r="A102" s="24"/>
      <c r="B102" s="205" t="s">
        <v>90</v>
      </c>
      <c r="C102" s="206"/>
      <c r="D102" s="206"/>
      <c r="E102" s="207"/>
      <c r="F102" s="25"/>
      <c r="G102" s="25"/>
    </row>
    <row r="103" spans="1:7" ht="37.5" customHeight="1" x14ac:dyDescent="0.25">
      <c r="A103" s="274" t="s">
        <v>137</v>
      </c>
      <c r="B103" s="215"/>
      <c r="C103" s="215"/>
      <c r="D103" s="215"/>
      <c r="E103" s="215"/>
      <c r="F103" s="215"/>
      <c r="G103" s="216"/>
    </row>
    <row r="104" spans="1:7" x14ac:dyDescent="0.25">
      <c r="A104" s="193"/>
      <c r="B104" s="240"/>
      <c r="C104" s="240"/>
      <c r="D104" s="240"/>
      <c r="E104" s="240"/>
      <c r="F104" s="240"/>
      <c r="G104" s="194"/>
    </row>
    <row r="105" spans="1:7" x14ac:dyDescent="0.25">
      <c r="A105" s="268" t="s">
        <v>91</v>
      </c>
      <c r="B105" s="269"/>
      <c r="C105" s="269"/>
      <c r="D105" s="269"/>
      <c r="E105" s="269"/>
      <c r="F105" s="269"/>
      <c r="G105" s="270"/>
    </row>
    <row r="106" spans="1:7" ht="24" x14ac:dyDescent="0.25">
      <c r="A106" s="35" t="s">
        <v>92</v>
      </c>
      <c r="B106" s="234" t="s">
        <v>93</v>
      </c>
      <c r="C106" s="242"/>
      <c r="D106" s="242"/>
      <c r="E106" s="242"/>
      <c r="F106" s="31" t="s">
        <v>69</v>
      </c>
      <c r="G106" s="7" t="s">
        <v>8</v>
      </c>
    </row>
    <row r="107" spans="1:7" x14ac:dyDescent="0.25">
      <c r="A107" s="7" t="s">
        <v>31</v>
      </c>
      <c r="B107" s="231" t="s">
        <v>94</v>
      </c>
      <c r="C107" s="232"/>
      <c r="D107" s="232"/>
      <c r="E107" s="232"/>
      <c r="F107" s="26">
        <f>(8.33%+(8.33%*1/3))/12</f>
        <v>9.2555555555555551E-3</v>
      </c>
      <c r="G107" s="21">
        <f>F107*(G45+G53)</f>
        <v>44.801657795377771</v>
      </c>
    </row>
    <row r="108" spans="1:7" x14ac:dyDescent="0.25">
      <c r="A108" s="7" t="s">
        <v>33</v>
      </c>
      <c r="B108" s="231" t="s">
        <v>318</v>
      </c>
      <c r="C108" s="232"/>
      <c r="D108" s="232"/>
      <c r="E108" s="232"/>
      <c r="F108" s="26">
        <f>(1/12)/30</f>
        <v>2.7777777777777775E-3</v>
      </c>
      <c r="G108" s="21">
        <f>F108*(G45+G53)</f>
        <v>13.445875688888886</v>
      </c>
    </row>
    <row r="109" spans="1:7" x14ac:dyDescent="0.25">
      <c r="A109" s="7" t="s">
        <v>36</v>
      </c>
      <c r="B109" s="231" t="s">
        <v>319</v>
      </c>
      <c r="C109" s="232"/>
      <c r="D109" s="232"/>
      <c r="E109" s="232"/>
      <c r="F109" s="48">
        <f>1.5%/12</f>
        <v>1.25E-3</v>
      </c>
      <c r="G109" s="21">
        <f>F109*(G45+G53)</f>
        <v>6.0506440599999998</v>
      </c>
    </row>
    <row r="110" spans="1:7" ht="33" customHeight="1" x14ac:dyDescent="0.25">
      <c r="A110" s="7" t="s">
        <v>38</v>
      </c>
      <c r="B110" s="231" t="s">
        <v>320</v>
      </c>
      <c r="C110" s="232"/>
      <c r="D110" s="232"/>
      <c r="E110" s="232"/>
      <c r="F110" s="42">
        <f>8%/12/2</f>
        <v>3.3333333333333335E-3</v>
      </c>
      <c r="G110" s="21">
        <f>F110*(G45+G53)</f>
        <v>16.135050826666667</v>
      </c>
    </row>
    <row r="111" spans="1:7" ht="28.5" customHeight="1" x14ac:dyDescent="0.25">
      <c r="A111" s="7" t="s">
        <v>55</v>
      </c>
      <c r="B111" s="231" t="s">
        <v>138</v>
      </c>
      <c r="C111" s="232"/>
      <c r="D111" s="232"/>
      <c r="E111" s="232"/>
      <c r="F111" s="49">
        <f>1.5%/12</f>
        <v>1.25E-3</v>
      </c>
      <c r="G111" s="21">
        <f>F111*(G45+G53)</f>
        <v>6.0506440599999998</v>
      </c>
    </row>
    <row r="112" spans="1:7" x14ac:dyDescent="0.25">
      <c r="A112" s="7" t="s">
        <v>57</v>
      </c>
      <c r="B112" s="231" t="s">
        <v>95</v>
      </c>
      <c r="C112" s="232"/>
      <c r="D112" s="232"/>
      <c r="E112" s="232"/>
      <c r="F112" s="26">
        <f>(5/12)/30</f>
        <v>1.388888888888889E-2</v>
      </c>
      <c r="G112" s="21">
        <f>F112*(G45+G53)</f>
        <v>67.22937844444445</v>
      </c>
    </row>
    <row r="113" spans="1:7" x14ac:dyDescent="0.25">
      <c r="A113" s="43"/>
      <c r="B113" s="238" t="s">
        <v>21</v>
      </c>
      <c r="C113" s="239"/>
      <c r="D113" s="239"/>
      <c r="E113" s="244"/>
      <c r="F113" s="27">
        <f>SUM(F107:F112)</f>
        <v>3.1755555555555558E-2</v>
      </c>
      <c r="G113" s="17">
        <f>SUM(G107:G112)</f>
        <v>153.71325087537775</v>
      </c>
    </row>
    <row r="114" spans="1:7" ht="44.25" customHeight="1" x14ac:dyDescent="0.25">
      <c r="A114" s="214" t="s">
        <v>139</v>
      </c>
      <c r="B114" s="215"/>
      <c r="C114" s="215"/>
      <c r="D114" s="215"/>
      <c r="E114" s="215"/>
      <c r="F114" s="215"/>
      <c r="G114" s="216"/>
    </row>
    <row r="115" spans="1:7" x14ac:dyDescent="0.25">
      <c r="A115" s="234"/>
      <c r="B115" s="242"/>
      <c r="C115" s="242"/>
      <c r="D115" s="242"/>
      <c r="E115" s="242"/>
      <c r="F115" s="242"/>
      <c r="G115" s="235"/>
    </row>
    <row r="116" spans="1:7" x14ac:dyDescent="0.25">
      <c r="A116" s="243" t="s">
        <v>96</v>
      </c>
      <c r="B116" s="250"/>
      <c r="C116" s="250"/>
      <c r="D116" s="250"/>
      <c r="E116" s="250"/>
      <c r="F116" s="250"/>
      <c r="G116" s="251"/>
    </row>
    <row r="117" spans="1:7" ht="24" x14ac:dyDescent="0.25">
      <c r="A117" s="7" t="s">
        <v>97</v>
      </c>
      <c r="B117" s="234" t="s">
        <v>98</v>
      </c>
      <c r="C117" s="242"/>
      <c r="D117" s="242"/>
      <c r="E117" s="235"/>
      <c r="F117" s="31" t="s">
        <v>69</v>
      </c>
      <c r="G117" s="7" t="s">
        <v>8</v>
      </c>
    </row>
    <row r="118" spans="1:7" x14ac:dyDescent="0.25">
      <c r="A118" s="7" t="s">
        <v>31</v>
      </c>
      <c r="B118" s="231" t="s">
        <v>99</v>
      </c>
      <c r="C118" s="232"/>
      <c r="D118" s="232"/>
      <c r="E118" s="233"/>
      <c r="F118" s="50"/>
      <c r="G118" s="21"/>
    </row>
    <row r="119" spans="1:7" x14ac:dyDescent="0.25">
      <c r="A119" s="24"/>
      <c r="B119" s="238" t="s">
        <v>21</v>
      </c>
      <c r="C119" s="239"/>
      <c r="D119" s="239"/>
      <c r="E119" s="244"/>
      <c r="F119" s="51"/>
      <c r="G119" s="52"/>
    </row>
    <row r="120" spans="1:7" ht="24.75" customHeight="1" x14ac:dyDescent="0.25">
      <c r="A120" s="214" t="s">
        <v>140</v>
      </c>
      <c r="B120" s="215"/>
      <c r="C120" s="215"/>
      <c r="D120" s="215"/>
      <c r="E120" s="215"/>
      <c r="F120" s="215"/>
      <c r="G120" s="216"/>
    </row>
    <row r="121" spans="1:7" x14ac:dyDescent="0.25">
      <c r="A121" s="193"/>
      <c r="B121" s="240"/>
      <c r="C121" s="240"/>
      <c r="D121" s="240"/>
      <c r="E121" s="240"/>
      <c r="F121" s="240"/>
      <c r="G121" s="194"/>
    </row>
    <row r="122" spans="1:7" x14ac:dyDescent="0.25">
      <c r="A122" s="24"/>
      <c r="B122" s="205" t="s">
        <v>100</v>
      </c>
      <c r="C122" s="206"/>
      <c r="D122" s="206"/>
      <c r="E122" s="206"/>
      <c r="F122" s="206"/>
      <c r="G122" s="25"/>
    </row>
    <row r="123" spans="1:7" ht="24" x14ac:dyDescent="0.25">
      <c r="A123" s="7">
        <v>4</v>
      </c>
      <c r="B123" s="255" t="s">
        <v>101</v>
      </c>
      <c r="C123" s="255"/>
      <c r="D123" s="255"/>
      <c r="E123" s="255"/>
      <c r="F123" s="31" t="s">
        <v>69</v>
      </c>
      <c r="G123" s="7" t="s">
        <v>8</v>
      </c>
    </row>
    <row r="124" spans="1:7" x14ac:dyDescent="0.25">
      <c r="A124" s="7" t="s">
        <v>92</v>
      </c>
      <c r="B124" s="236" t="s">
        <v>102</v>
      </c>
      <c r="C124" s="236"/>
      <c r="D124" s="236"/>
      <c r="E124" s="236"/>
      <c r="F124" s="26">
        <f>F113</f>
        <v>3.1755555555555558E-2</v>
      </c>
      <c r="G124" s="33">
        <f>G113</f>
        <v>153.71325087537775</v>
      </c>
    </row>
    <row r="125" spans="1:7" x14ac:dyDescent="0.25">
      <c r="A125" s="7" t="s">
        <v>97</v>
      </c>
      <c r="B125" s="236" t="s">
        <v>98</v>
      </c>
      <c r="C125" s="236"/>
      <c r="D125" s="236"/>
      <c r="E125" s="236"/>
      <c r="F125" s="53"/>
      <c r="G125" s="54"/>
    </row>
    <row r="126" spans="1:7" x14ac:dyDescent="0.25">
      <c r="A126" s="55"/>
      <c r="B126" s="238" t="s">
        <v>21</v>
      </c>
      <c r="C126" s="239"/>
      <c r="D126" s="239"/>
      <c r="E126" s="244"/>
      <c r="F126" s="27"/>
      <c r="G126" s="17">
        <f>SUM(G124:G125)</f>
        <v>153.71325087537775</v>
      </c>
    </row>
    <row r="127" spans="1:7" x14ac:dyDescent="0.25">
      <c r="A127" s="35"/>
      <c r="B127" s="56"/>
      <c r="C127" s="56"/>
      <c r="D127" s="56"/>
      <c r="E127" s="56"/>
      <c r="F127" s="37"/>
      <c r="G127" s="57"/>
    </row>
    <row r="128" spans="1:7" x14ac:dyDescent="0.25">
      <c r="A128" s="24"/>
      <c r="B128" s="248" t="s">
        <v>103</v>
      </c>
      <c r="C128" s="249"/>
      <c r="D128" s="249"/>
      <c r="E128" s="249"/>
      <c r="F128" s="249"/>
      <c r="G128" s="25"/>
    </row>
    <row r="129" spans="1:7" x14ac:dyDescent="0.25">
      <c r="A129" s="7">
        <v>5</v>
      </c>
      <c r="B129" s="243" t="s">
        <v>104</v>
      </c>
      <c r="C129" s="250"/>
      <c r="D129" s="250"/>
      <c r="E129" s="250"/>
      <c r="F129" s="251"/>
      <c r="G129" s="7" t="s">
        <v>8</v>
      </c>
    </row>
    <row r="130" spans="1:7" x14ac:dyDescent="0.25">
      <c r="A130" s="7" t="s">
        <v>31</v>
      </c>
      <c r="B130" s="231" t="s">
        <v>321</v>
      </c>
      <c r="C130" s="232"/>
      <c r="D130" s="232"/>
      <c r="E130" s="232"/>
      <c r="F130" s="233"/>
      <c r="G130" s="58">
        <f>AVERAGE('Uniformes Por Categoria'!N53:O53)</f>
        <v>70.568333333333342</v>
      </c>
    </row>
    <row r="131" spans="1:7" x14ac:dyDescent="0.25">
      <c r="A131" s="7" t="s">
        <v>33</v>
      </c>
      <c r="B131" s="231" t="s">
        <v>114</v>
      </c>
      <c r="C131" s="232"/>
      <c r="D131" s="232"/>
      <c r="E131" s="232"/>
      <c r="F131" s="233"/>
      <c r="G131" s="58"/>
    </row>
    <row r="132" spans="1:7" x14ac:dyDescent="0.25">
      <c r="A132" s="35" t="s">
        <v>36</v>
      </c>
      <c r="B132" s="231" t="s">
        <v>152</v>
      </c>
      <c r="C132" s="232"/>
      <c r="D132" s="232"/>
      <c r="E132" s="232"/>
      <c r="F132" s="233"/>
      <c r="G132" s="58">
        <f>'Relógio de ponto'!N7</f>
        <v>4.6858072916666664</v>
      </c>
    </row>
    <row r="133" spans="1:7" x14ac:dyDescent="0.25">
      <c r="A133" s="35" t="s">
        <v>38</v>
      </c>
      <c r="B133" s="231" t="s">
        <v>116</v>
      </c>
      <c r="C133" s="232"/>
      <c r="D133" s="232"/>
      <c r="E133" s="232"/>
      <c r="F133" s="233"/>
      <c r="G133" s="59">
        <f>'[1] EPI Pesquisa'!L25</f>
        <v>0</v>
      </c>
    </row>
    <row r="134" spans="1:7" x14ac:dyDescent="0.25">
      <c r="A134" s="24"/>
      <c r="B134" s="238" t="s">
        <v>21</v>
      </c>
      <c r="C134" s="239"/>
      <c r="D134" s="239"/>
      <c r="E134" s="239"/>
      <c r="F134" s="244"/>
      <c r="G134" s="17">
        <f>SUM(G130:G133)</f>
        <v>75.254140625000005</v>
      </c>
    </row>
    <row r="135" spans="1:7" ht="26.25" customHeight="1" x14ac:dyDescent="0.25">
      <c r="A135" s="214" t="s">
        <v>141</v>
      </c>
      <c r="B135" s="215"/>
      <c r="C135" s="215"/>
      <c r="D135" s="215"/>
      <c r="E135" s="215"/>
      <c r="F135" s="215"/>
      <c r="G135" s="216"/>
    </row>
    <row r="136" spans="1:7" x14ac:dyDescent="0.25">
      <c r="A136" s="60"/>
      <c r="B136" s="46"/>
      <c r="C136" s="46"/>
      <c r="D136" s="46"/>
      <c r="E136" s="46"/>
      <c r="F136" s="37"/>
      <c r="G136" s="61"/>
    </row>
    <row r="137" spans="1:7" x14ac:dyDescent="0.25">
      <c r="A137" s="24"/>
      <c r="B137" s="248" t="s">
        <v>105</v>
      </c>
      <c r="C137" s="249"/>
      <c r="D137" s="249"/>
      <c r="E137" s="249"/>
      <c r="F137" s="249"/>
      <c r="G137" s="25"/>
    </row>
    <row r="138" spans="1:7" x14ac:dyDescent="0.25">
      <c r="A138" s="7">
        <v>6</v>
      </c>
      <c r="B138" s="255" t="s">
        <v>106</v>
      </c>
      <c r="C138" s="255"/>
      <c r="D138" s="255"/>
      <c r="E138" s="275" t="s">
        <v>69</v>
      </c>
      <c r="F138" s="275"/>
      <c r="G138" s="62" t="s">
        <v>8</v>
      </c>
    </row>
    <row r="139" spans="1:7" x14ac:dyDescent="0.25">
      <c r="A139" s="7" t="s">
        <v>31</v>
      </c>
      <c r="B139" s="236" t="s">
        <v>107</v>
      </c>
      <c r="C139" s="236"/>
      <c r="D139" s="236"/>
      <c r="E139" s="276">
        <v>0.05</v>
      </c>
      <c r="F139" s="277"/>
      <c r="G139" s="58">
        <f>(G45+G90+G100+G126+G134)*E139</f>
        <v>418.53128827028263</v>
      </c>
    </row>
    <row r="140" spans="1:7" x14ac:dyDescent="0.25">
      <c r="A140" s="7" t="s">
        <v>33</v>
      </c>
      <c r="B140" s="236" t="s">
        <v>322</v>
      </c>
      <c r="C140" s="236"/>
      <c r="D140" s="236"/>
      <c r="E140" s="276">
        <v>0.05</v>
      </c>
      <c r="F140" s="277"/>
      <c r="G140" s="58">
        <f>(G45+G90+G100+G126+G134+G139)*E140</f>
        <v>439.45785268379672</v>
      </c>
    </row>
    <row r="141" spans="1:7" x14ac:dyDescent="0.25">
      <c r="A141" s="7" t="s">
        <v>36</v>
      </c>
      <c r="B141" s="236" t="s">
        <v>108</v>
      </c>
      <c r="C141" s="236"/>
      <c r="D141" s="236"/>
      <c r="E141" s="276">
        <f>SUM(E142:F143)</f>
        <v>8.6499999999999994E-2</v>
      </c>
      <c r="F141" s="277"/>
      <c r="G141" s="93"/>
    </row>
    <row r="142" spans="1:7" x14ac:dyDescent="0.25">
      <c r="A142" s="50"/>
      <c r="B142" s="236" t="s">
        <v>323</v>
      </c>
      <c r="C142" s="236"/>
      <c r="D142" s="236"/>
      <c r="E142" s="276">
        <f>0.65%+3%</f>
        <v>3.6499999999999998E-2</v>
      </c>
      <c r="F142" s="277"/>
      <c r="G142" s="58">
        <f>E142*G157</f>
        <v>368.74051999999995</v>
      </c>
    </row>
    <row r="143" spans="1:7" x14ac:dyDescent="0.25">
      <c r="A143" s="50"/>
      <c r="B143" s="236" t="s">
        <v>324</v>
      </c>
      <c r="C143" s="236"/>
      <c r="D143" s="236"/>
      <c r="E143" s="276">
        <v>0.05</v>
      </c>
      <c r="F143" s="277"/>
      <c r="G143" s="58">
        <f>E143*G157</f>
        <v>505.12400000000002</v>
      </c>
    </row>
    <row r="144" spans="1:7" x14ac:dyDescent="0.25">
      <c r="A144" s="24"/>
      <c r="B144" s="238" t="s">
        <v>21</v>
      </c>
      <c r="C144" s="239"/>
      <c r="D144" s="244"/>
      <c r="E144" s="278">
        <f>E139+E140+E141</f>
        <v>0.1865</v>
      </c>
      <c r="F144" s="244"/>
      <c r="G144" s="94">
        <f>SUM(G139:G143)</f>
        <v>1731.8536609540795</v>
      </c>
    </row>
    <row r="145" spans="1:7" ht="17.25" customHeight="1" x14ac:dyDescent="0.25">
      <c r="A145" s="214" t="s">
        <v>142</v>
      </c>
      <c r="B145" s="215"/>
      <c r="C145" s="215"/>
      <c r="D145" s="215"/>
      <c r="E145" s="215"/>
      <c r="F145" s="215"/>
      <c r="G145" s="216"/>
    </row>
    <row r="146" spans="1:7" x14ac:dyDescent="0.25">
      <c r="A146" s="214" t="s">
        <v>143</v>
      </c>
      <c r="B146" s="215"/>
      <c r="C146" s="215"/>
      <c r="D146" s="215"/>
      <c r="E146" s="215"/>
      <c r="F146" s="215"/>
      <c r="G146" s="216"/>
    </row>
    <row r="147" spans="1:7" x14ac:dyDescent="0.25">
      <c r="A147" s="288"/>
      <c r="B147" s="288"/>
      <c r="C147" s="288"/>
      <c r="D147" s="288"/>
      <c r="E147" s="288"/>
      <c r="F147" s="288"/>
      <c r="G147" s="289"/>
    </row>
    <row r="148" spans="1:7" x14ac:dyDescent="0.25">
      <c r="A148" s="55"/>
      <c r="B148" s="206" t="s">
        <v>109</v>
      </c>
      <c r="C148" s="206"/>
      <c r="D148" s="206"/>
      <c r="E148" s="206"/>
      <c r="F148" s="206"/>
      <c r="G148" s="25"/>
    </row>
    <row r="149" spans="1:7" x14ac:dyDescent="0.25">
      <c r="A149" s="63"/>
      <c r="B149" s="234" t="s">
        <v>110</v>
      </c>
      <c r="C149" s="242"/>
      <c r="D149" s="242"/>
      <c r="E149" s="242"/>
      <c r="F149" s="235"/>
      <c r="G149" s="63" t="s">
        <v>111</v>
      </c>
    </row>
    <row r="150" spans="1:7" x14ac:dyDescent="0.25">
      <c r="A150" s="7" t="s">
        <v>31</v>
      </c>
      <c r="B150" s="279" t="s">
        <v>144</v>
      </c>
      <c r="C150" s="280"/>
      <c r="D150" s="280"/>
      <c r="E150" s="280"/>
      <c r="F150" s="281"/>
      <c r="G150" s="64">
        <f>G45</f>
        <v>4019.36</v>
      </c>
    </row>
    <row r="151" spans="1:7" x14ac:dyDescent="0.25">
      <c r="A151" s="7" t="s">
        <v>33</v>
      </c>
      <c r="B151" s="279" t="s">
        <v>145</v>
      </c>
      <c r="C151" s="280"/>
      <c r="D151" s="280"/>
      <c r="E151" s="280"/>
      <c r="F151" s="281"/>
      <c r="G151" s="64">
        <f>G90</f>
        <v>3791.5597355861391</v>
      </c>
    </row>
    <row r="152" spans="1:7" x14ac:dyDescent="0.25">
      <c r="A152" s="7" t="s">
        <v>36</v>
      </c>
      <c r="B152" s="279" t="s">
        <v>146</v>
      </c>
      <c r="C152" s="280"/>
      <c r="D152" s="280"/>
      <c r="E152" s="280"/>
      <c r="F152" s="281"/>
      <c r="G152" s="95">
        <f>G100</f>
        <v>330.73863831913457</v>
      </c>
    </row>
    <row r="153" spans="1:7" x14ac:dyDescent="0.25">
      <c r="A153" s="7" t="s">
        <v>38</v>
      </c>
      <c r="B153" s="279" t="s">
        <v>147</v>
      </c>
      <c r="C153" s="280"/>
      <c r="D153" s="280"/>
      <c r="E153" s="280"/>
      <c r="F153" s="281"/>
      <c r="G153" s="64">
        <f>G126</f>
        <v>153.71325087537775</v>
      </c>
    </row>
    <row r="154" spans="1:7" x14ac:dyDescent="0.25">
      <c r="A154" s="7" t="s">
        <v>55</v>
      </c>
      <c r="B154" s="279" t="s">
        <v>148</v>
      </c>
      <c r="C154" s="280"/>
      <c r="D154" s="280"/>
      <c r="E154" s="280"/>
      <c r="F154" s="281"/>
      <c r="G154" s="64">
        <f>G134</f>
        <v>75.254140625000005</v>
      </c>
    </row>
    <row r="155" spans="1:7" x14ac:dyDescent="0.25">
      <c r="A155" s="65"/>
      <c r="B155" s="285" t="s">
        <v>112</v>
      </c>
      <c r="C155" s="286"/>
      <c r="D155" s="286"/>
      <c r="E155" s="286"/>
      <c r="F155" s="287"/>
      <c r="G155" s="64">
        <f>SUM(G150:G154)</f>
        <v>8370.6257654056517</v>
      </c>
    </row>
    <row r="156" spans="1:7" x14ac:dyDescent="0.25">
      <c r="A156" s="66" t="s">
        <v>57</v>
      </c>
      <c r="B156" s="279" t="s">
        <v>149</v>
      </c>
      <c r="C156" s="280"/>
      <c r="D156" s="280"/>
      <c r="E156" s="280"/>
      <c r="F156" s="281"/>
      <c r="G156" s="95">
        <f>G144</f>
        <v>1731.8536609540795</v>
      </c>
    </row>
    <row r="157" spans="1:7" x14ac:dyDescent="0.25">
      <c r="A157" s="67"/>
      <c r="B157" s="282" t="s">
        <v>113</v>
      </c>
      <c r="C157" s="283"/>
      <c r="D157" s="283"/>
      <c r="E157" s="283"/>
      <c r="F157" s="284"/>
      <c r="G157" s="95">
        <f>ROUND((G139+G140+G155)/(1-E141),2)</f>
        <v>10102.48</v>
      </c>
    </row>
    <row r="158" spans="1:7" ht="15" customHeight="1" x14ac:dyDescent="0.25"/>
  </sheetData>
  <mergeCells count="165">
    <mergeCell ref="B156:F156"/>
    <mergeCell ref="B157:F157"/>
    <mergeCell ref="B151:F151"/>
    <mergeCell ref="B152:F152"/>
    <mergeCell ref="B153:F153"/>
    <mergeCell ref="B154:F154"/>
    <mergeCell ref="B155:F155"/>
    <mergeCell ref="A146:G146"/>
    <mergeCell ref="A147:G147"/>
    <mergeCell ref="B148:F148"/>
    <mergeCell ref="B149:F149"/>
    <mergeCell ref="B150:F150"/>
    <mergeCell ref="B143:D143"/>
    <mergeCell ref="E143:F143"/>
    <mergeCell ref="B144:D144"/>
    <mergeCell ref="E144:F144"/>
    <mergeCell ref="A145:G145"/>
    <mergeCell ref="B140:D140"/>
    <mergeCell ref="E140:F140"/>
    <mergeCell ref="B141:D141"/>
    <mergeCell ref="E141:F141"/>
    <mergeCell ref="B142:D142"/>
    <mergeCell ref="E142:F142"/>
    <mergeCell ref="B137:F137"/>
    <mergeCell ref="B138:D138"/>
    <mergeCell ref="E138:F138"/>
    <mergeCell ref="B139:D139"/>
    <mergeCell ref="E139:F139"/>
    <mergeCell ref="B131:F131"/>
    <mergeCell ref="B132:F132"/>
    <mergeCell ref="B133:F133"/>
    <mergeCell ref="B134:F134"/>
    <mergeCell ref="A135:G135"/>
    <mergeCell ref="B125:E125"/>
    <mergeCell ref="B126:E126"/>
    <mergeCell ref="B128:F128"/>
    <mergeCell ref="B129:F129"/>
    <mergeCell ref="B130:F130"/>
    <mergeCell ref="A120:G120"/>
    <mergeCell ref="A121:G121"/>
    <mergeCell ref="B122:F122"/>
    <mergeCell ref="B123:E123"/>
    <mergeCell ref="B124:E124"/>
    <mergeCell ref="A115:G115"/>
    <mergeCell ref="A116:G116"/>
    <mergeCell ref="B117:E117"/>
    <mergeCell ref="B118:E118"/>
    <mergeCell ref="B119:E119"/>
    <mergeCell ref="B110:E110"/>
    <mergeCell ref="B111:E111"/>
    <mergeCell ref="B112:E112"/>
    <mergeCell ref="B113:E113"/>
    <mergeCell ref="A114:G114"/>
    <mergeCell ref="A105:G105"/>
    <mergeCell ref="B106:E106"/>
    <mergeCell ref="B107:E107"/>
    <mergeCell ref="B108:E108"/>
    <mergeCell ref="B109:E109"/>
    <mergeCell ref="B99:E99"/>
    <mergeCell ref="B100:E100"/>
    <mergeCell ref="B102:E102"/>
    <mergeCell ref="A103:G103"/>
    <mergeCell ref="A104:G104"/>
    <mergeCell ref="B94:E94"/>
    <mergeCell ref="B95:E95"/>
    <mergeCell ref="B96:E96"/>
    <mergeCell ref="B97:E97"/>
    <mergeCell ref="B98:E98"/>
    <mergeCell ref="B89:F89"/>
    <mergeCell ref="B90:F90"/>
    <mergeCell ref="A91:G91"/>
    <mergeCell ref="B92:E92"/>
    <mergeCell ref="B93:E93"/>
    <mergeCell ref="A83:G83"/>
    <mergeCell ref="B85:F85"/>
    <mergeCell ref="B86:F86"/>
    <mergeCell ref="B87:F87"/>
    <mergeCell ref="B88:F88"/>
    <mergeCell ref="B78:F78"/>
    <mergeCell ref="B79:F79"/>
    <mergeCell ref="B80:F80"/>
    <mergeCell ref="B81:F81"/>
    <mergeCell ref="A82:G82"/>
    <mergeCell ref="A73:G73"/>
    <mergeCell ref="B74:F74"/>
    <mergeCell ref="B75:F75"/>
    <mergeCell ref="B76:F76"/>
    <mergeCell ref="B77:F77"/>
    <mergeCell ref="B67:E67"/>
    <mergeCell ref="B68:E68"/>
    <mergeCell ref="A69:G69"/>
    <mergeCell ref="A70:G70"/>
    <mergeCell ref="A71:G71"/>
    <mergeCell ref="B62:E62"/>
    <mergeCell ref="B63:E63"/>
    <mergeCell ref="B64:E64"/>
    <mergeCell ref="B65:E65"/>
    <mergeCell ref="B66:E66"/>
    <mergeCell ref="A56:G56"/>
    <mergeCell ref="A58:G58"/>
    <mergeCell ref="B59:E59"/>
    <mergeCell ref="B60:E60"/>
    <mergeCell ref="B61:E61"/>
    <mergeCell ref="B51:E51"/>
    <mergeCell ref="B52:E52"/>
    <mergeCell ref="B53:E53"/>
    <mergeCell ref="A54:G54"/>
    <mergeCell ref="A55:G55"/>
    <mergeCell ref="A46:G46"/>
    <mergeCell ref="A47:G47"/>
    <mergeCell ref="B48:E48"/>
    <mergeCell ref="A49:G49"/>
    <mergeCell ref="B50:F50"/>
    <mergeCell ref="B41:E41"/>
    <mergeCell ref="B42:E42"/>
    <mergeCell ref="B43:E43"/>
    <mergeCell ref="B44:E44"/>
    <mergeCell ref="B45:E45"/>
    <mergeCell ref="A36:G36"/>
    <mergeCell ref="B37:E37"/>
    <mergeCell ref="B38:E38"/>
    <mergeCell ref="B39:E39"/>
    <mergeCell ref="B40:E40"/>
    <mergeCell ref="B33:E33"/>
    <mergeCell ref="F33:G33"/>
    <mergeCell ref="B34:E34"/>
    <mergeCell ref="F34:G34"/>
    <mergeCell ref="B35:E35"/>
    <mergeCell ref="F35:G35"/>
    <mergeCell ref="A29:G29"/>
    <mergeCell ref="A30:G30"/>
    <mergeCell ref="B31:E31"/>
    <mergeCell ref="F31:G31"/>
    <mergeCell ref="B32:E32"/>
    <mergeCell ref="F32:G32"/>
    <mergeCell ref="F24:G24"/>
    <mergeCell ref="A25:G25"/>
    <mergeCell ref="A26:G26"/>
    <mergeCell ref="A28:G28"/>
    <mergeCell ref="B20:E20"/>
    <mergeCell ref="F20:G20"/>
    <mergeCell ref="A22:G22"/>
    <mergeCell ref="A23:D23"/>
    <mergeCell ref="F23:G23"/>
    <mergeCell ref="A24:D24"/>
    <mergeCell ref="A7:G7"/>
    <mergeCell ref="A8:G8"/>
    <mergeCell ref="A9:G9"/>
    <mergeCell ref="A10:G10"/>
    <mergeCell ref="A2:G2"/>
    <mergeCell ref="A3:G3"/>
    <mergeCell ref="A4:G4"/>
    <mergeCell ref="A5:G5"/>
    <mergeCell ref="A6:G6"/>
    <mergeCell ref="B17:E17"/>
    <mergeCell ref="F17:G17"/>
    <mergeCell ref="B18:E18"/>
    <mergeCell ref="F18:G18"/>
    <mergeCell ref="B19:E19"/>
    <mergeCell ref="F19:G19"/>
    <mergeCell ref="A12:G12"/>
    <mergeCell ref="A13:G13"/>
    <mergeCell ref="A14:G14"/>
    <mergeCell ref="A15:G15"/>
    <mergeCell ref="A16:G16"/>
  </mergeCells>
  <pageMargins left="0.511811024" right="0.511811024" top="0.78740157499999996" bottom="0.78740157499999996" header="0.31496062000000002" footer="0.31496062000000002"/>
  <pageSetup paperSize="9" scale="82" orientation="portrait" horizontalDpi="300" verticalDpi="300" r:id="rId1"/>
  <rowBreaks count="3" manualBreakCount="3">
    <brk id="45" max="16383" man="1"/>
    <brk id="91" max="16383" man="1"/>
    <brk id="134" max="1638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5"/>
  <sheetViews>
    <sheetView topLeftCell="A30" zoomScale="130" zoomScaleNormal="130" workbookViewId="0">
      <selection activeCell="L53" sqref="L53"/>
    </sheetView>
  </sheetViews>
  <sheetFormatPr defaultRowHeight="15" x14ac:dyDescent="0.25"/>
  <cols>
    <col min="1" max="1" width="6.140625" customWidth="1"/>
    <col min="2" max="2" width="17.42578125" customWidth="1"/>
    <col min="3" max="3" width="12.7109375" customWidth="1"/>
    <col min="4" max="4" width="10.42578125" customWidth="1"/>
    <col min="5" max="5" width="12.7109375" customWidth="1"/>
    <col min="6" max="6" width="8.7109375" style="68" customWidth="1"/>
    <col min="7" max="7" width="13" customWidth="1"/>
    <col min="8" max="8" width="12.85546875" customWidth="1"/>
  </cols>
  <sheetData>
    <row r="1" spans="1:8" x14ac:dyDescent="0.25">
      <c r="A1" s="412" t="s">
        <v>0</v>
      </c>
      <c r="B1" s="412"/>
      <c r="C1" s="412"/>
      <c r="D1" s="412"/>
      <c r="E1" s="412"/>
      <c r="F1" s="412"/>
      <c r="G1" s="412"/>
      <c r="H1" s="412"/>
    </row>
    <row r="2" spans="1:8" x14ac:dyDescent="0.25">
      <c r="A2" s="412" t="s">
        <v>1</v>
      </c>
      <c r="B2" s="412"/>
      <c r="C2" s="412"/>
      <c r="D2" s="412"/>
      <c r="E2" s="412"/>
      <c r="F2" s="412"/>
      <c r="G2" s="412"/>
      <c r="H2" s="412"/>
    </row>
    <row r="3" spans="1:8" x14ac:dyDescent="0.25">
      <c r="A3" s="412" t="s">
        <v>2</v>
      </c>
      <c r="B3" s="412"/>
      <c r="C3" s="412"/>
      <c r="D3" s="412"/>
      <c r="E3" s="412"/>
      <c r="F3" s="412"/>
      <c r="G3" s="412"/>
      <c r="H3" s="412"/>
    </row>
    <row r="4" spans="1:8" ht="15" customHeight="1" x14ac:dyDescent="0.25">
      <c r="A4" s="412" t="s">
        <v>3</v>
      </c>
      <c r="B4" s="412"/>
      <c r="C4" s="412"/>
      <c r="D4" s="412"/>
      <c r="E4" s="412"/>
      <c r="F4" s="412"/>
      <c r="G4" s="412"/>
      <c r="H4" s="412"/>
    </row>
    <row r="5" spans="1:8" ht="17.100000000000001" customHeight="1" x14ac:dyDescent="0.25">
      <c r="A5" s="412" t="s">
        <v>4</v>
      </c>
      <c r="B5" s="412"/>
      <c r="C5" s="412"/>
      <c r="D5" s="412"/>
      <c r="E5" s="412"/>
      <c r="F5" s="412"/>
      <c r="G5" s="412"/>
      <c r="H5" s="412"/>
    </row>
    <row r="6" spans="1:8" x14ac:dyDescent="0.25">
      <c r="A6" s="412"/>
      <c r="B6" s="412"/>
      <c r="C6" s="412"/>
      <c r="D6" s="412"/>
      <c r="E6" s="412"/>
      <c r="F6" s="412"/>
      <c r="G6" s="412"/>
      <c r="H6" s="412"/>
    </row>
    <row r="7" spans="1:8" x14ac:dyDescent="0.25">
      <c r="A7" s="412"/>
      <c r="B7" s="412"/>
      <c r="C7" s="412"/>
      <c r="D7" s="412"/>
      <c r="E7" s="412"/>
      <c r="F7" s="412"/>
      <c r="G7" s="412"/>
      <c r="H7" s="412"/>
    </row>
    <row r="8" spans="1:8" ht="66" customHeight="1" x14ac:dyDescent="0.25">
      <c r="A8" s="396" t="s">
        <v>328</v>
      </c>
      <c r="B8" s="396"/>
      <c r="C8" s="396"/>
      <c r="D8" s="396"/>
      <c r="E8" s="396"/>
      <c r="F8" s="396"/>
      <c r="G8" s="396"/>
      <c r="H8" s="396"/>
    </row>
    <row r="9" spans="1:8" ht="30.95" customHeight="1" x14ac:dyDescent="0.25">
      <c r="A9" s="417"/>
      <c r="B9" s="417"/>
      <c r="C9" s="417"/>
      <c r="D9" s="417"/>
      <c r="E9" s="417"/>
      <c r="F9" s="417"/>
      <c r="G9" s="417"/>
      <c r="H9" s="417"/>
    </row>
    <row r="10" spans="1:8" ht="19.5" customHeight="1" x14ac:dyDescent="0.25">
      <c r="A10" s="397" t="s">
        <v>27</v>
      </c>
      <c r="B10" s="397"/>
      <c r="C10" s="397"/>
      <c r="D10" s="397"/>
      <c r="E10" s="397"/>
      <c r="F10" s="397"/>
      <c r="G10" s="397"/>
      <c r="H10" s="397"/>
    </row>
    <row r="11" spans="1:8" ht="36" customHeight="1" x14ac:dyDescent="0.25">
      <c r="A11" s="260" t="s">
        <v>28</v>
      </c>
      <c r="B11" s="260"/>
      <c r="C11" s="260"/>
      <c r="D11" s="260"/>
      <c r="E11" s="260"/>
      <c r="F11" s="260"/>
      <c r="G11" s="260"/>
      <c r="H11" s="260"/>
    </row>
    <row r="12" spans="1:8" ht="15" customHeight="1" x14ac:dyDescent="0.25">
      <c r="A12" s="220"/>
      <c r="B12" s="220"/>
      <c r="C12" s="220"/>
      <c r="D12" s="220"/>
      <c r="E12" s="220"/>
      <c r="F12" s="220"/>
      <c r="G12" s="220"/>
      <c r="H12" s="220"/>
    </row>
    <row r="13" spans="1:8" ht="15" customHeight="1" x14ac:dyDescent="0.25">
      <c r="A13" s="418" t="s">
        <v>159</v>
      </c>
      <c r="B13" s="418"/>
      <c r="C13" s="418"/>
      <c r="D13" s="418"/>
      <c r="E13" s="418"/>
      <c r="F13" s="418"/>
      <c r="G13" s="418"/>
      <c r="H13" s="418"/>
    </row>
    <row r="14" spans="1:8" ht="46.15" customHeight="1" x14ac:dyDescent="0.25">
      <c r="A14" s="411" t="s">
        <v>160</v>
      </c>
      <c r="B14" s="411"/>
      <c r="C14" s="77" t="s">
        <v>161</v>
      </c>
      <c r="D14" s="77" t="s">
        <v>162</v>
      </c>
      <c r="E14" s="77" t="s">
        <v>163</v>
      </c>
      <c r="F14" s="77" t="s">
        <v>164</v>
      </c>
      <c r="G14" s="77" t="s">
        <v>165</v>
      </c>
      <c r="H14" s="411" t="s">
        <v>166</v>
      </c>
    </row>
    <row r="15" spans="1:8" x14ac:dyDescent="0.25">
      <c r="A15" s="411" t="s">
        <v>167</v>
      </c>
      <c r="B15" s="411"/>
      <c r="C15" s="77" t="s">
        <v>168</v>
      </c>
      <c r="D15" s="77" t="s">
        <v>169</v>
      </c>
      <c r="E15" s="77" t="s">
        <v>170</v>
      </c>
      <c r="F15" s="77" t="s">
        <v>171</v>
      </c>
      <c r="G15" s="77" t="s">
        <v>172</v>
      </c>
      <c r="H15" s="411"/>
    </row>
    <row r="16" spans="1:8" ht="15.75" customHeight="1" x14ac:dyDescent="0.25">
      <c r="A16" s="69" t="s">
        <v>173</v>
      </c>
      <c r="B16" s="70" t="str">
        <f>Encarregado!A24</f>
        <v>Encarregado</v>
      </c>
      <c r="C16" s="70">
        <f>Encarregado!G158</f>
        <v>0</v>
      </c>
      <c r="D16" s="69">
        <v>1</v>
      </c>
      <c r="E16" s="70">
        <f>Encarregado!G157</f>
        <v>10102.48</v>
      </c>
      <c r="F16" s="69">
        <v>1</v>
      </c>
      <c r="G16" s="71">
        <f>E16*F16</f>
        <v>10102.48</v>
      </c>
      <c r="H16" s="69">
        <v>1</v>
      </c>
    </row>
    <row r="17" spans="1:8" ht="14.25" customHeight="1" x14ac:dyDescent="0.25">
      <c r="A17" s="69" t="s">
        <v>174</v>
      </c>
      <c r="B17" s="70" t="str">
        <f>Copeira!A24</f>
        <v>Copeira</v>
      </c>
      <c r="C17" s="70">
        <f>Copeira!G158</f>
        <v>0</v>
      </c>
      <c r="D17" s="69">
        <v>1</v>
      </c>
      <c r="E17" s="70">
        <f>Copeira!G157</f>
        <v>5094.75</v>
      </c>
      <c r="F17" s="69">
        <v>14</v>
      </c>
      <c r="G17" s="71">
        <f>E17*F17</f>
        <v>71326.5</v>
      </c>
      <c r="H17" s="69">
        <f>D17*F17</f>
        <v>14</v>
      </c>
    </row>
    <row r="18" spans="1:8" x14ac:dyDescent="0.25">
      <c r="A18" s="69" t="s">
        <v>190</v>
      </c>
      <c r="B18" s="70" t="str">
        <f>Garçom!A24</f>
        <v>Garçom</v>
      </c>
      <c r="C18" s="70">
        <f>Garçom!G158</f>
        <v>0</v>
      </c>
      <c r="D18" s="69">
        <v>1</v>
      </c>
      <c r="E18" s="70">
        <f>Garçom!G157</f>
        <v>6772.1</v>
      </c>
      <c r="F18" s="69">
        <v>11</v>
      </c>
      <c r="G18" s="71">
        <f>E18*F18</f>
        <v>74493.100000000006</v>
      </c>
      <c r="H18" s="69">
        <v>11</v>
      </c>
    </row>
    <row r="19" spans="1:8" x14ac:dyDescent="0.25">
      <c r="A19" s="69" t="s">
        <v>191</v>
      </c>
      <c r="B19" s="70" t="str">
        <f>Garçonete!A24</f>
        <v>Garçonete</v>
      </c>
      <c r="C19" s="70">
        <f>Garçonete!G158</f>
        <v>0</v>
      </c>
      <c r="D19" s="69">
        <v>1</v>
      </c>
      <c r="E19" s="70">
        <f>Garçonete!G157</f>
        <v>6746.74</v>
      </c>
      <c r="F19" s="69">
        <v>5</v>
      </c>
      <c r="G19" s="71">
        <f>E19*F19</f>
        <v>33733.699999999997</v>
      </c>
      <c r="H19" s="69">
        <v>5</v>
      </c>
    </row>
    <row r="20" spans="1:8" ht="17.25" customHeight="1" x14ac:dyDescent="0.25">
      <c r="A20" s="69" t="s">
        <v>192</v>
      </c>
      <c r="B20" s="70" t="str">
        <f>'Auxiliar '!A24</f>
        <v xml:space="preserve">Auxiliar </v>
      </c>
      <c r="C20" s="70">
        <f>'Auxiliar '!G158</f>
        <v>0</v>
      </c>
      <c r="D20" s="69">
        <v>1</v>
      </c>
      <c r="E20" s="70">
        <f>'Auxiliar '!G157</f>
        <v>5113.04</v>
      </c>
      <c r="F20" s="69">
        <v>1</v>
      </c>
      <c r="G20" s="71">
        <f>E20*F20</f>
        <v>5113.04</v>
      </c>
      <c r="H20" s="69">
        <f>D20*F20</f>
        <v>1</v>
      </c>
    </row>
    <row r="21" spans="1:8" x14ac:dyDescent="0.25">
      <c r="A21" s="411" t="s">
        <v>330</v>
      </c>
      <c r="B21" s="411"/>
      <c r="C21" s="411"/>
      <c r="D21" s="411"/>
      <c r="E21" s="411"/>
      <c r="F21" s="411"/>
      <c r="G21" s="72">
        <f>SUM(G16:G20)</f>
        <v>194768.82000000004</v>
      </c>
      <c r="H21" s="69" t="s">
        <v>440</v>
      </c>
    </row>
    <row r="22" spans="1:8" ht="18.600000000000001" customHeight="1" x14ac:dyDescent="0.25">
      <c r="A22" s="415"/>
      <c r="B22" s="415"/>
      <c r="C22" s="415"/>
      <c r="D22" s="415"/>
      <c r="E22" s="415"/>
      <c r="F22" s="415"/>
      <c r="G22" s="415"/>
      <c r="H22" s="415"/>
    </row>
    <row r="23" spans="1:8" ht="19.5" customHeight="1" x14ac:dyDescent="0.25">
      <c r="A23" s="415"/>
      <c r="B23" s="415"/>
      <c r="C23" s="415"/>
      <c r="D23" s="415"/>
      <c r="E23" s="415"/>
      <c r="F23" s="415"/>
      <c r="G23" s="415"/>
      <c r="H23" s="415"/>
    </row>
    <row r="24" spans="1:8" x14ac:dyDescent="0.25">
      <c r="A24" s="415"/>
      <c r="B24" s="415"/>
      <c r="C24" s="415"/>
      <c r="D24" s="415"/>
      <c r="E24" s="415"/>
      <c r="F24" s="415"/>
      <c r="G24" s="415"/>
      <c r="H24" s="415"/>
    </row>
    <row r="25" spans="1:8" x14ac:dyDescent="0.25">
      <c r="A25" s="415"/>
      <c r="B25" s="415"/>
      <c r="C25" s="415"/>
      <c r="D25" s="415"/>
      <c r="E25" s="415"/>
      <c r="F25" s="415"/>
      <c r="G25" s="415"/>
      <c r="H25" s="415"/>
    </row>
    <row r="26" spans="1:8" x14ac:dyDescent="0.25">
      <c r="A26" s="394" t="s">
        <v>175</v>
      </c>
      <c r="B26" s="394"/>
      <c r="C26" s="394"/>
      <c r="D26" s="394"/>
      <c r="E26" s="394"/>
      <c r="F26" s="394"/>
      <c r="G26" s="394"/>
      <c r="H26" s="394"/>
    </row>
    <row r="27" spans="1:8" x14ac:dyDescent="0.25">
      <c r="A27" s="411" t="s">
        <v>176</v>
      </c>
      <c r="B27" s="411"/>
      <c r="C27" s="411"/>
      <c r="D27" s="411"/>
      <c r="E27" s="411"/>
      <c r="F27" s="411"/>
      <c r="G27" s="411"/>
      <c r="H27" s="411"/>
    </row>
    <row r="28" spans="1:8" x14ac:dyDescent="0.25">
      <c r="A28" s="73"/>
      <c r="B28" s="416" t="s">
        <v>115</v>
      </c>
      <c r="C28" s="416"/>
      <c r="D28" s="416"/>
      <c r="E28" s="416"/>
      <c r="F28" s="416"/>
      <c r="G28" s="416" t="s">
        <v>8</v>
      </c>
      <c r="H28" s="416"/>
    </row>
    <row r="29" spans="1:8" x14ac:dyDescent="0.25">
      <c r="A29" s="69" t="s">
        <v>31</v>
      </c>
      <c r="B29" s="403" t="s">
        <v>177</v>
      </c>
      <c r="C29" s="403"/>
      <c r="D29" s="403"/>
      <c r="E29" s="403"/>
      <c r="F29" s="403"/>
      <c r="G29" s="414"/>
      <c r="H29" s="414"/>
    </row>
    <row r="30" spans="1:8" x14ac:dyDescent="0.25">
      <c r="A30" s="69" t="s">
        <v>178</v>
      </c>
      <c r="B30" s="402" t="str">
        <f>B16</f>
        <v>Encarregado</v>
      </c>
      <c r="C30" s="403"/>
      <c r="D30" s="403"/>
      <c r="E30" s="403"/>
      <c r="F30" s="403"/>
      <c r="G30" s="404">
        <f>Encarregado!G157</f>
        <v>10102.48</v>
      </c>
      <c r="H30" s="404"/>
    </row>
    <row r="31" spans="1:8" x14ac:dyDescent="0.25">
      <c r="A31" s="69" t="s">
        <v>179</v>
      </c>
      <c r="B31" s="402" t="str">
        <f>B17</f>
        <v>Copeira</v>
      </c>
      <c r="C31" s="402"/>
      <c r="D31" s="402"/>
      <c r="E31" s="402"/>
      <c r="F31" s="402"/>
      <c r="G31" s="404">
        <f>Copeira!G157</f>
        <v>5094.75</v>
      </c>
      <c r="H31" s="404"/>
    </row>
    <row r="32" spans="1:8" x14ac:dyDescent="0.25">
      <c r="A32" s="69" t="s">
        <v>302</v>
      </c>
      <c r="B32" s="402" t="str">
        <f>B18</f>
        <v>Garçom</v>
      </c>
      <c r="C32" s="402"/>
      <c r="D32" s="402"/>
      <c r="E32" s="402"/>
      <c r="F32" s="402"/>
      <c r="G32" s="404">
        <f>Garçom!G157</f>
        <v>6772.1</v>
      </c>
      <c r="H32" s="404"/>
    </row>
    <row r="33" spans="1:8" x14ac:dyDescent="0.25">
      <c r="A33" s="69" t="s">
        <v>303</v>
      </c>
      <c r="B33" s="402" t="str">
        <f>B19</f>
        <v>Garçonete</v>
      </c>
      <c r="C33" s="402"/>
      <c r="D33" s="402"/>
      <c r="E33" s="402"/>
      <c r="F33" s="402"/>
      <c r="G33" s="404">
        <f>Garçonete!G157</f>
        <v>6746.74</v>
      </c>
      <c r="H33" s="404"/>
    </row>
    <row r="34" spans="1:8" x14ac:dyDescent="0.25">
      <c r="A34" s="69" t="s">
        <v>180</v>
      </c>
      <c r="B34" s="402" t="str">
        <f>B20</f>
        <v xml:space="preserve">Auxiliar </v>
      </c>
      <c r="C34" s="402"/>
      <c r="D34" s="402"/>
      <c r="E34" s="402"/>
      <c r="F34" s="402"/>
      <c r="G34" s="404">
        <f>'Auxiliar '!G157</f>
        <v>5113.04</v>
      </c>
      <c r="H34" s="404"/>
    </row>
    <row r="35" spans="1:8" x14ac:dyDescent="0.25">
      <c r="A35" s="69" t="s">
        <v>33</v>
      </c>
      <c r="B35" s="403" t="s">
        <v>181</v>
      </c>
      <c r="C35" s="403"/>
      <c r="D35" s="403"/>
      <c r="E35" s="403"/>
      <c r="F35" s="403"/>
      <c r="G35" s="405">
        <f t="shared" ref="G35" si="0">G21</f>
        <v>194768.82000000004</v>
      </c>
      <c r="H35" s="405"/>
    </row>
    <row r="36" spans="1:8" x14ac:dyDescent="0.25">
      <c r="A36" s="69" t="s">
        <v>36</v>
      </c>
      <c r="B36" s="403" t="s">
        <v>182</v>
      </c>
      <c r="C36" s="403"/>
      <c r="D36" s="403"/>
      <c r="E36" s="403"/>
      <c r="F36" s="403"/>
      <c r="G36" s="406">
        <f>12*G35</f>
        <v>2337225.8400000003</v>
      </c>
      <c r="H36" s="406"/>
    </row>
    <row r="37" spans="1:8" x14ac:dyDescent="0.25">
      <c r="A37" s="408" t="s">
        <v>183</v>
      </c>
      <c r="B37" s="409"/>
      <c r="C37" s="409"/>
      <c r="D37" s="409"/>
      <c r="E37" s="409"/>
      <c r="F37" s="409"/>
      <c r="G37" s="409"/>
      <c r="H37" s="410"/>
    </row>
    <row r="38" spans="1:8" x14ac:dyDescent="0.25">
      <c r="A38" s="407"/>
      <c r="B38" s="407"/>
      <c r="C38" s="407"/>
      <c r="D38" s="407"/>
      <c r="E38" s="407"/>
      <c r="F38" s="407"/>
      <c r="G38" s="407"/>
      <c r="H38" s="407"/>
    </row>
    <row r="39" spans="1:8" x14ac:dyDescent="0.25">
      <c r="A39" s="407"/>
      <c r="B39" s="407"/>
      <c r="C39" s="407"/>
      <c r="D39" s="407"/>
      <c r="E39" s="407"/>
      <c r="F39" s="407"/>
      <c r="G39" s="407"/>
      <c r="H39" s="407"/>
    </row>
    <row r="40" spans="1:8" x14ac:dyDescent="0.25">
      <c r="A40" s="401" t="s">
        <v>184</v>
      </c>
      <c r="B40" s="401"/>
      <c r="C40" s="401"/>
      <c r="D40" s="401"/>
      <c r="E40" s="401"/>
      <c r="F40" s="401"/>
      <c r="G40" s="401"/>
      <c r="H40" s="401"/>
    </row>
    <row r="41" spans="1:8" x14ac:dyDescent="0.25">
      <c r="A41" s="401" t="s">
        <v>115</v>
      </c>
      <c r="B41" s="401"/>
      <c r="C41" s="401"/>
      <c r="D41" s="401"/>
      <c r="E41" s="394" t="s">
        <v>185</v>
      </c>
      <c r="F41" s="394"/>
      <c r="G41" s="401" t="s">
        <v>186</v>
      </c>
      <c r="H41" s="401"/>
    </row>
    <row r="42" spans="1:8" x14ac:dyDescent="0.25">
      <c r="A42" s="398" t="s">
        <v>187</v>
      </c>
      <c r="B42" s="398"/>
      <c r="C42" s="398"/>
      <c r="D42" s="398"/>
      <c r="E42" s="399">
        <f>G35</f>
        <v>194768.82000000004</v>
      </c>
      <c r="F42" s="399"/>
      <c r="G42" s="395">
        <f>G36</f>
        <v>2337225.8400000003</v>
      </c>
      <c r="H42" s="395"/>
    </row>
    <row r="43" spans="1:8" x14ac:dyDescent="0.25">
      <c r="A43" s="398" t="s">
        <v>188</v>
      </c>
      <c r="B43" s="398"/>
      <c r="C43" s="398"/>
      <c r="D43" s="398"/>
      <c r="E43" s="399">
        <f>G43/12</f>
        <v>14608.051666666666</v>
      </c>
      <c r="F43" s="399"/>
      <c r="G43" s="400">
        <f>AVERAGE(' Material Consumo'!S63:T63)</f>
        <v>175296.62</v>
      </c>
      <c r="H43" s="400"/>
    </row>
    <row r="44" spans="1:8" x14ac:dyDescent="0.25">
      <c r="A44" s="394" t="s">
        <v>189</v>
      </c>
      <c r="B44" s="394"/>
      <c r="C44" s="394"/>
      <c r="D44" s="394"/>
      <c r="E44" s="395">
        <f>SUM(E42:F43)</f>
        <v>209376.8716666667</v>
      </c>
      <c r="F44" s="395"/>
      <c r="G44" s="395">
        <f>ROUND(SUM(G42:H43),2)</f>
        <v>2512522.46</v>
      </c>
      <c r="H44" s="395"/>
    </row>
    <row r="45" spans="1:8" x14ac:dyDescent="0.25">
      <c r="A45" s="318" t="s">
        <v>436</v>
      </c>
      <c r="B45" s="318"/>
      <c r="C45" s="318"/>
      <c r="D45" s="318"/>
      <c r="E45" s="318"/>
      <c r="F45" s="318"/>
      <c r="G45" s="413">
        <f>ROUND(G44*2.5,2)</f>
        <v>6281306.1500000004</v>
      </c>
      <c r="H45" s="413"/>
    </row>
  </sheetData>
  <mergeCells count="55">
    <mergeCell ref="A45:F45"/>
    <mergeCell ref="G45:H45"/>
    <mergeCell ref="A6:H6"/>
    <mergeCell ref="A7:H7"/>
    <mergeCell ref="B29:F29"/>
    <mergeCell ref="G29:H29"/>
    <mergeCell ref="A22:H25"/>
    <mergeCell ref="A12:H12"/>
    <mergeCell ref="A21:F21"/>
    <mergeCell ref="A26:H26"/>
    <mergeCell ref="A27:H27"/>
    <mergeCell ref="B28:F28"/>
    <mergeCell ref="G28:H28"/>
    <mergeCell ref="A9:H9"/>
    <mergeCell ref="A13:H13"/>
    <mergeCell ref="A14:B14"/>
    <mergeCell ref="H14:H15"/>
    <mergeCell ref="A15:B15"/>
    <mergeCell ref="A1:H1"/>
    <mergeCell ref="A2:H2"/>
    <mergeCell ref="A3:H3"/>
    <mergeCell ref="A4:H4"/>
    <mergeCell ref="A5:H5"/>
    <mergeCell ref="G30:H30"/>
    <mergeCell ref="B31:F31"/>
    <mergeCell ref="G31:H31"/>
    <mergeCell ref="G41:H41"/>
    <mergeCell ref="B32:F32"/>
    <mergeCell ref="G32:H32"/>
    <mergeCell ref="B35:F35"/>
    <mergeCell ref="G35:H35"/>
    <mergeCell ref="B36:F36"/>
    <mergeCell ref="G36:H36"/>
    <mergeCell ref="A38:H39"/>
    <mergeCell ref="B33:F33"/>
    <mergeCell ref="B34:F34"/>
    <mergeCell ref="G33:H33"/>
    <mergeCell ref="G34:H34"/>
    <mergeCell ref="A37:H37"/>
    <mergeCell ref="A44:D44"/>
    <mergeCell ref="E44:F44"/>
    <mergeCell ref="G44:H44"/>
    <mergeCell ref="A8:H8"/>
    <mergeCell ref="A10:H10"/>
    <mergeCell ref="A11:H11"/>
    <mergeCell ref="A42:D42"/>
    <mergeCell ref="E42:F42"/>
    <mergeCell ref="G42:H42"/>
    <mergeCell ref="A43:D43"/>
    <mergeCell ref="E43:F43"/>
    <mergeCell ref="G43:H43"/>
    <mergeCell ref="A40:H40"/>
    <mergeCell ref="A41:D41"/>
    <mergeCell ref="E41:F41"/>
    <mergeCell ref="B30:F30"/>
  </mergeCells>
  <pageMargins left="0.511811024" right="0.511811024" top="0.78740157499999996" bottom="0.78740157499999996" header="0.31496062000000002" footer="0.31496062000000002"/>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27"/>
  <sheetViews>
    <sheetView view="pageBreakPreview" topLeftCell="A4" zoomScale="120" zoomScaleNormal="120" zoomScaleSheetLayoutView="120" workbookViewId="0">
      <selection activeCell="A2" sqref="A2:J27"/>
    </sheetView>
  </sheetViews>
  <sheetFormatPr defaultRowHeight="15" x14ac:dyDescent="0.25"/>
  <cols>
    <col min="1" max="1" width="8.28515625" customWidth="1"/>
    <col min="2" max="2" width="5.140625" customWidth="1"/>
    <col min="3" max="3" width="26.5703125" customWidth="1"/>
    <col min="4" max="4" width="8.5703125" customWidth="1"/>
    <col min="5" max="7" width="8.42578125" customWidth="1"/>
    <col min="8" max="8" width="10.85546875" customWidth="1"/>
    <col min="9" max="9" width="12.5703125" bestFit="1" customWidth="1"/>
    <col min="10" max="10" width="15.28515625" bestFit="1" customWidth="1"/>
    <col min="11" max="11" width="14.28515625" bestFit="1" customWidth="1"/>
  </cols>
  <sheetData>
    <row r="1" spans="1:10" x14ac:dyDescent="0.25">
      <c r="A1" s="431"/>
      <c r="B1" s="431"/>
      <c r="C1" s="431"/>
      <c r="D1" s="431"/>
      <c r="E1" s="431"/>
      <c r="F1" s="431"/>
      <c r="G1" s="431"/>
      <c r="H1" s="431"/>
      <c r="I1" s="431"/>
      <c r="J1" s="431"/>
    </row>
    <row r="2" spans="1:10" ht="15" customHeight="1" x14ac:dyDescent="0.25">
      <c r="A2" s="356" t="s">
        <v>311</v>
      </c>
      <c r="B2" s="356" t="s">
        <v>5</v>
      </c>
      <c r="C2" s="356" t="s">
        <v>115</v>
      </c>
      <c r="D2" s="356" t="s">
        <v>278</v>
      </c>
      <c r="E2" s="356" t="s">
        <v>279</v>
      </c>
      <c r="F2" s="356" t="s">
        <v>304</v>
      </c>
      <c r="G2" s="356" t="s">
        <v>280</v>
      </c>
      <c r="H2" s="356"/>
      <c r="I2" s="356" t="s">
        <v>294</v>
      </c>
      <c r="J2" s="356"/>
    </row>
    <row r="3" spans="1:10" x14ac:dyDescent="0.25">
      <c r="A3" s="356"/>
      <c r="B3" s="356"/>
      <c r="C3" s="356"/>
      <c r="D3" s="356"/>
      <c r="E3" s="356"/>
      <c r="F3" s="356"/>
      <c r="G3" s="356"/>
      <c r="H3" s="356"/>
      <c r="I3" s="356"/>
      <c r="J3" s="356"/>
    </row>
    <row r="4" spans="1:10" x14ac:dyDescent="0.25">
      <c r="A4" s="356"/>
      <c r="B4" s="356"/>
      <c r="C4" s="356"/>
      <c r="D4" s="356"/>
      <c r="E4" s="356"/>
      <c r="F4" s="356"/>
      <c r="G4" s="356"/>
      <c r="H4" s="356"/>
      <c r="I4" s="356"/>
      <c r="J4" s="356"/>
    </row>
    <row r="5" spans="1:10" ht="30" customHeight="1" x14ac:dyDescent="0.25">
      <c r="A5" s="356"/>
      <c r="B5" s="356"/>
      <c r="C5" s="356"/>
      <c r="D5" s="356"/>
      <c r="E5" s="356"/>
      <c r="F5" s="356"/>
      <c r="G5" s="356" t="s">
        <v>291</v>
      </c>
      <c r="H5" s="356" t="s">
        <v>281</v>
      </c>
      <c r="I5" s="356" t="s">
        <v>292</v>
      </c>
      <c r="J5" s="356" t="s">
        <v>293</v>
      </c>
    </row>
    <row r="6" spans="1:10" x14ac:dyDescent="0.25">
      <c r="A6" s="356"/>
      <c r="B6" s="356"/>
      <c r="C6" s="356"/>
      <c r="D6" s="356"/>
      <c r="E6" s="356"/>
      <c r="F6" s="356"/>
      <c r="G6" s="356"/>
      <c r="H6" s="356"/>
      <c r="I6" s="356"/>
      <c r="J6" s="356"/>
    </row>
    <row r="7" spans="1:10" x14ac:dyDescent="0.25">
      <c r="A7" s="356"/>
      <c r="B7" s="356"/>
      <c r="C7" s="356"/>
      <c r="D7" s="356"/>
      <c r="E7" s="356"/>
      <c r="F7" s="356"/>
      <c r="G7" s="356"/>
      <c r="H7" s="356"/>
      <c r="I7" s="356"/>
      <c r="J7" s="356"/>
    </row>
    <row r="8" spans="1:10" x14ac:dyDescent="0.25">
      <c r="A8" s="436"/>
      <c r="B8" s="437"/>
      <c r="C8" s="437"/>
      <c r="D8" s="437"/>
      <c r="E8" s="437"/>
      <c r="F8" s="437"/>
      <c r="G8" s="437"/>
      <c r="H8" s="437"/>
      <c r="I8" s="437"/>
      <c r="J8" s="438"/>
    </row>
    <row r="9" spans="1:10" ht="14.45" customHeight="1" x14ac:dyDescent="0.25">
      <c r="A9" s="433">
        <v>1</v>
      </c>
      <c r="B9" s="96" t="s">
        <v>118</v>
      </c>
      <c r="C9" s="97" t="s">
        <v>305</v>
      </c>
      <c r="D9" s="98"/>
      <c r="E9" s="98"/>
      <c r="F9" s="99">
        <v>14397</v>
      </c>
      <c r="G9" s="98"/>
      <c r="H9" s="98"/>
      <c r="I9" s="98"/>
      <c r="J9" s="98"/>
    </row>
    <row r="10" spans="1:10" ht="14.45" customHeight="1" x14ac:dyDescent="0.25">
      <c r="A10" s="434"/>
      <c r="B10" s="96" t="s">
        <v>119</v>
      </c>
      <c r="C10" s="100" t="s">
        <v>282</v>
      </c>
      <c r="D10" s="99" t="s">
        <v>43</v>
      </c>
      <c r="E10" s="99" t="s">
        <v>438</v>
      </c>
      <c r="F10" s="99">
        <v>14397</v>
      </c>
      <c r="G10" s="99">
        <v>1</v>
      </c>
      <c r="H10" s="99">
        <v>1</v>
      </c>
      <c r="I10" s="101">
        <f>Encarregado!G157</f>
        <v>10102.48</v>
      </c>
      <c r="J10" s="101">
        <f>ROUND(G10*I10,2)</f>
        <v>10102.48</v>
      </c>
    </row>
    <row r="11" spans="1:10" ht="14.45" customHeight="1" x14ac:dyDescent="0.25">
      <c r="A11" s="434"/>
      <c r="B11" s="96" t="s">
        <v>120</v>
      </c>
      <c r="C11" s="100" t="s">
        <v>154</v>
      </c>
      <c r="D11" s="99" t="s">
        <v>43</v>
      </c>
      <c r="E11" s="99" t="s">
        <v>153</v>
      </c>
      <c r="F11" s="99">
        <v>14397</v>
      </c>
      <c r="G11" s="99">
        <v>14</v>
      </c>
      <c r="H11" s="99">
        <v>14</v>
      </c>
      <c r="I11" s="101">
        <f>Copeira!G157</f>
        <v>5094.75</v>
      </c>
      <c r="J11" s="101">
        <f t="shared" ref="J11:J14" si="0">ROUND(G11*I11,2)</f>
        <v>71326.5</v>
      </c>
    </row>
    <row r="12" spans="1:10" ht="14.45" customHeight="1" x14ac:dyDescent="0.25">
      <c r="A12" s="434"/>
      <c r="B12" s="96" t="s">
        <v>234</v>
      </c>
      <c r="C12" s="100" t="s">
        <v>156</v>
      </c>
      <c r="D12" s="99" t="s">
        <v>43</v>
      </c>
      <c r="E12" s="99" t="s">
        <v>155</v>
      </c>
      <c r="F12" s="99">
        <v>14397</v>
      </c>
      <c r="G12" s="99">
        <v>11</v>
      </c>
      <c r="H12" s="99">
        <v>11</v>
      </c>
      <c r="I12" s="101">
        <f>Garçom!G157</f>
        <v>6772.1</v>
      </c>
      <c r="J12" s="101">
        <f>(G12*I12)</f>
        <v>74493.100000000006</v>
      </c>
    </row>
    <row r="13" spans="1:10" ht="14.45" customHeight="1" x14ac:dyDescent="0.25">
      <c r="A13" s="434"/>
      <c r="B13" s="96" t="s">
        <v>236</v>
      </c>
      <c r="C13" s="100" t="s">
        <v>157</v>
      </c>
      <c r="D13" s="99" t="s">
        <v>43</v>
      </c>
      <c r="E13" s="99" t="s">
        <v>155</v>
      </c>
      <c r="F13" s="99">
        <v>14397</v>
      </c>
      <c r="G13" s="99">
        <v>5</v>
      </c>
      <c r="H13" s="99">
        <v>5</v>
      </c>
      <c r="I13" s="101">
        <f>Garçonete!G157</f>
        <v>6746.74</v>
      </c>
      <c r="J13" s="101">
        <f t="shared" si="0"/>
        <v>33733.699999999997</v>
      </c>
    </row>
    <row r="14" spans="1:10" ht="16.5" customHeight="1" x14ac:dyDescent="0.25">
      <c r="A14" s="434"/>
      <c r="B14" s="96" t="s">
        <v>237</v>
      </c>
      <c r="C14" s="100" t="s">
        <v>158</v>
      </c>
      <c r="D14" s="99" t="s">
        <v>43</v>
      </c>
      <c r="E14" s="99" t="s">
        <v>153</v>
      </c>
      <c r="F14" s="99">
        <v>14397</v>
      </c>
      <c r="G14" s="99">
        <v>1</v>
      </c>
      <c r="H14" s="99">
        <v>1</v>
      </c>
      <c r="I14" s="101">
        <f>'Auxiliar '!G157</f>
        <v>5113.04</v>
      </c>
      <c r="J14" s="101">
        <f t="shared" si="0"/>
        <v>5113.04</v>
      </c>
    </row>
    <row r="15" spans="1:10" ht="14.45" customHeight="1" x14ac:dyDescent="0.25">
      <c r="A15" s="434"/>
      <c r="B15" s="423" t="s">
        <v>283</v>
      </c>
      <c r="C15" s="423"/>
      <c r="D15" s="423"/>
      <c r="E15" s="423"/>
      <c r="F15" s="423"/>
      <c r="G15" s="423"/>
      <c r="H15" s="99">
        <f>SUM(H10:H14)</f>
        <v>32</v>
      </c>
      <c r="I15" s="99"/>
      <c r="J15" s="99"/>
    </row>
    <row r="16" spans="1:10" ht="14.45" customHeight="1" x14ac:dyDescent="0.25">
      <c r="A16" s="434"/>
      <c r="B16" s="99"/>
      <c r="C16" s="432" t="s">
        <v>306</v>
      </c>
      <c r="D16" s="432"/>
      <c r="E16" s="432"/>
      <c r="F16" s="432"/>
      <c r="G16" s="432"/>
      <c r="H16" s="432"/>
      <c r="I16" s="102"/>
      <c r="J16" s="103">
        <f>ROUND(SUM(J10:J14),2)</f>
        <v>194768.82</v>
      </c>
    </row>
    <row r="17" spans="1:11" ht="14.45" customHeight="1" x14ac:dyDescent="0.25">
      <c r="A17" s="434"/>
      <c r="B17" s="99"/>
      <c r="C17" s="432" t="s">
        <v>307</v>
      </c>
      <c r="D17" s="432"/>
      <c r="E17" s="432"/>
      <c r="F17" s="432"/>
      <c r="G17" s="432"/>
      <c r="H17" s="432"/>
      <c r="I17" s="102"/>
      <c r="J17" s="103">
        <f>ROUND(J16*12,2)</f>
        <v>2337225.84</v>
      </c>
    </row>
    <row r="18" spans="1:11" ht="24" customHeight="1" x14ac:dyDescent="0.25">
      <c r="A18" s="434"/>
      <c r="B18" s="420" t="s">
        <v>5</v>
      </c>
      <c r="C18" s="423" t="s">
        <v>284</v>
      </c>
      <c r="D18" s="423"/>
      <c r="E18" s="420" t="s">
        <v>279</v>
      </c>
      <c r="F18" s="423" t="s">
        <v>285</v>
      </c>
      <c r="G18" s="423" t="s">
        <v>41</v>
      </c>
      <c r="H18" s="423" t="s">
        <v>228</v>
      </c>
      <c r="I18" s="423" t="s">
        <v>286</v>
      </c>
      <c r="J18" s="423"/>
    </row>
    <row r="19" spans="1:11" ht="14.45" customHeight="1" x14ac:dyDescent="0.25">
      <c r="A19" s="434"/>
      <c r="B19" s="420"/>
      <c r="C19" s="423"/>
      <c r="D19" s="423"/>
      <c r="E19" s="420"/>
      <c r="F19" s="423"/>
      <c r="G19" s="423"/>
      <c r="H19" s="423"/>
      <c r="I19" s="423"/>
      <c r="J19" s="423"/>
    </row>
    <row r="20" spans="1:11" ht="14.45" customHeight="1" x14ac:dyDescent="0.25">
      <c r="A20" s="434"/>
      <c r="B20" s="420"/>
      <c r="C20" s="423"/>
      <c r="D20" s="423"/>
      <c r="E20" s="420"/>
      <c r="F20" s="423"/>
      <c r="G20" s="423"/>
      <c r="H20" s="423"/>
      <c r="I20" s="99" t="s">
        <v>424</v>
      </c>
      <c r="J20" s="99" t="s">
        <v>21</v>
      </c>
    </row>
    <row r="21" spans="1:11" ht="41.25" customHeight="1" x14ac:dyDescent="0.25">
      <c r="A21" s="434"/>
      <c r="B21" s="104" t="s">
        <v>238</v>
      </c>
      <c r="C21" s="439" t="s">
        <v>287</v>
      </c>
      <c r="D21" s="439"/>
      <c r="E21" s="105"/>
      <c r="F21" s="99" t="s">
        <v>288</v>
      </c>
      <c r="G21" s="99"/>
      <c r="H21" s="96"/>
      <c r="I21" s="429">
        <f>AVERAGE(' Material Consumo'!S64:T64)</f>
        <v>14608.051666666666</v>
      </c>
      <c r="J21" s="427">
        <f>ROUND(I21*12,2)</f>
        <v>175296.62</v>
      </c>
    </row>
    <row r="22" spans="1:11" ht="14.45" customHeight="1" x14ac:dyDescent="0.25">
      <c r="A22" s="434"/>
      <c r="B22" s="96"/>
      <c r="C22" s="421" t="s">
        <v>289</v>
      </c>
      <c r="D22" s="422"/>
      <c r="E22" s="96"/>
      <c r="F22" s="96"/>
      <c r="G22" s="96" t="s">
        <v>290</v>
      </c>
      <c r="H22" s="96">
        <v>1</v>
      </c>
      <c r="I22" s="430"/>
      <c r="J22" s="428"/>
    </row>
    <row r="23" spans="1:11" ht="14.45" customHeight="1" x14ac:dyDescent="0.25">
      <c r="A23" s="434"/>
      <c r="B23" s="96"/>
      <c r="C23" s="419" t="s">
        <v>310</v>
      </c>
      <c r="D23" s="419"/>
      <c r="E23" s="419"/>
      <c r="F23" s="419"/>
      <c r="G23" s="419"/>
      <c r="H23" s="419"/>
      <c r="I23" s="419"/>
      <c r="J23" s="106">
        <f>J21</f>
        <v>175296.62</v>
      </c>
    </row>
    <row r="24" spans="1:11" x14ac:dyDescent="0.25">
      <c r="A24" s="434"/>
      <c r="B24" s="423"/>
      <c r="C24" s="423"/>
      <c r="D24" s="423"/>
      <c r="E24" s="423"/>
      <c r="F24" s="423"/>
      <c r="G24" s="423"/>
      <c r="H24" s="423"/>
      <c r="I24" s="423"/>
      <c r="J24" s="423"/>
    </row>
    <row r="25" spans="1:11" x14ac:dyDescent="0.25">
      <c r="A25" s="434"/>
      <c r="B25" s="419" t="s">
        <v>308</v>
      </c>
      <c r="C25" s="419"/>
      <c r="D25" s="419"/>
      <c r="E25" s="419"/>
      <c r="F25" s="419"/>
      <c r="G25" s="419"/>
      <c r="H25" s="419"/>
      <c r="I25" s="419"/>
      <c r="J25" s="181">
        <f>J16+I21</f>
        <v>209376.87166666667</v>
      </c>
    </row>
    <row r="26" spans="1:11" x14ac:dyDescent="0.25">
      <c r="A26" s="435"/>
      <c r="B26" s="419" t="s">
        <v>309</v>
      </c>
      <c r="C26" s="419"/>
      <c r="D26" s="419"/>
      <c r="E26" s="419"/>
      <c r="F26" s="419"/>
      <c r="G26" s="419"/>
      <c r="H26" s="419"/>
      <c r="I26" s="419"/>
      <c r="J26" s="181">
        <f>ROUND(J25*12,2)</f>
        <v>2512522.46</v>
      </c>
      <c r="K26" s="182"/>
    </row>
    <row r="27" spans="1:11" x14ac:dyDescent="0.25">
      <c r="A27" s="424" t="s">
        <v>435</v>
      </c>
      <c r="B27" s="425"/>
      <c r="C27" s="425"/>
      <c r="D27" s="425"/>
      <c r="E27" s="425"/>
      <c r="F27" s="425"/>
      <c r="G27" s="425"/>
      <c r="H27" s="425"/>
      <c r="I27" s="426"/>
      <c r="J27" s="181">
        <f>ROUND(J26*2.5,2)</f>
        <v>6281306.1500000004</v>
      </c>
    </row>
  </sheetData>
  <mergeCells count="34">
    <mergeCell ref="A27:I27"/>
    <mergeCell ref="B15:G15"/>
    <mergeCell ref="J21:J22"/>
    <mergeCell ref="I21:I22"/>
    <mergeCell ref="A1:J1"/>
    <mergeCell ref="C16:H16"/>
    <mergeCell ref="C17:H17"/>
    <mergeCell ref="A9:A26"/>
    <mergeCell ref="B24:J24"/>
    <mergeCell ref="A8:J8"/>
    <mergeCell ref="A2:A7"/>
    <mergeCell ref="F2:F7"/>
    <mergeCell ref="C18:D20"/>
    <mergeCell ref="I2:J4"/>
    <mergeCell ref="C21:D21"/>
    <mergeCell ref="I18:J19"/>
    <mergeCell ref="J5:J7"/>
    <mergeCell ref="B2:B7"/>
    <mergeCell ref="C2:C7"/>
    <mergeCell ref="D2:D7"/>
    <mergeCell ref="E2:E7"/>
    <mergeCell ref="G2:H4"/>
    <mergeCell ref="G5:G7"/>
    <mergeCell ref="I5:I7"/>
    <mergeCell ref="H5:H7"/>
    <mergeCell ref="B25:I25"/>
    <mergeCell ref="B26:I26"/>
    <mergeCell ref="B18:B20"/>
    <mergeCell ref="C22:D22"/>
    <mergeCell ref="C23:I23"/>
    <mergeCell ref="E18:E20"/>
    <mergeCell ref="F18:F20"/>
    <mergeCell ref="H18:H20"/>
    <mergeCell ref="G18:G20"/>
  </mergeCells>
  <pageMargins left="0.511811024" right="0.511811024" top="0.78740157499999996" bottom="0.78740157499999996" header="0.31496062000000002" footer="0.31496062000000002"/>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7"/>
  <sheetViews>
    <sheetView zoomScale="120" zoomScaleNormal="120" workbookViewId="0">
      <selection activeCell="C6" sqref="C6"/>
    </sheetView>
  </sheetViews>
  <sheetFormatPr defaultRowHeight="15" x14ac:dyDescent="0.25"/>
  <cols>
    <col min="1" max="1" width="30.140625" customWidth="1"/>
    <col min="2" max="2" width="15.85546875" customWidth="1"/>
    <col min="3" max="3" width="16.7109375" customWidth="1"/>
    <col min="4" max="4" width="17.85546875" customWidth="1"/>
  </cols>
  <sheetData>
    <row r="1" spans="1:4" ht="31.5" customHeight="1" x14ac:dyDescent="0.25">
      <c r="A1" s="441" t="s">
        <v>298</v>
      </c>
      <c r="B1" s="441"/>
      <c r="C1" s="441"/>
      <c r="D1" s="441"/>
    </row>
    <row r="2" spans="1:4" x14ac:dyDescent="0.25">
      <c r="A2" s="442"/>
      <c r="B2" s="443"/>
      <c r="C2" s="443"/>
      <c r="D2" s="444"/>
    </row>
    <row r="3" spans="1:4" x14ac:dyDescent="0.25">
      <c r="A3" s="440" t="s">
        <v>295</v>
      </c>
      <c r="B3" s="440"/>
      <c r="C3" s="440" t="s">
        <v>51</v>
      </c>
      <c r="D3" s="440"/>
    </row>
    <row r="4" spans="1:4" x14ac:dyDescent="0.25">
      <c r="A4" s="440"/>
      <c r="B4" s="440"/>
      <c r="C4" s="109" t="s">
        <v>296</v>
      </c>
      <c r="D4" s="109" t="s">
        <v>297</v>
      </c>
    </row>
    <row r="5" spans="1:4" ht="19.5" customHeight="1" x14ac:dyDescent="0.25">
      <c r="A5" s="87" t="s">
        <v>300</v>
      </c>
      <c r="B5" s="88">
        <f>'Resumo Geral (MO+MAT.)'!G44</f>
        <v>2512522.46</v>
      </c>
      <c r="C5" s="89"/>
      <c r="D5" s="89"/>
    </row>
    <row r="6" spans="1:4" x14ac:dyDescent="0.25">
      <c r="A6" s="87" t="s">
        <v>301</v>
      </c>
      <c r="B6" s="88">
        <f>'Resumo Geral (MO+MAT.)'!G42</f>
        <v>2337225.8400000003</v>
      </c>
      <c r="C6" s="89">
        <f>B6/B5</f>
        <v>0.93023082468285689</v>
      </c>
      <c r="D6" s="1"/>
    </row>
    <row r="7" spans="1:4" x14ac:dyDescent="0.25">
      <c r="A7" s="87" t="s">
        <v>299</v>
      </c>
      <c r="B7" s="88">
        <f>'Resumo Geral (MO+MAT.)'!G43</f>
        <v>175296.62</v>
      </c>
      <c r="C7" s="1"/>
      <c r="D7" s="89">
        <f>B7/B5</f>
        <v>6.9769175317143231E-2</v>
      </c>
    </row>
  </sheetData>
  <mergeCells count="4">
    <mergeCell ref="C3:D3"/>
    <mergeCell ref="A1:D1"/>
    <mergeCell ref="A3:B4"/>
    <mergeCell ref="A2:D2"/>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7"/>
  <sheetViews>
    <sheetView workbookViewId="0">
      <selection activeCell="S27" sqref="S27"/>
    </sheetView>
  </sheetViews>
  <sheetFormatPr defaultRowHeight="15" x14ac:dyDescent="0.25"/>
  <cols>
    <col min="2" max="2" width="23.140625" customWidth="1"/>
    <col min="5" max="13" width="10.28515625" bestFit="1" customWidth="1"/>
  </cols>
  <sheetData>
    <row r="1" spans="1:14" x14ac:dyDescent="0.25">
      <c r="A1" s="448" t="s">
        <v>419</v>
      </c>
      <c r="B1" s="448"/>
      <c r="C1" s="448"/>
      <c r="D1" s="448"/>
      <c r="E1" s="448"/>
      <c r="F1" s="448"/>
      <c r="G1" s="448"/>
      <c r="H1" s="448"/>
      <c r="I1" s="448"/>
      <c r="J1" s="448"/>
      <c r="K1" s="448"/>
      <c r="L1" s="448"/>
      <c r="M1" s="448"/>
      <c r="N1" s="448"/>
    </row>
    <row r="2" spans="1:14" x14ac:dyDescent="0.25">
      <c r="A2" s="445"/>
      <c r="B2" s="446"/>
      <c r="C2" s="446"/>
      <c r="D2" s="447"/>
      <c r="E2" s="449"/>
      <c r="F2" s="449"/>
      <c r="G2" s="449"/>
      <c r="H2" s="449"/>
      <c r="I2" s="449"/>
      <c r="J2" s="449"/>
      <c r="K2" s="449"/>
      <c r="L2" s="449"/>
      <c r="M2" s="449"/>
      <c r="N2" s="449"/>
    </row>
    <row r="3" spans="1:14" ht="15" customHeight="1" x14ac:dyDescent="0.25">
      <c r="A3" s="450"/>
      <c r="B3" s="451"/>
      <c r="C3" s="451"/>
      <c r="D3" s="452"/>
      <c r="E3" s="453" t="s">
        <v>416</v>
      </c>
      <c r="F3" s="454"/>
      <c r="G3" s="454"/>
      <c r="H3" s="454"/>
      <c r="I3" s="454"/>
      <c r="J3" s="455"/>
      <c r="K3" s="456" t="s">
        <v>428</v>
      </c>
      <c r="L3" s="457"/>
      <c r="M3" s="458" t="s">
        <v>413</v>
      </c>
      <c r="N3" s="458"/>
    </row>
    <row r="4" spans="1:14" ht="34.5" customHeight="1" x14ac:dyDescent="0.25">
      <c r="A4" s="458" t="s">
        <v>5</v>
      </c>
      <c r="B4" s="458" t="s">
        <v>115</v>
      </c>
      <c r="C4" s="458" t="s">
        <v>22</v>
      </c>
      <c r="D4" s="458" t="s">
        <v>417</v>
      </c>
      <c r="E4" s="459" t="s">
        <v>426</v>
      </c>
      <c r="F4" s="460"/>
      <c r="G4" s="459" t="s">
        <v>427</v>
      </c>
      <c r="H4" s="460"/>
      <c r="I4" s="459" t="s">
        <v>429</v>
      </c>
      <c r="J4" s="460"/>
      <c r="K4" s="459" t="s">
        <v>413</v>
      </c>
      <c r="L4" s="460"/>
      <c r="M4" s="458"/>
      <c r="N4" s="458"/>
    </row>
    <row r="5" spans="1:14" x14ac:dyDescent="0.25">
      <c r="A5" s="458"/>
      <c r="B5" s="458"/>
      <c r="C5" s="458"/>
      <c r="D5" s="458"/>
      <c r="E5" s="169" t="s">
        <v>15</v>
      </c>
      <c r="F5" s="169" t="s">
        <v>16</v>
      </c>
      <c r="G5" s="169" t="s">
        <v>15</v>
      </c>
      <c r="H5" s="169" t="s">
        <v>16</v>
      </c>
      <c r="I5" s="169" t="s">
        <v>15</v>
      </c>
      <c r="J5" s="169" t="s">
        <v>16</v>
      </c>
      <c r="K5" s="169" t="s">
        <v>15</v>
      </c>
      <c r="L5" s="169" t="s">
        <v>16</v>
      </c>
      <c r="M5" s="169" t="s">
        <v>15</v>
      </c>
      <c r="N5" s="169" t="s">
        <v>16</v>
      </c>
    </row>
    <row r="6" spans="1:14" ht="163.5" customHeight="1" x14ac:dyDescent="0.25">
      <c r="A6" s="150">
        <v>1</v>
      </c>
      <c r="B6" s="170" t="s">
        <v>418</v>
      </c>
      <c r="C6" s="150" t="s">
        <v>22</v>
      </c>
      <c r="D6" s="150">
        <v>1</v>
      </c>
      <c r="E6" s="179">
        <v>1600</v>
      </c>
      <c r="F6" s="179">
        <f>E6</f>
        <v>1600</v>
      </c>
      <c r="G6" s="179">
        <v>1498</v>
      </c>
      <c r="H6" s="179">
        <f>G6</f>
        <v>1498</v>
      </c>
      <c r="I6" s="179">
        <v>2500</v>
      </c>
      <c r="J6" s="179">
        <f>I6</f>
        <v>2500</v>
      </c>
      <c r="K6" s="179">
        <v>1599.41</v>
      </c>
      <c r="L6" s="179">
        <f>K6</f>
        <v>1599.41</v>
      </c>
      <c r="M6" s="180">
        <f>ROUND(AVERAGE(E6,G6,I6,K6),2)</f>
        <v>1799.35</v>
      </c>
      <c r="N6" s="173">
        <f>M6</f>
        <v>1799.35</v>
      </c>
    </row>
    <row r="7" spans="1:14" ht="15.75" x14ac:dyDescent="0.25">
      <c r="A7" s="174"/>
      <c r="B7" s="445" t="s">
        <v>420</v>
      </c>
      <c r="C7" s="446"/>
      <c r="D7" s="447"/>
      <c r="E7" s="174"/>
      <c r="F7" s="172">
        <f t="shared" ref="F7" si="0">F6/12/31</f>
        <v>4.3010752688172049</v>
      </c>
      <c r="G7" s="174"/>
      <c r="H7" s="172">
        <f t="shared" ref="H7" si="1">H6/12/31</f>
        <v>4.0268817204301071</v>
      </c>
      <c r="I7" s="174"/>
      <c r="J7" s="172">
        <f>J6/12/31</f>
        <v>6.720430107526882</v>
      </c>
      <c r="K7" s="174"/>
      <c r="L7" s="175">
        <f>L6/12/31</f>
        <v>4.2994892473118282</v>
      </c>
      <c r="M7" s="176"/>
      <c r="N7" s="177">
        <f>N6/12/32</f>
        <v>4.6858072916666664</v>
      </c>
    </row>
  </sheetData>
  <mergeCells count="16">
    <mergeCell ref="B7:D7"/>
    <mergeCell ref="A1:N1"/>
    <mergeCell ref="A2:D2"/>
    <mergeCell ref="E2:N2"/>
    <mergeCell ref="A3:D3"/>
    <mergeCell ref="E3:J3"/>
    <mergeCell ref="K3:L3"/>
    <mergeCell ref="M3:N4"/>
    <mergeCell ref="A4:A5"/>
    <mergeCell ref="K4:L4"/>
    <mergeCell ref="G4:H4"/>
    <mergeCell ref="I4:J4"/>
    <mergeCell ref="B4:B5"/>
    <mergeCell ref="C4:C5"/>
    <mergeCell ref="D4:D5"/>
    <mergeCell ref="E4:F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4AECF"/>
  </sheetPr>
  <dimension ref="A2:G158"/>
  <sheetViews>
    <sheetView topLeftCell="A147" zoomScale="130" zoomScaleNormal="130" workbookViewId="0">
      <selection activeCell="G158" sqref="G158"/>
    </sheetView>
  </sheetViews>
  <sheetFormatPr defaultColWidth="9.140625" defaultRowHeight="15" x14ac:dyDescent="0.25"/>
  <cols>
    <col min="1" max="1" width="6.140625" style="3" customWidth="1"/>
    <col min="2" max="5" width="15.7109375" style="3" customWidth="1"/>
    <col min="6" max="7" width="12.7109375" style="3" customWidth="1"/>
    <col min="8" max="16384" width="9.140625" style="3"/>
  </cols>
  <sheetData>
    <row r="2" spans="1:7" x14ac:dyDescent="0.25">
      <c r="A2" s="212" t="s">
        <v>0</v>
      </c>
      <c r="B2" s="212"/>
      <c r="C2" s="212"/>
      <c r="D2" s="212"/>
      <c r="E2" s="212"/>
      <c r="F2" s="212"/>
      <c r="G2" s="212"/>
    </row>
    <row r="3" spans="1:7" x14ac:dyDescent="0.25">
      <c r="A3" s="212" t="s">
        <v>1</v>
      </c>
      <c r="B3" s="212"/>
      <c r="C3" s="212"/>
      <c r="D3" s="212"/>
      <c r="E3" s="212"/>
      <c r="F3" s="212"/>
      <c r="G3" s="212"/>
    </row>
    <row r="4" spans="1:7" x14ac:dyDescent="0.25">
      <c r="A4" s="212" t="s">
        <v>2</v>
      </c>
      <c r="B4" s="212"/>
      <c r="C4" s="212"/>
      <c r="D4" s="212"/>
      <c r="E4" s="212"/>
      <c r="F4" s="212"/>
      <c r="G4" s="212"/>
    </row>
    <row r="5" spans="1:7" x14ac:dyDescent="0.25">
      <c r="A5" s="212" t="s">
        <v>3</v>
      </c>
      <c r="B5" s="212"/>
      <c r="C5" s="212"/>
      <c r="D5" s="212"/>
      <c r="E5" s="212"/>
      <c r="F5" s="212"/>
      <c r="G5" s="212"/>
    </row>
    <row r="6" spans="1:7" x14ac:dyDescent="0.25">
      <c r="A6" s="212" t="s">
        <v>4</v>
      </c>
      <c r="B6" s="212"/>
      <c r="C6" s="212"/>
      <c r="D6" s="212"/>
      <c r="E6" s="212"/>
      <c r="F6" s="212"/>
      <c r="G6" s="212"/>
    </row>
    <row r="7" spans="1:7" x14ac:dyDescent="0.25">
      <c r="A7" s="208"/>
      <c r="B7" s="208"/>
      <c r="C7" s="208"/>
      <c r="D7" s="208"/>
      <c r="E7" s="208"/>
      <c r="F7" s="208"/>
      <c r="G7" s="208"/>
    </row>
    <row r="8" spans="1:7" x14ac:dyDescent="0.25">
      <c r="A8" s="204"/>
      <c r="B8" s="204"/>
      <c r="C8" s="204"/>
      <c r="D8" s="204"/>
      <c r="E8" s="204"/>
      <c r="F8" s="204"/>
      <c r="G8" s="204"/>
    </row>
    <row r="9" spans="1:7" ht="88.9" customHeight="1" x14ac:dyDescent="0.25">
      <c r="A9" s="209" t="s">
        <v>325</v>
      </c>
      <c r="B9" s="210"/>
      <c r="C9" s="210"/>
      <c r="D9" s="210"/>
      <c r="E9" s="210"/>
      <c r="F9" s="210"/>
      <c r="G9" s="211"/>
    </row>
    <row r="10" spans="1:7" ht="32.25" customHeight="1" x14ac:dyDescent="0.25">
      <c r="A10" s="205" t="s">
        <v>28</v>
      </c>
      <c r="B10" s="206"/>
      <c r="C10" s="206"/>
      <c r="D10" s="206"/>
      <c r="E10" s="206"/>
      <c r="F10" s="206"/>
      <c r="G10" s="207"/>
    </row>
    <row r="11" spans="1:7" x14ac:dyDescent="0.25">
      <c r="A11" s="4"/>
      <c r="B11" s="5"/>
      <c r="C11" s="5"/>
      <c r="D11" s="5"/>
      <c r="E11" s="5"/>
      <c r="F11" s="5"/>
      <c r="G11" s="6"/>
    </row>
    <row r="12" spans="1:7" x14ac:dyDescent="0.25">
      <c r="A12" s="200" t="s">
        <v>122</v>
      </c>
      <c r="B12" s="201"/>
      <c r="C12" s="201"/>
      <c r="D12" s="201"/>
      <c r="E12" s="201"/>
      <c r="F12" s="201"/>
      <c r="G12" s="202"/>
    </row>
    <row r="13" spans="1:7" x14ac:dyDescent="0.25">
      <c r="A13" s="200" t="s">
        <v>123</v>
      </c>
      <c r="B13" s="201"/>
      <c r="C13" s="201"/>
      <c r="D13" s="201"/>
      <c r="E13" s="201"/>
      <c r="F13" s="201"/>
      <c r="G13" s="202"/>
    </row>
    <row r="14" spans="1:7" x14ac:dyDescent="0.25">
      <c r="A14" s="203" t="s">
        <v>29</v>
      </c>
      <c r="B14" s="203"/>
      <c r="C14" s="203"/>
      <c r="D14" s="203"/>
      <c r="E14" s="203"/>
      <c r="F14" s="203"/>
      <c r="G14" s="203"/>
    </row>
    <row r="15" spans="1:7" x14ac:dyDescent="0.25">
      <c r="A15" s="204"/>
      <c r="B15" s="204"/>
      <c r="C15" s="204"/>
      <c r="D15" s="204"/>
      <c r="E15" s="204"/>
      <c r="F15" s="204"/>
      <c r="G15" s="204"/>
    </row>
    <row r="16" spans="1:7" x14ac:dyDescent="0.25">
      <c r="A16" s="205" t="s">
        <v>30</v>
      </c>
      <c r="B16" s="206"/>
      <c r="C16" s="206"/>
      <c r="D16" s="206"/>
      <c r="E16" s="206"/>
      <c r="F16" s="206"/>
      <c r="G16" s="207"/>
    </row>
    <row r="17" spans="1:7" x14ac:dyDescent="0.25">
      <c r="A17" s="7" t="s">
        <v>31</v>
      </c>
      <c r="B17" s="188" t="s">
        <v>32</v>
      </c>
      <c r="C17" s="189"/>
      <c r="D17" s="189"/>
      <c r="E17" s="190"/>
      <c r="F17" s="191">
        <f ca="1">NOW()</f>
        <v>45383.743923379632</v>
      </c>
      <c r="G17" s="192"/>
    </row>
    <row r="18" spans="1:7" x14ac:dyDescent="0.25">
      <c r="A18" s="7" t="s">
        <v>33</v>
      </c>
      <c r="B18" s="188" t="s">
        <v>34</v>
      </c>
      <c r="C18" s="189"/>
      <c r="D18" s="189"/>
      <c r="E18" s="190"/>
      <c r="F18" s="193" t="s">
        <v>35</v>
      </c>
      <c r="G18" s="194"/>
    </row>
    <row r="19" spans="1:7" ht="29.25" customHeight="1" x14ac:dyDescent="0.25">
      <c r="A19" s="8" t="s">
        <v>36</v>
      </c>
      <c r="B19" s="195" t="s">
        <v>37</v>
      </c>
      <c r="C19" s="196"/>
      <c r="D19" s="196"/>
      <c r="E19" s="197"/>
      <c r="F19" s="198" t="s">
        <v>431</v>
      </c>
      <c r="G19" s="199"/>
    </row>
    <row r="20" spans="1:7" ht="15.75" x14ac:dyDescent="0.25">
      <c r="A20" s="7" t="s">
        <v>38</v>
      </c>
      <c r="B20" s="188" t="s">
        <v>124</v>
      </c>
      <c r="C20" s="189"/>
      <c r="D20" s="189"/>
      <c r="E20" s="190"/>
      <c r="F20" s="218">
        <v>30</v>
      </c>
      <c r="G20" s="219"/>
    </row>
    <row r="21" spans="1:7" x14ac:dyDescent="0.25">
      <c r="A21" s="9"/>
      <c r="B21" s="9"/>
      <c r="C21" s="9"/>
      <c r="D21" s="9"/>
      <c r="E21" s="9"/>
      <c r="F21" s="9"/>
      <c r="G21" s="9"/>
    </row>
    <row r="22" spans="1:7" x14ac:dyDescent="0.25">
      <c r="A22" s="205" t="s">
        <v>39</v>
      </c>
      <c r="B22" s="206"/>
      <c r="C22" s="206"/>
      <c r="D22" s="206"/>
      <c r="E22" s="206"/>
      <c r="F22" s="206"/>
      <c r="G22" s="207"/>
    </row>
    <row r="23" spans="1:7" ht="50.25" customHeight="1" x14ac:dyDescent="0.25">
      <c r="A23" s="220" t="s">
        <v>40</v>
      </c>
      <c r="B23" s="220"/>
      <c r="C23" s="220"/>
      <c r="D23" s="220"/>
      <c r="E23" s="4" t="s">
        <v>41</v>
      </c>
      <c r="F23" s="221" t="s">
        <v>42</v>
      </c>
      <c r="G23" s="222"/>
    </row>
    <row r="24" spans="1:7" ht="15.75" x14ac:dyDescent="0.25">
      <c r="A24" s="297" t="s">
        <v>326</v>
      </c>
      <c r="B24" s="298"/>
      <c r="C24" s="298"/>
      <c r="D24" s="299"/>
      <c r="E24" s="4" t="s">
        <v>43</v>
      </c>
      <c r="F24" s="213">
        <v>1</v>
      </c>
      <c r="G24" s="213"/>
    </row>
    <row r="25" spans="1:7" ht="28.5" customHeight="1" x14ac:dyDescent="0.25">
      <c r="A25" s="214" t="s">
        <v>125</v>
      </c>
      <c r="B25" s="215"/>
      <c r="C25" s="215"/>
      <c r="D25" s="215"/>
      <c r="E25" s="215"/>
      <c r="F25" s="215"/>
      <c r="G25" s="216"/>
    </row>
    <row r="26" spans="1:7" ht="33.75" customHeight="1" x14ac:dyDescent="0.25">
      <c r="A26" s="214" t="s">
        <v>126</v>
      </c>
      <c r="B26" s="215"/>
      <c r="C26" s="215"/>
      <c r="D26" s="215"/>
      <c r="E26" s="215"/>
      <c r="F26" s="215"/>
      <c r="G26" s="216"/>
    </row>
    <row r="27" spans="1:7" x14ac:dyDescent="0.25">
      <c r="A27" s="10"/>
      <c r="B27" s="11"/>
      <c r="C27" s="11"/>
      <c r="D27" s="11"/>
      <c r="E27" s="11"/>
      <c r="F27" s="11"/>
      <c r="G27" s="12"/>
    </row>
    <row r="28" spans="1:7" x14ac:dyDescent="0.25">
      <c r="A28" s="217" t="s">
        <v>44</v>
      </c>
      <c r="B28" s="217"/>
      <c r="C28" s="217"/>
      <c r="D28" s="217"/>
      <c r="E28" s="217"/>
      <c r="F28" s="217"/>
      <c r="G28" s="217"/>
    </row>
    <row r="29" spans="1:7" x14ac:dyDescent="0.25">
      <c r="A29" s="237" t="s">
        <v>45</v>
      </c>
      <c r="B29" s="237"/>
      <c r="C29" s="237"/>
      <c r="D29" s="237"/>
      <c r="E29" s="237"/>
      <c r="F29" s="237"/>
      <c r="G29" s="237"/>
    </row>
    <row r="30" spans="1:7" x14ac:dyDescent="0.25">
      <c r="A30" s="237" t="s">
        <v>46</v>
      </c>
      <c r="B30" s="237"/>
      <c r="C30" s="237"/>
      <c r="D30" s="237"/>
      <c r="E30" s="237"/>
      <c r="F30" s="237"/>
      <c r="G30" s="237"/>
    </row>
    <row r="31" spans="1:7" x14ac:dyDescent="0.25">
      <c r="A31" s="7">
        <v>1</v>
      </c>
      <c r="B31" s="231" t="s">
        <v>47</v>
      </c>
      <c r="C31" s="232"/>
      <c r="D31" s="232"/>
      <c r="E31" s="233"/>
      <c r="F31" s="234" t="str">
        <f>A24</f>
        <v>Copeira</v>
      </c>
      <c r="G31" s="235"/>
    </row>
    <row r="32" spans="1:7" x14ac:dyDescent="0.25">
      <c r="A32" s="7">
        <v>2</v>
      </c>
      <c r="B32" s="231" t="s">
        <v>48</v>
      </c>
      <c r="C32" s="232"/>
      <c r="D32" s="232"/>
      <c r="E32" s="233"/>
      <c r="F32" s="234" t="s">
        <v>153</v>
      </c>
      <c r="G32" s="235"/>
    </row>
    <row r="33" spans="1:7" x14ac:dyDescent="0.25">
      <c r="A33" s="8">
        <v>3</v>
      </c>
      <c r="B33" s="226" t="s">
        <v>432</v>
      </c>
      <c r="C33" s="227"/>
      <c r="D33" s="227"/>
      <c r="E33" s="228"/>
      <c r="F33" s="295">
        <v>1629.62</v>
      </c>
      <c r="G33" s="296"/>
    </row>
    <row r="34" spans="1:7" x14ac:dyDescent="0.25">
      <c r="A34" s="7">
        <v>4</v>
      </c>
      <c r="B34" s="231" t="s">
        <v>49</v>
      </c>
      <c r="C34" s="232"/>
      <c r="D34" s="232"/>
      <c r="E34" s="233"/>
      <c r="F34" s="293" t="str">
        <f>A24</f>
        <v>Copeira</v>
      </c>
      <c r="G34" s="294"/>
    </row>
    <row r="35" spans="1:7" ht="17.45" customHeight="1" x14ac:dyDescent="0.25">
      <c r="A35" s="7">
        <v>5</v>
      </c>
      <c r="B35" s="236" t="s">
        <v>329</v>
      </c>
      <c r="C35" s="236"/>
      <c r="D35" s="236"/>
      <c r="E35" s="236"/>
      <c r="F35" s="191">
        <v>45301</v>
      </c>
      <c r="G35" s="194"/>
    </row>
    <row r="36" spans="1:7" x14ac:dyDescent="0.25">
      <c r="A36" s="193"/>
      <c r="B36" s="240"/>
      <c r="C36" s="240"/>
      <c r="D36" s="240"/>
      <c r="E36" s="240"/>
      <c r="F36" s="240"/>
      <c r="G36" s="194"/>
    </row>
    <row r="37" spans="1:7" x14ac:dyDescent="0.25">
      <c r="A37" s="13"/>
      <c r="B37" s="241" t="s">
        <v>127</v>
      </c>
      <c r="C37" s="241"/>
      <c r="D37" s="241"/>
      <c r="E37" s="241"/>
      <c r="F37" s="14"/>
      <c r="G37" s="15"/>
    </row>
    <row r="38" spans="1:7" x14ac:dyDescent="0.25">
      <c r="A38" s="7">
        <v>1</v>
      </c>
      <c r="B38" s="234" t="s">
        <v>50</v>
      </c>
      <c r="C38" s="242"/>
      <c r="D38" s="242"/>
      <c r="E38" s="235"/>
      <c r="F38" s="7" t="s">
        <v>51</v>
      </c>
      <c r="G38" s="7" t="s">
        <v>8</v>
      </c>
    </row>
    <row r="39" spans="1:7" x14ac:dyDescent="0.25">
      <c r="A39" s="8" t="s">
        <v>31</v>
      </c>
      <c r="B39" s="243" t="s">
        <v>52</v>
      </c>
      <c r="C39" s="232"/>
      <c r="D39" s="232"/>
      <c r="E39" s="233"/>
      <c r="F39" s="16">
        <v>1</v>
      </c>
      <c r="G39" s="17">
        <f>F33</f>
        <v>1629.62</v>
      </c>
    </row>
    <row r="40" spans="1:7" x14ac:dyDescent="0.25">
      <c r="A40" s="7" t="s">
        <v>33</v>
      </c>
      <c r="B40" s="231" t="s">
        <v>128</v>
      </c>
      <c r="C40" s="232"/>
      <c r="D40" s="232"/>
      <c r="E40" s="233"/>
      <c r="F40" s="18">
        <v>0</v>
      </c>
      <c r="G40" s="19">
        <f>G39*F40</f>
        <v>0</v>
      </c>
    </row>
    <row r="41" spans="1:7" x14ac:dyDescent="0.25">
      <c r="A41" s="7" t="s">
        <v>36</v>
      </c>
      <c r="B41" s="231" t="s">
        <v>53</v>
      </c>
      <c r="C41" s="232"/>
      <c r="D41" s="232"/>
      <c r="E41" s="233"/>
      <c r="F41" s="20">
        <v>0</v>
      </c>
      <c r="G41" s="21">
        <f>G40*F41</f>
        <v>0</v>
      </c>
    </row>
    <row r="42" spans="1:7" x14ac:dyDescent="0.25">
      <c r="A42" s="7" t="s">
        <v>38</v>
      </c>
      <c r="B42" s="231" t="s">
        <v>54</v>
      </c>
      <c r="C42" s="232"/>
      <c r="D42" s="232"/>
      <c r="E42" s="233"/>
      <c r="F42" s="20">
        <v>0</v>
      </c>
      <c r="G42" s="21">
        <f>G41*F42</f>
        <v>0</v>
      </c>
    </row>
    <row r="43" spans="1:7" x14ac:dyDescent="0.25">
      <c r="A43" s="7" t="s">
        <v>55</v>
      </c>
      <c r="B43" s="231" t="s">
        <v>56</v>
      </c>
      <c r="C43" s="232"/>
      <c r="D43" s="232"/>
      <c r="E43" s="233"/>
      <c r="F43" s="20">
        <v>0</v>
      </c>
      <c r="G43" s="21">
        <f>G42*F43</f>
        <v>0</v>
      </c>
    </row>
    <row r="44" spans="1:7" x14ac:dyDescent="0.25">
      <c r="A44" s="7" t="s">
        <v>57</v>
      </c>
      <c r="B44" s="231" t="s">
        <v>58</v>
      </c>
      <c r="C44" s="232"/>
      <c r="D44" s="232"/>
      <c r="E44" s="233"/>
      <c r="F44" s="20"/>
      <c r="G44" s="21"/>
    </row>
    <row r="45" spans="1:7" x14ac:dyDescent="0.25">
      <c r="A45" s="22"/>
      <c r="B45" s="238" t="s">
        <v>59</v>
      </c>
      <c r="C45" s="239"/>
      <c r="D45" s="239"/>
      <c r="E45" s="239"/>
      <c r="F45" s="23">
        <f>SUM(F39:F44)</f>
        <v>1</v>
      </c>
      <c r="G45" s="17">
        <f>SUM(G39:G44)</f>
        <v>1629.62</v>
      </c>
    </row>
    <row r="46" spans="1:7" x14ac:dyDescent="0.25">
      <c r="A46" s="245" t="s">
        <v>129</v>
      </c>
      <c r="B46" s="246"/>
      <c r="C46" s="246"/>
      <c r="D46" s="246"/>
      <c r="E46" s="246"/>
      <c r="F46" s="246"/>
      <c r="G46" s="247"/>
    </row>
    <row r="47" spans="1:7" x14ac:dyDescent="0.25">
      <c r="A47" s="193"/>
      <c r="B47" s="240"/>
      <c r="C47" s="240"/>
      <c r="D47" s="240"/>
      <c r="E47" s="240"/>
      <c r="F47" s="240"/>
      <c r="G47" s="194"/>
    </row>
    <row r="48" spans="1:7" x14ac:dyDescent="0.25">
      <c r="A48" s="24"/>
      <c r="B48" s="248" t="s">
        <v>60</v>
      </c>
      <c r="C48" s="249"/>
      <c r="D48" s="249"/>
      <c r="E48" s="249"/>
      <c r="F48" s="25"/>
      <c r="G48" s="25"/>
    </row>
    <row r="49" spans="1:7" x14ac:dyDescent="0.25">
      <c r="A49" s="243" t="s">
        <v>61</v>
      </c>
      <c r="B49" s="250"/>
      <c r="C49" s="250"/>
      <c r="D49" s="250"/>
      <c r="E49" s="250"/>
      <c r="F49" s="250"/>
      <c r="G49" s="251"/>
    </row>
    <row r="50" spans="1:7" x14ac:dyDescent="0.25">
      <c r="A50" s="7" t="s">
        <v>62</v>
      </c>
      <c r="B50" s="243" t="s">
        <v>63</v>
      </c>
      <c r="C50" s="250"/>
      <c r="D50" s="250"/>
      <c r="E50" s="250"/>
      <c r="F50" s="251"/>
      <c r="G50" s="7" t="s">
        <v>8</v>
      </c>
    </row>
    <row r="51" spans="1:7" x14ac:dyDescent="0.25">
      <c r="A51" s="7" t="s">
        <v>31</v>
      </c>
      <c r="B51" s="231" t="s">
        <v>64</v>
      </c>
      <c r="C51" s="232"/>
      <c r="D51" s="232"/>
      <c r="E51" s="233"/>
      <c r="F51" s="26">
        <v>8.3299999999999999E-2</v>
      </c>
      <c r="G51" s="21">
        <f>F51*G45</f>
        <v>135.74734599999999</v>
      </c>
    </row>
    <row r="52" spans="1:7" x14ac:dyDescent="0.25">
      <c r="A52" s="7" t="s">
        <v>33</v>
      </c>
      <c r="B52" s="231" t="s">
        <v>65</v>
      </c>
      <c r="C52" s="232"/>
      <c r="D52" s="232"/>
      <c r="E52" s="233"/>
      <c r="F52" s="26">
        <v>0.121</v>
      </c>
      <c r="G52" s="21">
        <f>F52*G45</f>
        <v>197.18401999999998</v>
      </c>
    </row>
    <row r="53" spans="1:7" x14ac:dyDescent="0.25">
      <c r="A53" s="24"/>
      <c r="B53" s="238" t="s">
        <v>21</v>
      </c>
      <c r="C53" s="239"/>
      <c r="D53" s="239"/>
      <c r="E53" s="244"/>
      <c r="F53" s="27">
        <f>SUM(F51:F52)</f>
        <v>0.20429999999999998</v>
      </c>
      <c r="G53" s="17">
        <f>SUM(G51:G52)</f>
        <v>332.93136599999997</v>
      </c>
    </row>
    <row r="54" spans="1:7" ht="28.5" customHeight="1" x14ac:dyDescent="0.25">
      <c r="A54" s="214" t="s">
        <v>130</v>
      </c>
      <c r="B54" s="215"/>
      <c r="C54" s="215"/>
      <c r="D54" s="215"/>
      <c r="E54" s="215"/>
      <c r="F54" s="215"/>
      <c r="G54" s="216"/>
    </row>
    <row r="55" spans="1:7" ht="30" customHeight="1" x14ac:dyDescent="0.25">
      <c r="A55" s="214" t="s">
        <v>131</v>
      </c>
      <c r="B55" s="215"/>
      <c r="C55" s="215"/>
      <c r="D55" s="215"/>
      <c r="E55" s="215"/>
      <c r="F55" s="215"/>
      <c r="G55" s="216"/>
    </row>
    <row r="56" spans="1:7" ht="42.75" customHeight="1" x14ac:dyDescent="0.25">
      <c r="A56" s="252" t="s">
        <v>423</v>
      </c>
      <c r="B56" s="253"/>
      <c r="C56" s="253"/>
      <c r="D56" s="253"/>
      <c r="E56" s="253"/>
      <c r="F56" s="253"/>
      <c r="G56" s="254"/>
    </row>
    <row r="57" spans="1:7" x14ac:dyDescent="0.25">
      <c r="A57" s="28"/>
      <c r="B57" s="29"/>
      <c r="C57" s="29"/>
      <c r="D57" s="29"/>
      <c r="E57" s="29"/>
      <c r="F57" s="29"/>
      <c r="G57" s="30"/>
    </row>
    <row r="58" spans="1:7" ht="31.5" customHeight="1" x14ac:dyDescent="0.25">
      <c r="A58" s="243" t="s">
        <v>66</v>
      </c>
      <c r="B58" s="250"/>
      <c r="C58" s="250"/>
      <c r="D58" s="250"/>
      <c r="E58" s="250"/>
      <c r="F58" s="250"/>
      <c r="G58" s="251"/>
    </row>
    <row r="59" spans="1:7" ht="24" x14ac:dyDescent="0.25">
      <c r="A59" s="7" t="s">
        <v>67</v>
      </c>
      <c r="B59" s="243" t="s">
        <v>68</v>
      </c>
      <c r="C59" s="232"/>
      <c r="D59" s="232"/>
      <c r="E59" s="233"/>
      <c r="F59" s="31" t="s">
        <v>69</v>
      </c>
      <c r="G59" s="7" t="s">
        <v>8</v>
      </c>
    </row>
    <row r="60" spans="1:7" x14ac:dyDescent="0.25">
      <c r="A60" s="7" t="s">
        <v>31</v>
      </c>
      <c r="B60" s="231" t="s">
        <v>70</v>
      </c>
      <c r="C60" s="232"/>
      <c r="D60" s="232"/>
      <c r="E60" s="233"/>
      <c r="F60" s="32">
        <v>0.2</v>
      </c>
      <c r="G60" s="33">
        <f>F60*(G45+G53+G126)</f>
        <v>404.97465498672886</v>
      </c>
    </row>
    <row r="61" spans="1:7" x14ac:dyDescent="0.25">
      <c r="A61" s="7" t="s">
        <v>33</v>
      </c>
      <c r="B61" s="231" t="s">
        <v>71</v>
      </c>
      <c r="C61" s="232"/>
      <c r="D61" s="232"/>
      <c r="E61" s="233"/>
      <c r="F61" s="32">
        <v>2.5000000000000001E-2</v>
      </c>
      <c r="G61" s="33">
        <f>F61*(G45+G53+G126)</f>
        <v>50.621831873341108</v>
      </c>
    </row>
    <row r="62" spans="1:7" x14ac:dyDescent="0.25">
      <c r="A62" s="7" t="s">
        <v>36</v>
      </c>
      <c r="B62" s="231" t="s">
        <v>72</v>
      </c>
      <c r="C62" s="232"/>
      <c r="D62" s="232"/>
      <c r="E62" s="233"/>
      <c r="F62" s="32">
        <v>0.03</v>
      </c>
      <c r="G62" s="33">
        <f>F62*(G45+G53+G126)</f>
        <v>60.746198248009328</v>
      </c>
    </row>
    <row r="63" spans="1:7" x14ac:dyDescent="0.25">
      <c r="A63" s="7" t="s">
        <v>38</v>
      </c>
      <c r="B63" s="231" t="s">
        <v>73</v>
      </c>
      <c r="C63" s="232"/>
      <c r="D63" s="232"/>
      <c r="E63" s="233"/>
      <c r="F63" s="32">
        <v>1.4999999999999999E-2</v>
      </c>
      <c r="G63" s="33">
        <f>F63*(G45+G53+G126)</f>
        <v>30.373099124004664</v>
      </c>
    </row>
    <row r="64" spans="1:7" x14ac:dyDescent="0.25">
      <c r="A64" s="7" t="s">
        <v>55</v>
      </c>
      <c r="B64" s="231" t="s">
        <v>74</v>
      </c>
      <c r="C64" s="232"/>
      <c r="D64" s="232"/>
      <c r="E64" s="233"/>
      <c r="F64" s="32">
        <v>0.01</v>
      </c>
      <c r="G64" s="33">
        <f>F64*(G45+G53+G126)</f>
        <v>20.248732749336444</v>
      </c>
    </row>
    <row r="65" spans="1:7" x14ac:dyDescent="0.25">
      <c r="A65" s="7" t="s">
        <v>57</v>
      </c>
      <c r="B65" s="231" t="s">
        <v>75</v>
      </c>
      <c r="C65" s="232"/>
      <c r="D65" s="232"/>
      <c r="E65" s="233"/>
      <c r="F65" s="32">
        <v>6.0000000000000001E-3</v>
      </c>
      <c r="G65" s="33">
        <f>F65*(G45+G53+G126)</f>
        <v>12.149239649601867</v>
      </c>
    </row>
    <row r="66" spans="1:7" x14ac:dyDescent="0.25">
      <c r="A66" s="7" t="s">
        <v>76</v>
      </c>
      <c r="B66" s="231" t="s">
        <v>77</v>
      </c>
      <c r="C66" s="232"/>
      <c r="D66" s="232"/>
      <c r="E66" s="233"/>
      <c r="F66" s="32">
        <v>2E-3</v>
      </c>
      <c r="G66" s="33">
        <f>F66*(G45+G53+G126)</f>
        <v>4.0497465498672884</v>
      </c>
    </row>
    <row r="67" spans="1:7" x14ac:dyDescent="0.25">
      <c r="A67" s="7" t="s">
        <v>78</v>
      </c>
      <c r="B67" s="231" t="s">
        <v>79</v>
      </c>
      <c r="C67" s="232"/>
      <c r="D67" s="232"/>
      <c r="E67" s="233"/>
      <c r="F67" s="32">
        <v>0.08</v>
      </c>
      <c r="G67" s="33">
        <f>F67*(G45+G53+G126)</f>
        <v>161.98986199469155</v>
      </c>
    </row>
    <row r="68" spans="1:7" x14ac:dyDescent="0.25">
      <c r="A68" s="24"/>
      <c r="B68" s="238" t="s">
        <v>21</v>
      </c>
      <c r="C68" s="239"/>
      <c r="D68" s="239"/>
      <c r="E68" s="244"/>
      <c r="F68" s="27">
        <f>SUM(F60:F67)</f>
        <v>0.36800000000000005</v>
      </c>
      <c r="G68" s="34">
        <f>SUM(G60:G67)</f>
        <v>745.15336517558114</v>
      </c>
    </row>
    <row r="69" spans="1:7" x14ac:dyDescent="0.25">
      <c r="A69" s="214" t="s">
        <v>132</v>
      </c>
      <c r="B69" s="215"/>
      <c r="C69" s="215"/>
      <c r="D69" s="215"/>
      <c r="E69" s="215"/>
      <c r="F69" s="215"/>
      <c r="G69" s="216"/>
    </row>
    <row r="70" spans="1:7" ht="28.5" customHeight="1" x14ac:dyDescent="0.25">
      <c r="A70" s="214" t="s">
        <v>133</v>
      </c>
      <c r="B70" s="215"/>
      <c r="C70" s="215"/>
      <c r="D70" s="215"/>
      <c r="E70" s="215"/>
      <c r="F70" s="215"/>
      <c r="G70" s="216"/>
    </row>
    <row r="71" spans="1:7" ht="22.5" customHeight="1" x14ac:dyDescent="0.25">
      <c r="A71" s="257" t="s">
        <v>80</v>
      </c>
      <c r="B71" s="258"/>
      <c r="C71" s="258"/>
      <c r="D71" s="258"/>
      <c r="E71" s="258"/>
      <c r="F71" s="258"/>
      <c r="G71" s="259"/>
    </row>
    <row r="72" spans="1:7" x14ac:dyDescent="0.25">
      <c r="A72" s="35"/>
      <c r="B72" s="36"/>
      <c r="C72" s="29"/>
      <c r="D72" s="29"/>
      <c r="E72" s="29"/>
      <c r="F72" s="37"/>
      <c r="G72" s="38"/>
    </row>
    <row r="73" spans="1:7" x14ac:dyDescent="0.25">
      <c r="A73" s="243" t="s">
        <v>81</v>
      </c>
      <c r="B73" s="250"/>
      <c r="C73" s="250"/>
      <c r="D73" s="250"/>
      <c r="E73" s="250"/>
      <c r="F73" s="250"/>
      <c r="G73" s="251"/>
    </row>
    <row r="74" spans="1:7" x14ac:dyDescent="0.25">
      <c r="A74" s="7" t="s">
        <v>82</v>
      </c>
      <c r="B74" s="255" t="s">
        <v>83</v>
      </c>
      <c r="C74" s="255"/>
      <c r="D74" s="255"/>
      <c r="E74" s="255"/>
      <c r="F74" s="255"/>
      <c r="G74" s="7" t="s">
        <v>8</v>
      </c>
    </row>
    <row r="75" spans="1:7" ht="41.25" customHeight="1" x14ac:dyDescent="0.25">
      <c r="A75" s="7" t="s">
        <v>31</v>
      </c>
      <c r="B75" s="236" t="s">
        <v>441</v>
      </c>
      <c r="C75" s="236"/>
      <c r="D75" s="236"/>
      <c r="E75" s="236"/>
      <c r="F75" s="236"/>
      <c r="G75" s="21">
        <f>((5.5)*2*22)-6%*G45</f>
        <v>144.22280000000001</v>
      </c>
    </row>
    <row r="76" spans="1:7" ht="30" customHeight="1" x14ac:dyDescent="0.25">
      <c r="A76" s="7" t="s">
        <v>33</v>
      </c>
      <c r="B76" s="236" t="s">
        <v>430</v>
      </c>
      <c r="C76" s="236"/>
      <c r="D76" s="236"/>
      <c r="E76" s="236"/>
      <c r="F76" s="236"/>
      <c r="G76" s="21">
        <f>42.2*22</f>
        <v>928.40000000000009</v>
      </c>
    </row>
    <row r="77" spans="1:7" x14ac:dyDescent="0.25">
      <c r="A77" s="7" t="s">
        <v>36</v>
      </c>
      <c r="B77" s="256" t="s">
        <v>134</v>
      </c>
      <c r="C77" s="236"/>
      <c r="D77" s="236"/>
      <c r="E77" s="236"/>
      <c r="F77" s="236"/>
      <c r="G77" s="21">
        <v>187.18</v>
      </c>
    </row>
    <row r="78" spans="1:7" x14ac:dyDescent="0.25">
      <c r="A78" s="7" t="s">
        <v>38</v>
      </c>
      <c r="B78" s="256" t="s">
        <v>150</v>
      </c>
      <c r="C78" s="256"/>
      <c r="D78" s="256"/>
      <c r="E78" s="256"/>
      <c r="F78" s="256"/>
      <c r="G78" s="21">
        <v>12.81</v>
      </c>
    </row>
    <row r="79" spans="1:7" x14ac:dyDescent="0.25">
      <c r="A79" s="7" t="s">
        <v>55</v>
      </c>
      <c r="B79" s="256" t="s">
        <v>84</v>
      </c>
      <c r="C79" s="256"/>
      <c r="D79" s="256"/>
      <c r="E79" s="256"/>
      <c r="F79" s="256"/>
      <c r="G79" s="21"/>
    </row>
    <row r="80" spans="1:7" x14ac:dyDescent="0.25">
      <c r="A80" s="7" t="s">
        <v>57</v>
      </c>
      <c r="B80" s="256" t="s">
        <v>151</v>
      </c>
      <c r="C80" s="256"/>
      <c r="D80" s="256"/>
      <c r="E80" s="256"/>
      <c r="F80" s="256"/>
      <c r="G80" s="21">
        <v>3.3</v>
      </c>
    </row>
    <row r="81" spans="1:7" x14ac:dyDescent="0.25">
      <c r="A81" s="22"/>
      <c r="B81" s="238" t="s">
        <v>21</v>
      </c>
      <c r="C81" s="239"/>
      <c r="D81" s="239"/>
      <c r="E81" s="239"/>
      <c r="F81" s="244"/>
      <c r="G81" s="17">
        <f>SUM(G75:G80)</f>
        <v>1275.9128000000001</v>
      </c>
    </row>
    <row r="82" spans="1:7" ht="21" customHeight="1" x14ac:dyDescent="0.25">
      <c r="A82" s="214" t="s">
        <v>135</v>
      </c>
      <c r="B82" s="215"/>
      <c r="C82" s="215"/>
      <c r="D82" s="215"/>
      <c r="E82" s="215"/>
      <c r="F82" s="215"/>
      <c r="G82" s="216"/>
    </row>
    <row r="83" spans="1:7" ht="27" customHeight="1" x14ac:dyDescent="0.25">
      <c r="A83" s="214" t="s">
        <v>136</v>
      </c>
      <c r="B83" s="215"/>
      <c r="C83" s="215"/>
      <c r="D83" s="215"/>
      <c r="E83" s="215"/>
      <c r="F83" s="215"/>
      <c r="G83" s="216"/>
    </row>
    <row r="84" spans="1:7" x14ac:dyDescent="0.25">
      <c r="A84" s="28"/>
      <c r="B84" s="29"/>
      <c r="C84" s="29"/>
      <c r="D84" s="29"/>
      <c r="E84" s="29"/>
      <c r="F84" s="29"/>
      <c r="G84" s="30"/>
    </row>
    <row r="85" spans="1:7" ht="33.75" customHeight="1" x14ac:dyDescent="0.25">
      <c r="A85" s="24"/>
      <c r="B85" s="260" t="s">
        <v>85</v>
      </c>
      <c r="C85" s="260"/>
      <c r="D85" s="260"/>
      <c r="E85" s="260"/>
      <c r="F85" s="260"/>
      <c r="G85" s="39"/>
    </row>
    <row r="86" spans="1:7" x14ac:dyDescent="0.25">
      <c r="A86" s="7">
        <v>2</v>
      </c>
      <c r="B86" s="255" t="s">
        <v>86</v>
      </c>
      <c r="C86" s="255"/>
      <c r="D86" s="255"/>
      <c r="E86" s="255"/>
      <c r="F86" s="255"/>
      <c r="G86" s="7" t="s">
        <v>8</v>
      </c>
    </row>
    <row r="87" spans="1:7" x14ac:dyDescent="0.25">
      <c r="A87" s="7" t="s">
        <v>62</v>
      </c>
      <c r="B87" s="236" t="s">
        <v>87</v>
      </c>
      <c r="C87" s="236"/>
      <c r="D87" s="236"/>
      <c r="E87" s="236"/>
      <c r="F87" s="236"/>
      <c r="G87" s="21">
        <f>G53</f>
        <v>332.93136599999997</v>
      </c>
    </row>
    <row r="88" spans="1:7" x14ac:dyDescent="0.25">
      <c r="A88" s="7" t="s">
        <v>67</v>
      </c>
      <c r="B88" s="236" t="s">
        <v>68</v>
      </c>
      <c r="C88" s="236"/>
      <c r="D88" s="236"/>
      <c r="E88" s="236"/>
      <c r="F88" s="236"/>
      <c r="G88" s="21">
        <f>G68</f>
        <v>745.15336517558114</v>
      </c>
    </row>
    <row r="89" spans="1:7" x14ac:dyDescent="0.25">
      <c r="A89" s="7" t="s">
        <v>82</v>
      </c>
      <c r="B89" s="236" t="s">
        <v>83</v>
      </c>
      <c r="C89" s="236"/>
      <c r="D89" s="236"/>
      <c r="E89" s="236"/>
      <c r="F89" s="236"/>
      <c r="G89" s="21">
        <f>G81</f>
        <v>1275.9128000000001</v>
      </c>
    </row>
    <row r="90" spans="1:7" x14ac:dyDescent="0.25">
      <c r="A90" s="40"/>
      <c r="B90" s="261" t="s">
        <v>21</v>
      </c>
      <c r="C90" s="262"/>
      <c r="D90" s="262"/>
      <c r="E90" s="262"/>
      <c r="F90" s="263"/>
      <c r="G90" s="17">
        <f>SUM(G87:G89)</f>
        <v>2353.9975311755811</v>
      </c>
    </row>
    <row r="91" spans="1:7" x14ac:dyDescent="0.25">
      <c r="A91" s="264"/>
      <c r="B91" s="265"/>
      <c r="C91" s="265"/>
      <c r="D91" s="265"/>
      <c r="E91" s="265"/>
      <c r="F91" s="265"/>
      <c r="G91" s="266"/>
    </row>
    <row r="92" spans="1:7" x14ac:dyDescent="0.25">
      <c r="A92" s="41"/>
      <c r="B92" s="248" t="s">
        <v>88</v>
      </c>
      <c r="C92" s="249"/>
      <c r="D92" s="249"/>
      <c r="E92" s="267"/>
      <c r="F92" s="25"/>
      <c r="G92" s="25"/>
    </row>
    <row r="93" spans="1:7" ht="24" x14ac:dyDescent="0.25">
      <c r="A93" s="7">
        <v>3</v>
      </c>
      <c r="B93" s="234" t="s">
        <v>89</v>
      </c>
      <c r="C93" s="242"/>
      <c r="D93" s="242"/>
      <c r="E93" s="235"/>
      <c r="F93" s="31" t="s">
        <v>69</v>
      </c>
      <c r="G93" s="7" t="s">
        <v>8</v>
      </c>
    </row>
    <row r="94" spans="1:7" ht="37.5" customHeight="1" x14ac:dyDescent="0.25">
      <c r="A94" s="4" t="s">
        <v>31</v>
      </c>
      <c r="B94" s="231" t="s">
        <v>312</v>
      </c>
      <c r="C94" s="232"/>
      <c r="D94" s="232"/>
      <c r="E94" s="233"/>
      <c r="F94" s="42">
        <v>4.1700000000000001E-3</v>
      </c>
      <c r="G94" s="21">
        <f>F94*(G45+G53)</f>
        <v>8.1838391962199992</v>
      </c>
    </row>
    <row r="95" spans="1:7" ht="21" customHeight="1" x14ac:dyDescent="0.25">
      <c r="A95" s="4" t="s">
        <v>33</v>
      </c>
      <c r="B95" s="231" t="s">
        <v>313</v>
      </c>
      <c r="C95" s="232"/>
      <c r="D95" s="232"/>
      <c r="E95" s="233"/>
      <c r="F95" s="42">
        <f>F67*F94</f>
        <v>3.3360000000000003E-4</v>
      </c>
      <c r="G95" s="21">
        <f>F95*(G45+G53)</f>
        <v>0.65470713569760008</v>
      </c>
    </row>
    <row r="96" spans="1:7" ht="49.5" customHeight="1" x14ac:dyDescent="0.25">
      <c r="A96" s="7" t="s">
        <v>36</v>
      </c>
      <c r="B96" s="231" t="s">
        <v>314</v>
      </c>
      <c r="C96" s="232"/>
      <c r="D96" s="232"/>
      <c r="E96" s="233"/>
      <c r="F96" s="42">
        <f xml:space="preserve"> (40%)*F94</f>
        <v>1.6680000000000002E-3</v>
      </c>
      <c r="G96" s="21">
        <f>F96*(G45+G53)</f>
        <v>3.2735356784880003</v>
      </c>
    </row>
    <row r="97" spans="1:7" ht="48" customHeight="1" x14ac:dyDescent="0.25">
      <c r="A97" s="7" t="s">
        <v>38</v>
      </c>
      <c r="B97" s="231" t="s">
        <v>315</v>
      </c>
      <c r="C97" s="232"/>
      <c r="D97" s="232"/>
      <c r="E97" s="233"/>
      <c r="F97" s="42">
        <f>(7/30)/12</f>
        <v>1.9444444444444445E-2</v>
      </c>
      <c r="G97" s="21">
        <f>F97*(G45+G53)</f>
        <v>38.160721005555551</v>
      </c>
    </row>
    <row r="98" spans="1:7" ht="39" customHeight="1" x14ac:dyDescent="0.25">
      <c r="A98" s="8" t="s">
        <v>55</v>
      </c>
      <c r="B98" s="231" t="s">
        <v>316</v>
      </c>
      <c r="C98" s="232"/>
      <c r="D98" s="232"/>
      <c r="E98" s="233"/>
      <c r="F98" s="42">
        <f>F68*F97</f>
        <v>7.1555555555555565E-3</v>
      </c>
      <c r="G98" s="21">
        <f>F98*(G45+G53)</f>
        <v>14.043145330044446</v>
      </c>
    </row>
    <row r="99" spans="1:7" ht="18" customHeight="1" x14ac:dyDescent="0.25">
      <c r="A99" s="7" t="s">
        <v>57</v>
      </c>
      <c r="B99" s="231" t="s">
        <v>317</v>
      </c>
      <c r="C99" s="232"/>
      <c r="D99" s="232"/>
      <c r="E99" s="233"/>
      <c r="F99" s="26">
        <f>(1+(1/12)+(1/3/12))*0.08*0.4</f>
        <v>3.5555555555555556E-2</v>
      </c>
      <c r="G99" s="19">
        <f>F99*(G45+G53)</f>
        <v>69.779604124444447</v>
      </c>
    </row>
    <row r="100" spans="1:7" x14ac:dyDescent="0.25">
      <c r="A100" s="43"/>
      <c r="B100" s="271" t="s">
        <v>21</v>
      </c>
      <c r="C100" s="272"/>
      <c r="D100" s="272"/>
      <c r="E100" s="273"/>
      <c r="F100" s="44">
        <f>SUM(F94:F99)</f>
        <v>6.8327155555555547E-2</v>
      </c>
      <c r="G100" s="17">
        <f>SUM(G94:G99)</f>
        <v>134.09555247045006</v>
      </c>
    </row>
    <row r="101" spans="1:7" x14ac:dyDescent="0.25">
      <c r="A101" s="45"/>
      <c r="B101" s="46"/>
      <c r="C101" s="46"/>
      <c r="D101" s="46"/>
      <c r="E101" s="46"/>
      <c r="F101" s="46"/>
      <c r="G101" s="47"/>
    </row>
    <row r="102" spans="1:7" x14ac:dyDescent="0.25">
      <c r="A102" s="24"/>
      <c r="B102" s="205" t="s">
        <v>90</v>
      </c>
      <c r="C102" s="206"/>
      <c r="D102" s="206"/>
      <c r="E102" s="207"/>
      <c r="F102" s="25"/>
      <c r="G102" s="25"/>
    </row>
    <row r="103" spans="1:7" ht="37.5" customHeight="1" x14ac:dyDescent="0.25">
      <c r="A103" s="274" t="s">
        <v>137</v>
      </c>
      <c r="B103" s="215"/>
      <c r="C103" s="215"/>
      <c r="D103" s="215"/>
      <c r="E103" s="215"/>
      <c r="F103" s="215"/>
      <c r="G103" s="216"/>
    </row>
    <row r="104" spans="1:7" x14ac:dyDescent="0.25">
      <c r="A104" s="193"/>
      <c r="B104" s="240"/>
      <c r="C104" s="240"/>
      <c r="D104" s="240"/>
      <c r="E104" s="240"/>
      <c r="F104" s="240"/>
      <c r="G104" s="194"/>
    </row>
    <row r="105" spans="1:7" x14ac:dyDescent="0.25">
      <c r="A105" s="268" t="s">
        <v>91</v>
      </c>
      <c r="B105" s="269"/>
      <c r="C105" s="269"/>
      <c r="D105" s="269"/>
      <c r="E105" s="269"/>
      <c r="F105" s="269"/>
      <c r="G105" s="270"/>
    </row>
    <row r="106" spans="1:7" ht="24" x14ac:dyDescent="0.25">
      <c r="A106" s="35" t="s">
        <v>92</v>
      </c>
      <c r="B106" s="234" t="s">
        <v>93</v>
      </c>
      <c r="C106" s="242"/>
      <c r="D106" s="242"/>
      <c r="E106" s="242"/>
      <c r="F106" s="31" t="s">
        <v>69</v>
      </c>
      <c r="G106" s="7" t="s">
        <v>8</v>
      </c>
    </row>
    <row r="107" spans="1:7" x14ac:dyDescent="0.25">
      <c r="A107" s="7" t="s">
        <v>31</v>
      </c>
      <c r="B107" s="231" t="s">
        <v>94</v>
      </c>
      <c r="C107" s="232"/>
      <c r="D107" s="232"/>
      <c r="E107" s="232"/>
      <c r="F107" s="26">
        <f>(8.33%+(8.33%*1/3))/12</f>
        <v>9.2555555555555551E-3</v>
      </c>
      <c r="G107" s="21">
        <f>F107*(G45+G53)</f>
        <v>18.164503198644443</v>
      </c>
    </row>
    <row r="108" spans="1:7" x14ac:dyDescent="0.25">
      <c r="A108" s="7" t="s">
        <v>33</v>
      </c>
      <c r="B108" s="231" t="s">
        <v>318</v>
      </c>
      <c r="C108" s="232"/>
      <c r="D108" s="232"/>
      <c r="E108" s="232"/>
      <c r="F108" s="26">
        <f>(1/12)/30</f>
        <v>2.7777777777777775E-3</v>
      </c>
      <c r="G108" s="21">
        <f>F108*(G45+G53)</f>
        <v>5.4515315722222217</v>
      </c>
    </row>
    <row r="109" spans="1:7" x14ac:dyDescent="0.25">
      <c r="A109" s="7" t="s">
        <v>36</v>
      </c>
      <c r="B109" s="231" t="s">
        <v>319</v>
      </c>
      <c r="C109" s="232"/>
      <c r="D109" s="232"/>
      <c r="E109" s="232"/>
      <c r="F109" s="48">
        <f>1.5%/12</f>
        <v>1.25E-3</v>
      </c>
      <c r="G109" s="21">
        <f>F109*(G45+G53)</f>
        <v>2.4531892074999999</v>
      </c>
    </row>
    <row r="110" spans="1:7" ht="33" customHeight="1" x14ac:dyDescent="0.25">
      <c r="A110" s="7" t="s">
        <v>38</v>
      </c>
      <c r="B110" s="231" t="s">
        <v>320</v>
      </c>
      <c r="C110" s="232"/>
      <c r="D110" s="232"/>
      <c r="E110" s="232"/>
      <c r="F110" s="42">
        <f>8%/12/2</f>
        <v>3.3333333333333335E-3</v>
      </c>
      <c r="G110" s="21">
        <f>F110*(G45+G53)</f>
        <v>6.5418378866666664</v>
      </c>
    </row>
    <row r="111" spans="1:7" ht="28.5" customHeight="1" x14ac:dyDescent="0.25">
      <c r="A111" s="7" t="s">
        <v>55</v>
      </c>
      <c r="B111" s="231" t="s">
        <v>138</v>
      </c>
      <c r="C111" s="232"/>
      <c r="D111" s="232"/>
      <c r="E111" s="232"/>
      <c r="F111" s="49">
        <f>1.5%/12</f>
        <v>1.25E-3</v>
      </c>
      <c r="G111" s="21">
        <f>F111*(G45+G53)</f>
        <v>2.4531892074999999</v>
      </c>
    </row>
    <row r="112" spans="1:7" x14ac:dyDescent="0.25">
      <c r="A112" s="7" t="s">
        <v>57</v>
      </c>
      <c r="B112" s="231" t="s">
        <v>95</v>
      </c>
      <c r="C112" s="232"/>
      <c r="D112" s="232"/>
      <c r="E112" s="232"/>
      <c r="F112" s="26">
        <f>(5/12)/30</f>
        <v>1.388888888888889E-2</v>
      </c>
      <c r="G112" s="21">
        <f>F112*(G45+G53)</f>
        <v>27.257657861111113</v>
      </c>
    </row>
    <row r="113" spans="1:7" x14ac:dyDescent="0.25">
      <c r="A113" s="43"/>
      <c r="B113" s="238" t="s">
        <v>21</v>
      </c>
      <c r="C113" s="239"/>
      <c r="D113" s="239"/>
      <c r="E113" s="244"/>
      <c r="F113" s="27">
        <f>SUM(F107:F112)</f>
        <v>3.1755555555555558E-2</v>
      </c>
      <c r="G113" s="17">
        <f>SUM(G107:G112)</f>
        <v>62.321908933644451</v>
      </c>
    </row>
    <row r="114" spans="1:7" ht="44.25" customHeight="1" x14ac:dyDescent="0.25">
      <c r="A114" s="214" t="s">
        <v>139</v>
      </c>
      <c r="B114" s="215"/>
      <c r="C114" s="215"/>
      <c r="D114" s="215"/>
      <c r="E114" s="215"/>
      <c r="F114" s="215"/>
      <c r="G114" s="216"/>
    </row>
    <row r="115" spans="1:7" x14ac:dyDescent="0.25">
      <c r="A115" s="234"/>
      <c r="B115" s="242"/>
      <c r="C115" s="242"/>
      <c r="D115" s="242"/>
      <c r="E115" s="242"/>
      <c r="F115" s="242"/>
      <c r="G115" s="235"/>
    </row>
    <row r="116" spans="1:7" x14ac:dyDescent="0.25">
      <c r="A116" s="243" t="s">
        <v>96</v>
      </c>
      <c r="B116" s="250"/>
      <c r="C116" s="250"/>
      <c r="D116" s="250"/>
      <c r="E116" s="250"/>
      <c r="F116" s="250"/>
      <c r="G116" s="251"/>
    </row>
    <row r="117" spans="1:7" ht="24" x14ac:dyDescent="0.25">
      <c r="A117" s="7" t="s">
        <v>97</v>
      </c>
      <c r="B117" s="234" t="s">
        <v>98</v>
      </c>
      <c r="C117" s="242"/>
      <c r="D117" s="242"/>
      <c r="E117" s="235"/>
      <c r="F117" s="31" t="s">
        <v>69</v>
      </c>
      <c r="G117" s="7" t="s">
        <v>8</v>
      </c>
    </row>
    <row r="118" spans="1:7" x14ac:dyDescent="0.25">
      <c r="A118" s="7" t="s">
        <v>31</v>
      </c>
      <c r="B118" s="231" t="s">
        <v>99</v>
      </c>
      <c r="C118" s="232"/>
      <c r="D118" s="232"/>
      <c r="E118" s="233"/>
      <c r="F118" s="50"/>
      <c r="G118" s="21"/>
    </row>
    <row r="119" spans="1:7" x14ac:dyDescent="0.25">
      <c r="A119" s="24"/>
      <c r="B119" s="238" t="s">
        <v>21</v>
      </c>
      <c r="C119" s="239"/>
      <c r="D119" s="239"/>
      <c r="E119" s="244"/>
      <c r="F119" s="51"/>
      <c r="G119" s="52"/>
    </row>
    <row r="120" spans="1:7" ht="24.75" customHeight="1" x14ac:dyDescent="0.25">
      <c r="A120" s="214" t="s">
        <v>140</v>
      </c>
      <c r="B120" s="215"/>
      <c r="C120" s="215"/>
      <c r="D120" s="215"/>
      <c r="E120" s="215"/>
      <c r="F120" s="215"/>
      <c r="G120" s="216"/>
    </row>
    <row r="121" spans="1:7" x14ac:dyDescent="0.25">
      <c r="A121" s="193"/>
      <c r="B121" s="240"/>
      <c r="C121" s="240"/>
      <c r="D121" s="240"/>
      <c r="E121" s="240"/>
      <c r="F121" s="240"/>
      <c r="G121" s="194"/>
    </row>
    <row r="122" spans="1:7" x14ac:dyDescent="0.25">
      <c r="A122" s="24"/>
      <c r="B122" s="205" t="s">
        <v>100</v>
      </c>
      <c r="C122" s="206"/>
      <c r="D122" s="206"/>
      <c r="E122" s="206"/>
      <c r="F122" s="206"/>
      <c r="G122" s="25"/>
    </row>
    <row r="123" spans="1:7" ht="24" x14ac:dyDescent="0.25">
      <c r="A123" s="7">
        <v>4</v>
      </c>
      <c r="B123" s="255" t="s">
        <v>101</v>
      </c>
      <c r="C123" s="255"/>
      <c r="D123" s="255"/>
      <c r="E123" s="255"/>
      <c r="F123" s="31" t="s">
        <v>69</v>
      </c>
      <c r="G123" s="7" t="s">
        <v>8</v>
      </c>
    </row>
    <row r="124" spans="1:7" x14ac:dyDescent="0.25">
      <c r="A124" s="7" t="s">
        <v>92</v>
      </c>
      <c r="B124" s="236" t="s">
        <v>102</v>
      </c>
      <c r="C124" s="236"/>
      <c r="D124" s="236"/>
      <c r="E124" s="236"/>
      <c r="F124" s="26">
        <f>F113</f>
        <v>3.1755555555555558E-2</v>
      </c>
      <c r="G124" s="33">
        <f>G113</f>
        <v>62.321908933644451</v>
      </c>
    </row>
    <row r="125" spans="1:7" x14ac:dyDescent="0.25">
      <c r="A125" s="7" t="s">
        <v>97</v>
      </c>
      <c r="B125" s="236" t="s">
        <v>98</v>
      </c>
      <c r="C125" s="236"/>
      <c r="D125" s="236"/>
      <c r="E125" s="236"/>
      <c r="F125" s="53"/>
      <c r="G125" s="54"/>
    </row>
    <row r="126" spans="1:7" x14ac:dyDescent="0.25">
      <c r="A126" s="55"/>
      <c r="B126" s="238" t="s">
        <v>21</v>
      </c>
      <c r="C126" s="239"/>
      <c r="D126" s="239"/>
      <c r="E126" s="244"/>
      <c r="F126" s="27"/>
      <c r="G126" s="17">
        <f>SUM(G124:G125)</f>
        <v>62.321908933644451</v>
      </c>
    </row>
    <row r="127" spans="1:7" x14ac:dyDescent="0.25">
      <c r="A127" s="35"/>
      <c r="B127" s="56"/>
      <c r="C127" s="56"/>
      <c r="D127" s="56"/>
      <c r="E127" s="56"/>
      <c r="F127" s="37"/>
      <c r="G127" s="57"/>
    </row>
    <row r="128" spans="1:7" x14ac:dyDescent="0.25">
      <c r="A128" s="24"/>
      <c r="B128" s="248" t="s">
        <v>103</v>
      </c>
      <c r="C128" s="249"/>
      <c r="D128" s="249"/>
      <c r="E128" s="249"/>
      <c r="F128" s="249"/>
      <c r="G128" s="25"/>
    </row>
    <row r="129" spans="1:7" x14ac:dyDescent="0.25">
      <c r="A129" s="7">
        <v>5</v>
      </c>
      <c r="B129" s="243" t="s">
        <v>104</v>
      </c>
      <c r="C129" s="250"/>
      <c r="D129" s="250"/>
      <c r="E129" s="250"/>
      <c r="F129" s="251"/>
      <c r="G129" s="7" t="s">
        <v>8</v>
      </c>
    </row>
    <row r="130" spans="1:7" x14ac:dyDescent="0.25">
      <c r="A130" s="7" t="s">
        <v>31</v>
      </c>
      <c r="B130" s="290" t="s">
        <v>321</v>
      </c>
      <c r="C130" s="291"/>
      <c r="D130" s="291"/>
      <c r="E130" s="291"/>
      <c r="F130" s="292"/>
      <c r="G130" s="110">
        <f>'Uniformes Por Categoria'!G43</f>
        <v>41.333333333333336</v>
      </c>
    </row>
    <row r="131" spans="1:7" x14ac:dyDescent="0.25">
      <c r="A131" s="7" t="s">
        <v>33</v>
      </c>
      <c r="B131" s="231" t="s">
        <v>114</v>
      </c>
      <c r="C131" s="232"/>
      <c r="D131" s="232"/>
      <c r="E131" s="232"/>
      <c r="F131" s="233"/>
      <c r="G131" s="58"/>
    </row>
    <row r="132" spans="1:7" x14ac:dyDescent="0.25">
      <c r="A132" s="35" t="s">
        <v>36</v>
      </c>
      <c r="B132" s="231" t="s">
        <v>152</v>
      </c>
      <c r="C132" s="232"/>
      <c r="D132" s="232"/>
      <c r="E132" s="232"/>
      <c r="F132" s="233"/>
      <c r="G132" s="58">
        <v>0</v>
      </c>
    </row>
    <row r="133" spans="1:7" x14ac:dyDescent="0.25">
      <c r="A133" s="35" t="s">
        <v>38</v>
      </c>
      <c r="B133" s="231" t="s">
        <v>116</v>
      </c>
      <c r="C133" s="232"/>
      <c r="D133" s="232"/>
      <c r="E133" s="232"/>
      <c r="F133" s="233"/>
      <c r="G133" s="59">
        <f>'[1] EPI Pesquisa'!L25</f>
        <v>0</v>
      </c>
    </row>
    <row r="134" spans="1:7" x14ac:dyDescent="0.25">
      <c r="A134" s="24"/>
      <c r="B134" s="238" t="s">
        <v>21</v>
      </c>
      <c r="C134" s="239"/>
      <c r="D134" s="239"/>
      <c r="E134" s="239"/>
      <c r="F134" s="244"/>
      <c r="G134" s="17">
        <f>SUM(G130:G133)</f>
        <v>41.333333333333336</v>
      </c>
    </row>
    <row r="135" spans="1:7" ht="26.25" customHeight="1" x14ac:dyDescent="0.25">
      <c r="A135" s="214" t="s">
        <v>141</v>
      </c>
      <c r="B135" s="215"/>
      <c r="C135" s="215"/>
      <c r="D135" s="215"/>
      <c r="E135" s="215"/>
      <c r="F135" s="215"/>
      <c r="G135" s="216"/>
    </row>
    <row r="136" spans="1:7" x14ac:dyDescent="0.25">
      <c r="A136" s="60"/>
      <c r="B136" s="46"/>
      <c r="C136" s="46"/>
      <c r="D136" s="46"/>
      <c r="E136" s="46"/>
      <c r="F136" s="37"/>
      <c r="G136" s="61"/>
    </row>
    <row r="137" spans="1:7" x14ac:dyDescent="0.25">
      <c r="A137" s="24"/>
      <c r="B137" s="248" t="s">
        <v>105</v>
      </c>
      <c r="C137" s="249"/>
      <c r="D137" s="249"/>
      <c r="E137" s="249"/>
      <c r="F137" s="249"/>
      <c r="G137" s="25"/>
    </row>
    <row r="138" spans="1:7" x14ac:dyDescent="0.25">
      <c r="A138" s="7">
        <v>6</v>
      </c>
      <c r="B138" s="255" t="s">
        <v>106</v>
      </c>
      <c r="C138" s="255"/>
      <c r="D138" s="255"/>
      <c r="E138" s="275" t="s">
        <v>69</v>
      </c>
      <c r="F138" s="275"/>
      <c r="G138" s="62" t="s">
        <v>8</v>
      </c>
    </row>
    <row r="139" spans="1:7" x14ac:dyDescent="0.25">
      <c r="A139" s="7" t="s">
        <v>31</v>
      </c>
      <c r="B139" s="236" t="s">
        <v>107</v>
      </c>
      <c r="C139" s="236"/>
      <c r="D139" s="236"/>
      <c r="E139" s="276">
        <v>0.05</v>
      </c>
      <c r="F139" s="277"/>
      <c r="G139" s="58">
        <f>(G45+G90+G100+G126+G134)*E139</f>
        <v>211.06841629565042</v>
      </c>
    </row>
    <row r="140" spans="1:7" x14ac:dyDescent="0.25">
      <c r="A140" s="7" t="s">
        <v>33</v>
      </c>
      <c r="B140" s="236" t="s">
        <v>322</v>
      </c>
      <c r="C140" s="236"/>
      <c r="D140" s="236"/>
      <c r="E140" s="276">
        <v>0.05</v>
      </c>
      <c r="F140" s="277"/>
      <c r="G140" s="58">
        <f>(G45+G90+G100+G126+G134+G139)*E140</f>
        <v>221.62183711043295</v>
      </c>
    </row>
    <row r="141" spans="1:7" x14ac:dyDescent="0.25">
      <c r="A141" s="7" t="s">
        <v>36</v>
      </c>
      <c r="B141" s="236" t="s">
        <v>108</v>
      </c>
      <c r="C141" s="236"/>
      <c r="D141" s="236"/>
      <c r="E141" s="276">
        <f>SUM(E142:F143)</f>
        <v>8.6499999999999994E-2</v>
      </c>
      <c r="F141" s="277"/>
      <c r="G141" s="93"/>
    </row>
    <row r="142" spans="1:7" x14ac:dyDescent="0.25">
      <c r="A142" s="50"/>
      <c r="B142" s="236" t="s">
        <v>323</v>
      </c>
      <c r="C142" s="236"/>
      <c r="D142" s="236"/>
      <c r="E142" s="276">
        <f>0.65%+3%</f>
        <v>3.6499999999999998E-2</v>
      </c>
      <c r="F142" s="277"/>
      <c r="G142" s="58">
        <f>E142*G157</f>
        <v>185.95837499999999</v>
      </c>
    </row>
    <row r="143" spans="1:7" x14ac:dyDescent="0.25">
      <c r="A143" s="50"/>
      <c r="B143" s="236" t="s">
        <v>324</v>
      </c>
      <c r="C143" s="236"/>
      <c r="D143" s="236"/>
      <c r="E143" s="276">
        <v>0.05</v>
      </c>
      <c r="F143" s="277"/>
      <c r="G143" s="58">
        <f>E143*G157</f>
        <v>254.73750000000001</v>
      </c>
    </row>
    <row r="144" spans="1:7" x14ac:dyDescent="0.25">
      <c r="A144" s="24"/>
      <c r="B144" s="238" t="s">
        <v>21</v>
      </c>
      <c r="C144" s="239"/>
      <c r="D144" s="244"/>
      <c r="E144" s="278">
        <f>E139+E140+E141</f>
        <v>0.1865</v>
      </c>
      <c r="F144" s="244"/>
      <c r="G144" s="94">
        <f>SUM(G139:G143)</f>
        <v>873.38612840608334</v>
      </c>
    </row>
    <row r="145" spans="1:7" ht="17.25" customHeight="1" x14ac:dyDescent="0.25">
      <c r="A145" s="214" t="s">
        <v>142</v>
      </c>
      <c r="B145" s="215"/>
      <c r="C145" s="215"/>
      <c r="D145" s="215"/>
      <c r="E145" s="215"/>
      <c r="F145" s="215"/>
      <c r="G145" s="216"/>
    </row>
    <row r="146" spans="1:7" x14ac:dyDescent="0.25">
      <c r="A146" s="214" t="s">
        <v>143</v>
      </c>
      <c r="B146" s="215"/>
      <c r="C146" s="215"/>
      <c r="D146" s="215"/>
      <c r="E146" s="215"/>
      <c r="F146" s="215"/>
      <c r="G146" s="216"/>
    </row>
    <row r="147" spans="1:7" x14ac:dyDescent="0.25">
      <c r="A147" s="288"/>
      <c r="B147" s="288"/>
      <c r="C147" s="288"/>
      <c r="D147" s="288"/>
      <c r="E147" s="288"/>
      <c r="F147" s="288"/>
      <c r="G147" s="289"/>
    </row>
    <row r="148" spans="1:7" x14ac:dyDescent="0.25">
      <c r="A148" s="55"/>
      <c r="B148" s="206" t="s">
        <v>109</v>
      </c>
      <c r="C148" s="206"/>
      <c r="D148" s="206"/>
      <c r="E148" s="206"/>
      <c r="F148" s="206"/>
      <c r="G148" s="25"/>
    </row>
    <row r="149" spans="1:7" x14ac:dyDescent="0.25">
      <c r="A149" s="63"/>
      <c r="B149" s="234" t="s">
        <v>110</v>
      </c>
      <c r="C149" s="242"/>
      <c r="D149" s="242"/>
      <c r="E149" s="242"/>
      <c r="F149" s="235"/>
      <c r="G149" s="63" t="s">
        <v>111</v>
      </c>
    </row>
    <row r="150" spans="1:7" x14ac:dyDescent="0.25">
      <c r="A150" s="7" t="s">
        <v>31</v>
      </c>
      <c r="B150" s="279" t="s">
        <v>144</v>
      </c>
      <c r="C150" s="280"/>
      <c r="D150" s="280"/>
      <c r="E150" s="280"/>
      <c r="F150" s="281"/>
      <c r="G150" s="64">
        <f>G45</f>
        <v>1629.62</v>
      </c>
    </row>
    <row r="151" spans="1:7" x14ac:dyDescent="0.25">
      <c r="A151" s="7" t="s">
        <v>33</v>
      </c>
      <c r="B151" s="279" t="s">
        <v>145</v>
      </c>
      <c r="C151" s="280"/>
      <c r="D151" s="280"/>
      <c r="E151" s="280"/>
      <c r="F151" s="281"/>
      <c r="G151" s="64">
        <f>G90</f>
        <v>2353.9975311755811</v>
      </c>
    </row>
    <row r="152" spans="1:7" x14ac:dyDescent="0.25">
      <c r="A152" s="7" t="s">
        <v>36</v>
      </c>
      <c r="B152" s="279" t="s">
        <v>146</v>
      </c>
      <c r="C152" s="280"/>
      <c r="D152" s="280"/>
      <c r="E152" s="280"/>
      <c r="F152" s="281"/>
      <c r="G152" s="95">
        <f>G100</f>
        <v>134.09555247045006</v>
      </c>
    </row>
    <row r="153" spans="1:7" x14ac:dyDescent="0.25">
      <c r="A153" s="7" t="s">
        <v>38</v>
      </c>
      <c r="B153" s="279" t="s">
        <v>147</v>
      </c>
      <c r="C153" s="280"/>
      <c r="D153" s="280"/>
      <c r="E153" s="280"/>
      <c r="F153" s="281"/>
      <c r="G153" s="95">
        <f>G126</f>
        <v>62.321908933644451</v>
      </c>
    </row>
    <row r="154" spans="1:7" x14ac:dyDescent="0.25">
      <c r="A154" s="7" t="s">
        <v>55</v>
      </c>
      <c r="B154" s="279" t="s">
        <v>148</v>
      </c>
      <c r="C154" s="280"/>
      <c r="D154" s="280"/>
      <c r="E154" s="280"/>
      <c r="F154" s="281"/>
      <c r="G154" s="95">
        <f>G134</f>
        <v>41.333333333333336</v>
      </c>
    </row>
    <row r="155" spans="1:7" x14ac:dyDescent="0.25">
      <c r="A155" s="65"/>
      <c r="B155" s="285" t="s">
        <v>112</v>
      </c>
      <c r="C155" s="286"/>
      <c r="D155" s="286"/>
      <c r="E155" s="286"/>
      <c r="F155" s="287"/>
      <c r="G155" s="95">
        <f>SUM(G150:G154)</f>
        <v>4221.3683259130084</v>
      </c>
    </row>
    <row r="156" spans="1:7" x14ac:dyDescent="0.25">
      <c r="A156" s="66" t="s">
        <v>57</v>
      </c>
      <c r="B156" s="279" t="s">
        <v>149</v>
      </c>
      <c r="C156" s="280"/>
      <c r="D156" s="280"/>
      <c r="E156" s="280"/>
      <c r="F156" s="281"/>
      <c r="G156" s="95">
        <f>G144</f>
        <v>873.38612840608334</v>
      </c>
    </row>
    <row r="157" spans="1:7" x14ac:dyDescent="0.25">
      <c r="A157" s="67"/>
      <c r="B157" s="282" t="s">
        <v>113</v>
      </c>
      <c r="C157" s="283"/>
      <c r="D157" s="283"/>
      <c r="E157" s="283"/>
      <c r="F157" s="284"/>
      <c r="G157" s="95">
        <f>ROUND((G139+G140+G155)/(1-E141),2)</f>
        <v>5094.75</v>
      </c>
    </row>
    <row r="158" spans="1:7" ht="15" customHeight="1" x14ac:dyDescent="0.25"/>
  </sheetData>
  <mergeCells count="165">
    <mergeCell ref="A2:G2"/>
    <mergeCell ref="A3:G3"/>
    <mergeCell ref="A4:G4"/>
    <mergeCell ref="A5:G5"/>
    <mergeCell ref="A6:G6"/>
    <mergeCell ref="A7:G7"/>
    <mergeCell ref="A15:G15"/>
    <mergeCell ref="A16:G16"/>
    <mergeCell ref="B17:E17"/>
    <mergeCell ref="F17:G17"/>
    <mergeCell ref="B18:E18"/>
    <mergeCell ref="F18:G18"/>
    <mergeCell ref="A8:G8"/>
    <mergeCell ref="A9:G9"/>
    <mergeCell ref="A10:G10"/>
    <mergeCell ref="A12:G12"/>
    <mergeCell ref="A13:G13"/>
    <mergeCell ref="A14:G14"/>
    <mergeCell ref="A24:D24"/>
    <mergeCell ref="F24:G24"/>
    <mergeCell ref="A25:G25"/>
    <mergeCell ref="A26:G26"/>
    <mergeCell ref="A28:G28"/>
    <mergeCell ref="A29:G29"/>
    <mergeCell ref="B19:E19"/>
    <mergeCell ref="F19:G19"/>
    <mergeCell ref="B20:E20"/>
    <mergeCell ref="F20:G20"/>
    <mergeCell ref="A22:G22"/>
    <mergeCell ref="A23:D23"/>
    <mergeCell ref="F23:G23"/>
    <mergeCell ref="B34:E34"/>
    <mergeCell ref="F34:G34"/>
    <mergeCell ref="B35:E35"/>
    <mergeCell ref="F35:G35"/>
    <mergeCell ref="A36:G36"/>
    <mergeCell ref="B37:E37"/>
    <mergeCell ref="A30:G30"/>
    <mergeCell ref="B31:E31"/>
    <mergeCell ref="F31:G31"/>
    <mergeCell ref="B32:E32"/>
    <mergeCell ref="F32:G32"/>
    <mergeCell ref="B33:E33"/>
    <mergeCell ref="F33:G33"/>
    <mergeCell ref="B44:E44"/>
    <mergeCell ref="B45:E45"/>
    <mergeCell ref="A46:G46"/>
    <mergeCell ref="A47:G47"/>
    <mergeCell ref="B48:E48"/>
    <mergeCell ref="A49:G49"/>
    <mergeCell ref="B38:E38"/>
    <mergeCell ref="B39:E39"/>
    <mergeCell ref="B40:E40"/>
    <mergeCell ref="B41:E41"/>
    <mergeCell ref="B42:E42"/>
    <mergeCell ref="B43:E43"/>
    <mergeCell ref="A56:G56"/>
    <mergeCell ref="A58:G58"/>
    <mergeCell ref="B59:E59"/>
    <mergeCell ref="B60:E60"/>
    <mergeCell ref="B61:E61"/>
    <mergeCell ref="B62:E62"/>
    <mergeCell ref="B50:F50"/>
    <mergeCell ref="B51:E51"/>
    <mergeCell ref="B52:E52"/>
    <mergeCell ref="B53:E53"/>
    <mergeCell ref="A54:G54"/>
    <mergeCell ref="A55:G55"/>
    <mergeCell ref="A69:G69"/>
    <mergeCell ref="A70:G70"/>
    <mergeCell ref="A71:G71"/>
    <mergeCell ref="A73:G73"/>
    <mergeCell ref="B74:F74"/>
    <mergeCell ref="B75:F75"/>
    <mergeCell ref="B63:E63"/>
    <mergeCell ref="B64:E64"/>
    <mergeCell ref="B65:E65"/>
    <mergeCell ref="B66:E66"/>
    <mergeCell ref="B67:E67"/>
    <mergeCell ref="B68:E68"/>
    <mergeCell ref="A82:G82"/>
    <mergeCell ref="A83:G83"/>
    <mergeCell ref="B85:F85"/>
    <mergeCell ref="B86:F86"/>
    <mergeCell ref="B87:F87"/>
    <mergeCell ref="B88:F88"/>
    <mergeCell ref="B76:F76"/>
    <mergeCell ref="B77:F77"/>
    <mergeCell ref="B78:F78"/>
    <mergeCell ref="B79:F79"/>
    <mergeCell ref="B80:F80"/>
    <mergeCell ref="B81:F81"/>
    <mergeCell ref="B95:E95"/>
    <mergeCell ref="B96:E96"/>
    <mergeCell ref="B97:E97"/>
    <mergeCell ref="B98:E98"/>
    <mergeCell ref="B99:E99"/>
    <mergeCell ref="B100:E100"/>
    <mergeCell ref="B89:F89"/>
    <mergeCell ref="B90:F90"/>
    <mergeCell ref="A91:G91"/>
    <mergeCell ref="B92:E92"/>
    <mergeCell ref="B93:E93"/>
    <mergeCell ref="B94:E94"/>
    <mergeCell ref="B108:E108"/>
    <mergeCell ref="B109:E109"/>
    <mergeCell ref="B110:E110"/>
    <mergeCell ref="B111:E111"/>
    <mergeCell ref="B112:E112"/>
    <mergeCell ref="B113:E113"/>
    <mergeCell ref="B102:E102"/>
    <mergeCell ref="A103:G103"/>
    <mergeCell ref="A104:G104"/>
    <mergeCell ref="A105:G105"/>
    <mergeCell ref="B106:E106"/>
    <mergeCell ref="B107:E107"/>
    <mergeCell ref="A120:G120"/>
    <mergeCell ref="A121:G121"/>
    <mergeCell ref="B122:F122"/>
    <mergeCell ref="B123:E123"/>
    <mergeCell ref="B124:E124"/>
    <mergeCell ref="B125:E125"/>
    <mergeCell ref="A114:G114"/>
    <mergeCell ref="A115:G115"/>
    <mergeCell ref="A116:G116"/>
    <mergeCell ref="B117:E117"/>
    <mergeCell ref="B118:E118"/>
    <mergeCell ref="B119:E119"/>
    <mergeCell ref="B133:F133"/>
    <mergeCell ref="B134:F134"/>
    <mergeCell ref="A135:G135"/>
    <mergeCell ref="B137:F137"/>
    <mergeCell ref="B138:D138"/>
    <mergeCell ref="E138:F138"/>
    <mergeCell ref="B126:E126"/>
    <mergeCell ref="B128:F128"/>
    <mergeCell ref="B129:F129"/>
    <mergeCell ref="B130:F130"/>
    <mergeCell ref="B131:F131"/>
    <mergeCell ref="B132:F132"/>
    <mergeCell ref="B142:D142"/>
    <mergeCell ref="E142:F142"/>
    <mergeCell ref="B143:D143"/>
    <mergeCell ref="E143:F143"/>
    <mergeCell ref="B144:D144"/>
    <mergeCell ref="E144:F144"/>
    <mergeCell ref="B139:D139"/>
    <mergeCell ref="E139:F139"/>
    <mergeCell ref="B140:D140"/>
    <mergeCell ref="E140:F140"/>
    <mergeCell ref="B141:D141"/>
    <mergeCell ref="E141:F141"/>
    <mergeCell ref="B157:F157"/>
    <mergeCell ref="B151:F151"/>
    <mergeCell ref="B152:F152"/>
    <mergeCell ref="B153:F153"/>
    <mergeCell ref="B154:F154"/>
    <mergeCell ref="B155:F155"/>
    <mergeCell ref="B156:F156"/>
    <mergeCell ref="A145:G145"/>
    <mergeCell ref="A146:G146"/>
    <mergeCell ref="A147:G147"/>
    <mergeCell ref="B148:F148"/>
    <mergeCell ref="B149:F149"/>
    <mergeCell ref="B150:F150"/>
  </mergeCells>
  <pageMargins left="0.511811024" right="0.511811024" top="0.78740157499999996" bottom="0.78740157499999996" header="0.31496062000000002" footer="0.31496062000000002"/>
  <pageSetup paperSize="9" scale="82" orientation="portrait" horizontalDpi="300" verticalDpi="300" r:id="rId1"/>
  <rowBreaks count="3" manualBreakCount="3">
    <brk id="45" max="16383" man="1"/>
    <brk id="91" max="16383" man="1"/>
    <brk id="134"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2:G158"/>
  <sheetViews>
    <sheetView topLeftCell="A143" zoomScale="150" zoomScaleNormal="150" workbookViewId="0">
      <selection activeCell="G157" sqref="G157"/>
    </sheetView>
  </sheetViews>
  <sheetFormatPr defaultColWidth="9.140625" defaultRowHeight="15" x14ac:dyDescent="0.25"/>
  <cols>
    <col min="1" max="1" width="6.140625" style="3" customWidth="1"/>
    <col min="2" max="5" width="15.7109375" style="3" customWidth="1"/>
    <col min="6" max="7" width="12.7109375" style="3" customWidth="1"/>
    <col min="8" max="16384" width="9.140625" style="3"/>
  </cols>
  <sheetData>
    <row r="2" spans="1:7" x14ac:dyDescent="0.25">
      <c r="A2" s="212" t="s">
        <v>0</v>
      </c>
      <c r="B2" s="212"/>
      <c r="C2" s="212"/>
      <c r="D2" s="212"/>
      <c r="E2" s="212"/>
      <c r="F2" s="212"/>
      <c r="G2" s="212"/>
    </row>
    <row r="3" spans="1:7" x14ac:dyDescent="0.25">
      <c r="A3" s="212" t="s">
        <v>1</v>
      </c>
      <c r="B3" s="212"/>
      <c r="C3" s="212"/>
      <c r="D3" s="212"/>
      <c r="E3" s="212"/>
      <c r="F3" s="212"/>
      <c r="G3" s="212"/>
    </row>
    <row r="4" spans="1:7" x14ac:dyDescent="0.25">
      <c r="A4" s="212" t="s">
        <v>2</v>
      </c>
      <c r="B4" s="212"/>
      <c r="C4" s="212"/>
      <c r="D4" s="212"/>
      <c r="E4" s="212"/>
      <c r="F4" s="212"/>
      <c r="G4" s="212"/>
    </row>
    <row r="5" spans="1:7" x14ac:dyDescent="0.25">
      <c r="A5" s="212" t="s">
        <v>3</v>
      </c>
      <c r="B5" s="212"/>
      <c r="C5" s="212"/>
      <c r="D5" s="212"/>
      <c r="E5" s="212"/>
      <c r="F5" s="212"/>
      <c r="G5" s="212"/>
    </row>
    <row r="6" spans="1:7" x14ac:dyDescent="0.25">
      <c r="A6" s="212" t="s">
        <v>4</v>
      </c>
      <c r="B6" s="212"/>
      <c r="C6" s="212"/>
      <c r="D6" s="212"/>
      <c r="E6" s="212"/>
      <c r="F6" s="212"/>
      <c r="G6" s="212"/>
    </row>
    <row r="7" spans="1:7" x14ac:dyDescent="0.25">
      <c r="A7" s="208"/>
      <c r="B7" s="208"/>
      <c r="C7" s="208"/>
      <c r="D7" s="208"/>
      <c r="E7" s="208"/>
      <c r="F7" s="208"/>
      <c r="G7" s="208"/>
    </row>
    <row r="8" spans="1:7" x14ac:dyDescent="0.25">
      <c r="A8" s="204"/>
      <c r="B8" s="204"/>
      <c r="C8" s="204"/>
      <c r="D8" s="204"/>
      <c r="E8" s="204"/>
      <c r="F8" s="204"/>
      <c r="G8" s="204"/>
    </row>
    <row r="9" spans="1:7" ht="88.9" customHeight="1" x14ac:dyDescent="0.25">
      <c r="A9" s="209" t="s">
        <v>325</v>
      </c>
      <c r="B9" s="210"/>
      <c r="C9" s="210"/>
      <c r="D9" s="210"/>
      <c r="E9" s="210"/>
      <c r="F9" s="210"/>
      <c r="G9" s="211"/>
    </row>
    <row r="10" spans="1:7" ht="32.25" customHeight="1" x14ac:dyDescent="0.25">
      <c r="A10" s="205" t="s">
        <v>28</v>
      </c>
      <c r="B10" s="206"/>
      <c r="C10" s="206"/>
      <c r="D10" s="206"/>
      <c r="E10" s="206"/>
      <c r="F10" s="206"/>
      <c r="G10" s="207"/>
    </row>
    <row r="11" spans="1:7" x14ac:dyDescent="0.25">
      <c r="A11" s="4"/>
      <c r="B11" s="5"/>
      <c r="C11" s="5"/>
      <c r="D11" s="5"/>
      <c r="E11" s="5"/>
      <c r="F11" s="5"/>
      <c r="G11" s="6"/>
    </row>
    <row r="12" spans="1:7" x14ac:dyDescent="0.25">
      <c r="A12" s="200" t="s">
        <v>122</v>
      </c>
      <c r="B12" s="201"/>
      <c r="C12" s="201"/>
      <c r="D12" s="201"/>
      <c r="E12" s="201"/>
      <c r="F12" s="201"/>
      <c r="G12" s="202"/>
    </row>
    <row r="13" spans="1:7" x14ac:dyDescent="0.25">
      <c r="A13" s="200" t="s">
        <v>123</v>
      </c>
      <c r="B13" s="201"/>
      <c r="C13" s="201"/>
      <c r="D13" s="201"/>
      <c r="E13" s="201"/>
      <c r="F13" s="201"/>
      <c r="G13" s="202"/>
    </row>
    <row r="14" spans="1:7" x14ac:dyDescent="0.25">
      <c r="A14" s="203" t="s">
        <v>29</v>
      </c>
      <c r="B14" s="203"/>
      <c r="C14" s="203"/>
      <c r="D14" s="203"/>
      <c r="E14" s="203"/>
      <c r="F14" s="203"/>
      <c r="G14" s="203"/>
    </row>
    <row r="15" spans="1:7" x14ac:dyDescent="0.25">
      <c r="A15" s="204"/>
      <c r="B15" s="204"/>
      <c r="C15" s="204"/>
      <c r="D15" s="204"/>
      <c r="E15" s="204"/>
      <c r="F15" s="204"/>
      <c r="G15" s="204"/>
    </row>
    <row r="16" spans="1:7" x14ac:dyDescent="0.25">
      <c r="A16" s="205" t="s">
        <v>30</v>
      </c>
      <c r="B16" s="206"/>
      <c r="C16" s="206"/>
      <c r="D16" s="206"/>
      <c r="E16" s="206"/>
      <c r="F16" s="206"/>
      <c r="G16" s="207"/>
    </row>
    <row r="17" spans="1:7" x14ac:dyDescent="0.25">
      <c r="A17" s="7" t="s">
        <v>31</v>
      </c>
      <c r="B17" s="188" t="s">
        <v>32</v>
      </c>
      <c r="C17" s="189"/>
      <c r="D17" s="189"/>
      <c r="E17" s="190"/>
      <c r="F17" s="191">
        <f ca="1">NOW()</f>
        <v>45383.743923379632</v>
      </c>
      <c r="G17" s="192"/>
    </row>
    <row r="18" spans="1:7" x14ac:dyDescent="0.25">
      <c r="A18" s="7" t="s">
        <v>33</v>
      </c>
      <c r="B18" s="188" t="s">
        <v>34</v>
      </c>
      <c r="C18" s="189"/>
      <c r="D18" s="189"/>
      <c r="E18" s="190"/>
      <c r="F18" s="193" t="s">
        <v>35</v>
      </c>
      <c r="G18" s="194"/>
    </row>
    <row r="19" spans="1:7" ht="29.25" customHeight="1" x14ac:dyDescent="0.25">
      <c r="A19" s="8" t="s">
        <v>36</v>
      </c>
      <c r="B19" s="195" t="s">
        <v>37</v>
      </c>
      <c r="C19" s="196"/>
      <c r="D19" s="196"/>
      <c r="E19" s="197"/>
      <c r="F19" s="198" t="s">
        <v>431</v>
      </c>
      <c r="G19" s="199"/>
    </row>
    <row r="20" spans="1:7" ht="15.75" x14ac:dyDescent="0.25">
      <c r="A20" s="7" t="s">
        <v>38</v>
      </c>
      <c r="B20" s="188" t="s">
        <v>124</v>
      </c>
      <c r="C20" s="189"/>
      <c r="D20" s="189"/>
      <c r="E20" s="190"/>
      <c r="F20" s="218">
        <v>30</v>
      </c>
      <c r="G20" s="219"/>
    </row>
    <row r="21" spans="1:7" x14ac:dyDescent="0.25">
      <c r="A21" s="9"/>
      <c r="B21" s="9"/>
      <c r="C21" s="9"/>
      <c r="D21" s="9"/>
      <c r="E21" s="9"/>
      <c r="F21" s="9"/>
      <c r="G21" s="9"/>
    </row>
    <row r="22" spans="1:7" x14ac:dyDescent="0.25">
      <c r="A22" s="205" t="s">
        <v>39</v>
      </c>
      <c r="B22" s="206"/>
      <c r="C22" s="206"/>
      <c r="D22" s="206"/>
      <c r="E22" s="206"/>
      <c r="F22" s="206"/>
      <c r="G22" s="207"/>
    </row>
    <row r="23" spans="1:7" ht="50.25" customHeight="1" x14ac:dyDescent="0.25">
      <c r="A23" s="220" t="s">
        <v>40</v>
      </c>
      <c r="B23" s="220"/>
      <c r="C23" s="220"/>
      <c r="D23" s="220"/>
      <c r="E23" s="4" t="s">
        <v>41</v>
      </c>
      <c r="F23" s="221" t="s">
        <v>42</v>
      </c>
      <c r="G23" s="222"/>
    </row>
    <row r="24" spans="1:7" ht="15.75" x14ac:dyDescent="0.25">
      <c r="A24" s="304" t="s">
        <v>156</v>
      </c>
      <c r="B24" s="305"/>
      <c r="C24" s="305"/>
      <c r="D24" s="306"/>
      <c r="E24" s="4" t="s">
        <v>43</v>
      </c>
      <c r="F24" s="213">
        <v>1</v>
      </c>
      <c r="G24" s="213"/>
    </row>
    <row r="25" spans="1:7" ht="28.5" customHeight="1" x14ac:dyDescent="0.25">
      <c r="A25" s="214" t="s">
        <v>125</v>
      </c>
      <c r="B25" s="215"/>
      <c r="C25" s="215"/>
      <c r="D25" s="215"/>
      <c r="E25" s="215"/>
      <c r="F25" s="215"/>
      <c r="G25" s="216"/>
    </row>
    <row r="26" spans="1:7" ht="33.75" customHeight="1" x14ac:dyDescent="0.25">
      <c r="A26" s="214" t="s">
        <v>126</v>
      </c>
      <c r="B26" s="215"/>
      <c r="C26" s="215"/>
      <c r="D26" s="215"/>
      <c r="E26" s="215"/>
      <c r="F26" s="215"/>
      <c r="G26" s="216"/>
    </row>
    <row r="27" spans="1:7" x14ac:dyDescent="0.25">
      <c r="A27" s="10"/>
      <c r="B27" s="11"/>
      <c r="C27" s="11"/>
      <c r="D27" s="11"/>
      <c r="E27" s="11"/>
      <c r="F27" s="11"/>
      <c r="G27" s="12"/>
    </row>
    <row r="28" spans="1:7" x14ac:dyDescent="0.25">
      <c r="A28" s="217" t="s">
        <v>44</v>
      </c>
      <c r="B28" s="217"/>
      <c r="C28" s="217"/>
      <c r="D28" s="217"/>
      <c r="E28" s="217"/>
      <c r="F28" s="217"/>
      <c r="G28" s="217"/>
    </row>
    <row r="29" spans="1:7" x14ac:dyDescent="0.25">
      <c r="A29" s="237" t="s">
        <v>45</v>
      </c>
      <c r="B29" s="237"/>
      <c r="C29" s="237"/>
      <c r="D29" s="237"/>
      <c r="E29" s="237"/>
      <c r="F29" s="237"/>
      <c r="G29" s="237"/>
    </row>
    <row r="30" spans="1:7" x14ac:dyDescent="0.25">
      <c r="A30" s="237" t="s">
        <v>46</v>
      </c>
      <c r="B30" s="237"/>
      <c r="C30" s="237"/>
      <c r="D30" s="237"/>
      <c r="E30" s="237"/>
      <c r="F30" s="237"/>
      <c r="G30" s="237"/>
    </row>
    <row r="31" spans="1:7" x14ac:dyDescent="0.25">
      <c r="A31" s="7">
        <v>1</v>
      </c>
      <c r="B31" s="231" t="s">
        <v>47</v>
      </c>
      <c r="C31" s="232"/>
      <c r="D31" s="232"/>
      <c r="E31" s="233"/>
      <c r="F31" s="234" t="str">
        <f>A24</f>
        <v>Garçom</v>
      </c>
      <c r="G31" s="235"/>
    </row>
    <row r="32" spans="1:7" x14ac:dyDescent="0.25">
      <c r="A32" s="7">
        <v>2</v>
      </c>
      <c r="B32" s="231" t="s">
        <v>48</v>
      </c>
      <c r="C32" s="232"/>
      <c r="D32" s="232"/>
      <c r="E32" s="233"/>
      <c r="F32" s="234" t="s">
        <v>155</v>
      </c>
      <c r="G32" s="235"/>
    </row>
    <row r="33" spans="1:7" x14ac:dyDescent="0.25">
      <c r="A33" s="8">
        <v>3</v>
      </c>
      <c r="B33" s="226" t="s">
        <v>432</v>
      </c>
      <c r="C33" s="227"/>
      <c r="D33" s="227"/>
      <c r="E33" s="228"/>
      <c r="F33" s="302">
        <v>2405.96</v>
      </c>
      <c r="G33" s="303"/>
    </row>
    <row r="34" spans="1:7" x14ac:dyDescent="0.25">
      <c r="A34" s="7">
        <v>4</v>
      </c>
      <c r="B34" s="231" t="s">
        <v>49</v>
      </c>
      <c r="C34" s="232"/>
      <c r="D34" s="232"/>
      <c r="E34" s="233"/>
      <c r="F34" s="300" t="str">
        <f>A24</f>
        <v>Garçom</v>
      </c>
      <c r="G34" s="301"/>
    </row>
    <row r="35" spans="1:7" ht="16.149999999999999" customHeight="1" x14ac:dyDescent="0.25">
      <c r="A35" s="7">
        <v>5</v>
      </c>
      <c r="B35" s="236" t="s">
        <v>329</v>
      </c>
      <c r="C35" s="236"/>
      <c r="D35" s="236"/>
      <c r="E35" s="236"/>
      <c r="F35" s="191">
        <v>45301</v>
      </c>
      <c r="G35" s="194"/>
    </row>
    <row r="36" spans="1:7" x14ac:dyDescent="0.25">
      <c r="A36" s="193"/>
      <c r="B36" s="240"/>
      <c r="C36" s="240"/>
      <c r="D36" s="240"/>
      <c r="E36" s="240"/>
      <c r="F36" s="240"/>
      <c r="G36" s="194"/>
    </row>
    <row r="37" spans="1:7" x14ac:dyDescent="0.25">
      <c r="A37" s="13"/>
      <c r="B37" s="241" t="s">
        <v>127</v>
      </c>
      <c r="C37" s="241"/>
      <c r="D37" s="241"/>
      <c r="E37" s="241"/>
      <c r="F37" s="14"/>
      <c r="G37" s="15"/>
    </row>
    <row r="38" spans="1:7" x14ac:dyDescent="0.25">
      <c r="A38" s="7">
        <v>1</v>
      </c>
      <c r="B38" s="234" t="s">
        <v>50</v>
      </c>
      <c r="C38" s="242"/>
      <c r="D38" s="242"/>
      <c r="E38" s="235"/>
      <c r="F38" s="7" t="s">
        <v>51</v>
      </c>
      <c r="G38" s="7" t="s">
        <v>8</v>
      </c>
    </row>
    <row r="39" spans="1:7" x14ac:dyDescent="0.25">
      <c r="A39" s="8" t="s">
        <v>31</v>
      </c>
      <c r="B39" s="243" t="s">
        <v>52</v>
      </c>
      <c r="C39" s="232"/>
      <c r="D39" s="232"/>
      <c r="E39" s="233"/>
      <c r="F39" s="16">
        <v>1</v>
      </c>
      <c r="G39" s="17">
        <f>F33</f>
        <v>2405.96</v>
      </c>
    </row>
    <row r="40" spans="1:7" x14ac:dyDescent="0.25">
      <c r="A40" s="7" t="s">
        <v>33</v>
      </c>
      <c r="B40" s="231" t="s">
        <v>128</v>
      </c>
      <c r="C40" s="232"/>
      <c r="D40" s="232"/>
      <c r="E40" s="233"/>
      <c r="F40" s="18">
        <v>0</v>
      </c>
      <c r="G40" s="19">
        <f>G39*F40</f>
        <v>0</v>
      </c>
    </row>
    <row r="41" spans="1:7" x14ac:dyDescent="0.25">
      <c r="A41" s="7" t="s">
        <v>36</v>
      </c>
      <c r="B41" s="231" t="s">
        <v>53</v>
      </c>
      <c r="C41" s="232"/>
      <c r="D41" s="232"/>
      <c r="E41" s="233"/>
      <c r="F41" s="20">
        <v>0</v>
      </c>
      <c r="G41" s="21">
        <f>G40*F41</f>
        <v>0</v>
      </c>
    </row>
    <row r="42" spans="1:7" x14ac:dyDescent="0.25">
      <c r="A42" s="7" t="s">
        <v>38</v>
      </c>
      <c r="B42" s="231" t="s">
        <v>54</v>
      </c>
      <c r="C42" s="232"/>
      <c r="D42" s="232"/>
      <c r="E42" s="233"/>
      <c r="F42" s="20">
        <v>0</v>
      </c>
      <c r="G42" s="21">
        <f>G41*F42</f>
        <v>0</v>
      </c>
    </row>
    <row r="43" spans="1:7" x14ac:dyDescent="0.25">
      <c r="A43" s="7" t="s">
        <v>55</v>
      </c>
      <c r="B43" s="231" t="s">
        <v>56</v>
      </c>
      <c r="C43" s="232"/>
      <c r="D43" s="232"/>
      <c r="E43" s="233"/>
      <c r="F43" s="20">
        <v>0</v>
      </c>
      <c r="G43" s="21">
        <f>G42*F43</f>
        <v>0</v>
      </c>
    </row>
    <row r="44" spans="1:7" x14ac:dyDescent="0.25">
      <c r="A44" s="7" t="s">
        <v>57</v>
      </c>
      <c r="B44" s="231" t="s">
        <v>58</v>
      </c>
      <c r="C44" s="232"/>
      <c r="D44" s="232"/>
      <c r="E44" s="233"/>
      <c r="F44" s="20"/>
      <c r="G44" s="21"/>
    </row>
    <row r="45" spans="1:7" x14ac:dyDescent="0.25">
      <c r="A45" s="22"/>
      <c r="B45" s="238" t="s">
        <v>59</v>
      </c>
      <c r="C45" s="239"/>
      <c r="D45" s="239"/>
      <c r="E45" s="239"/>
      <c r="F45" s="23">
        <f>SUM(F39:F44)</f>
        <v>1</v>
      </c>
      <c r="G45" s="17">
        <f>SUM(G39:G44)</f>
        <v>2405.96</v>
      </c>
    </row>
    <row r="46" spans="1:7" x14ac:dyDescent="0.25">
      <c r="A46" s="245" t="s">
        <v>129</v>
      </c>
      <c r="B46" s="246"/>
      <c r="C46" s="246"/>
      <c r="D46" s="246"/>
      <c r="E46" s="246"/>
      <c r="F46" s="246"/>
      <c r="G46" s="247"/>
    </row>
    <row r="47" spans="1:7" x14ac:dyDescent="0.25">
      <c r="A47" s="193"/>
      <c r="B47" s="240"/>
      <c r="C47" s="240"/>
      <c r="D47" s="240"/>
      <c r="E47" s="240"/>
      <c r="F47" s="240"/>
      <c r="G47" s="194"/>
    </row>
    <row r="48" spans="1:7" x14ac:dyDescent="0.25">
      <c r="A48" s="24"/>
      <c r="B48" s="248" t="s">
        <v>60</v>
      </c>
      <c r="C48" s="249"/>
      <c r="D48" s="249"/>
      <c r="E48" s="249"/>
      <c r="F48" s="25"/>
      <c r="G48" s="25"/>
    </row>
    <row r="49" spans="1:7" x14ac:dyDescent="0.25">
      <c r="A49" s="243" t="s">
        <v>61</v>
      </c>
      <c r="B49" s="250"/>
      <c r="C49" s="250"/>
      <c r="D49" s="250"/>
      <c r="E49" s="250"/>
      <c r="F49" s="250"/>
      <c r="G49" s="251"/>
    </row>
    <row r="50" spans="1:7" x14ac:dyDescent="0.25">
      <c r="A50" s="7" t="s">
        <v>62</v>
      </c>
      <c r="B50" s="243" t="s">
        <v>63</v>
      </c>
      <c r="C50" s="250"/>
      <c r="D50" s="250"/>
      <c r="E50" s="250"/>
      <c r="F50" s="251"/>
      <c r="G50" s="7" t="s">
        <v>8</v>
      </c>
    </row>
    <row r="51" spans="1:7" x14ac:dyDescent="0.25">
      <c r="A51" s="7" t="s">
        <v>31</v>
      </c>
      <c r="B51" s="231" t="s">
        <v>64</v>
      </c>
      <c r="C51" s="232"/>
      <c r="D51" s="232"/>
      <c r="E51" s="233"/>
      <c r="F51" s="26">
        <v>8.3299999999999999E-2</v>
      </c>
      <c r="G51" s="21">
        <f>F51*G45</f>
        <v>200.41646800000001</v>
      </c>
    </row>
    <row r="52" spans="1:7" x14ac:dyDescent="0.25">
      <c r="A52" s="7" t="s">
        <v>33</v>
      </c>
      <c r="B52" s="231" t="s">
        <v>65</v>
      </c>
      <c r="C52" s="232"/>
      <c r="D52" s="232"/>
      <c r="E52" s="233"/>
      <c r="F52" s="26">
        <v>0.121</v>
      </c>
      <c r="G52" s="21">
        <f>F52*G45</f>
        <v>291.12115999999997</v>
      </c>
    </row>
    <row r="53" spans="1:7" x14ac:dyDescent="0.25">
      <c r="A53" s="24"/>
      <c r="B53" s="238" t="s">
        <v>21</v>
      </c>
      <c r="C53" s="239"/>
      <c r="D53" s="239"/>
      <c r="E53" s="244"/>
      <c r="F53" s="27">
        <f>SUM(F51:F52)</f>
        <v>0.20429999999999998</v>
      </c>
      <c r="G53" s="17">
        <f>SUM(G51:G52)</f>
        <v>491.53762799999998</v>
      </c>
    </row>
    <row r="54" spans="1:7" ht="28.5" customHeight="1" x14ac:dyDescent="0.25">
      <c r="A54" s="214" t="s">
        <v>130</v>
      </c>
      <c r="B54" s="215"/>
      <c r="C54" s="215"/>
      <c r="D54" s="215"/>
      <c r="E54" s="215"/>
      <c r="F54" s="215"/>
      <c r="G54" s="216"/>
    </row>
    <row r="55" spans="1:7" ht="30" customHeight="1" x14ac:dyDescent="0.25">
      <c r="A55" s="214" t="s">
        <v>131</v>
      </c>
      <c r="B55" s="215"/>
      <c r="C55" s="215"/>
      <c r="D55" s="215"/>
      <c r="E55" s="215"/>
      <c r="F55" s="215"/>
      <c r="G55" s="216"/>
    </row>
    <row r="56" spans="1:7" ht="42.75" customHeight="1" x14ac:dyDescent="0.25">
      <c r="A56" s="253" t="s">
        <v>423</v>
      </c>
      <c r="B56" s="253"/>
      <c r="C56" s="253"/>
      <c r="D56" s="253"/>
      <c r="E56" s="253"/>
      <c r="F56" s="253"/>
      <c r="G56" s="254"/>
    </row>
    <row r="57" spans="1:7" x14ac:dyDescent="0.25">
      <c r="A57" s="28"/>
      <c r="B57" s="29"/>
      <c r="C57" s="29"/>
      <c r="D57" s="29"/>
      <c r="E57" s="29"/>
      <c r="F57" s="29"/>
      <c r="G57" s="30"/>
    </row>
    <row r="58" spans="1:7" ht="31.5" customHeight="1" x14ac:dyDescent="0.25">
      <c r="A58" s="243" t="s">
        <v>66</v>
      </c>
      <c r="B58" s="250"/>
      <c r="C58" s="250"/>
      <c r="D58" s="250"/>
      <c r="E58" s="250"/>
      <c r="F58" s="250"/>
      <c r="G58" s="251"/>
    </row>
    <row r="59" spans="1:7" ht="24" x14ac:dyDescent="0.25">
      <c r="A59" s="7" t="s">
        <v>67</v>
      </c>
      <c r="B59" s="243" t="s">
        <v>68</v>
      </c>
      <c r="C59" s="232"/>
      <c r="D59" s="232"/>
      <c r="E59" s="233"/>
      <c r="F59" s="31" t="s">
        <v>69</v>
      </c>
      <c r="G59" s="7" t="s">
        <v>8</v>
      </c>
    </row>
    <row r="60" spans="1:7" x14ac:dyDescent="0.25">
      <c r="A60" s="7" t="s">
        <v>31</v>
      </c>
      <c r="B60" s="231" t="s">
        <v>70</v>
      </c>
      <c r="C60" s="232"/>
      <c r="D60" s="232"/>
      <c r="E60" s="233"/>
      <c r="F60" s="32">
        <v>0.2</v>
      </c>
      <c r="G60" s="33">
        <f>F60*(G45+G53+G126)</f>
        <v>597.90185497960897</v>
      </c>
    </row>
    <row r="61" spans="1:7" x14ac:dyDescent="0.25">
      <c r="A61" s="7" t="s">
        <v>33</v>
      </c>
      <c r="B61" s="231" t="s">
        <v>71</v>
      </c>
      <c r="C61" s="232"/>
      <c r="D61" s="232"/>
      <c r="E61" s="233"/>
      <c r="F61" s="32">
        <v>2.5000000000000001E-2</v>
      </c>
      <c r="G61" s="33">
        <f>F61*(G45+G53+G126)</f>
        <v>74.737731872451121</v>
      </c>
    </row>
    <row r="62" spans="1:7" x14ac:dyDescent="0.25">
      <c r="A62" s="7" t="s">
        <v>36</v>
      </c>
      <c r="B62" s="231" t="s">
        <v>72</v>
      </c>
      <c r="C62" s="232"/>
      <c r="D62" s="232"/>
      <c r="E62" s="233"/>
      <c r="F62" s="32">
        <v>0.03</v>
      </c>
      <c r="G62" s="33">
        <f>F62*(G45+G53+G126)</f>
        <v>89.685278246941337</v>
      </c>
    </row>
    <row r="63" spans="1:7" x14ac:dyDescent="0.25">
      <c r="A63" s="7" t="s">
        <v>38</v>
      </c>
      <c r="B63" s="231" t="s">
        <v>73</v>
      </c>
      <c r="C63" s="232"/>
      <c r="D63" s="232"/>
      <c r="E63" s="233"/>
      <c r="F63" s="32">
        <v>1.4999999999999999E-2</v>
      </c>
      <c r="G63" s="33">
        <f>F63*(G45+G53+G126)</f>
        <v>44.842639123470668</v>
      </c>
    </row>
    <row r="64" spans="1:7" x14ac:dyDescent="0.25">
      <c r="A64" s="7" t="s">
        <v>55</v>
      </c>
      <c r="B64" s="231" t="s">
        <v>74</v>
      </c>
      <c r="C64" s="232"/>
      <c r="D64" s="232"/>
      <c r="E64" s="233"/>
      <c r="F64" s="32">
        <v>0.01</v>
      </c>
      <c r="G64" s="33">
        <f>F64*(G45+G53+G126)</f>
        <v>29.895092748980446</v>
      </c>
    </row>
    <row r="65" spans="1:7" x14ac:dyDescent="0.25">
      <c r="A65" s="7" t="s">
        <v>57</v>
      </c>
      <c r="B65" s="231" t="s">
        <v>75</v>
      </c>
      <c r="C65" s="232"/>
      <c r="D65" s="232"/>
      <c r="E65" s="233"/>
      <c r="F65" s="32">
        <v>6.0000000000000001E-3</v>
      </c>
      <c r="G65" s="33">
        <f>F65*(G45+G53+G126)</f>
        <v>17.937055649388267</v>
      </c>
    </row>
    <row r="66" spans="1:7" x14ac:dyDescent="0.25">
      <c r="A66" s="7" t="s">
        <v>76</v>
      </c>
      <c r="B66" s="231" t="s">
        <v>77</v>
      </c>
      <c r="C66" s="232"/>
      <c r="D66" s="232"/>
      <c r="E66" s="233"/>
      <c r="F66" s="32">
        <v>2E-3</v>
      </c>
      <c r="G66" s="33">
        <f>F66*(G45+G53+G126)</f>
        <v>5.9790185497960895</v>
      </c>
    </row>
    <row r="67" spans="1:7" x14ac:dyDescent="0.25">
      <c r="A67" s="7" t="s">
        <v>78</v>
      </c>
      <c r="B67" s="231" t="s">
        <v>79</v>
      </c>
      <c r="C67" s="232"/>
      <c r="D67" s="232"/>
      <c r="E67" s="233"/>
      <c r="F67" s="32">
        <v>0.08</v>
      </c>
      <c r="G67" s="33">
        <f>F67*(G45+G53+G126)</f>
        <v>239.16074199184357</v>
      </c>
    </row>
    <row r="68" spans="1:7" x14ac:dyDescent="0.25">
      <c r="A68" s="24"/>
      <c r="B68" s="238" t="s">
        <v>21</v>
      </c>
      <c r="C68" s="239"/>
      <c r="D68" s="239"/>
      <c r="E68" s="244"/>
      <c r="F68" s="27">
        <f>SUM(F60:F67)</f>
        <v>0.36800000000000005</v>
      </c>
      <c r="G68" s="34">
        <f>SUM(G60:G67)</f>
        <v>1100.1394131624807</v>
      </c>
    </row>
    <row r="69" spans="1:7" x14ac:dyDescent="0.25">
      <c r="A69" s="214" t="s">
        <v>132</v>
      </c>
      <c r="B69" s="215"/>
      <c r="C69" s="215"/>
      <c r="D69" s="215"/>
      <c r="E69" s="215"/>
      <c r="F69" s="215"/>
      <c r="G69" s="216"/>
    </row>
    <row r="70" spans="1:7" ht="28.5" customHeight="1" x14ac:dyDescent="0.25">
      <c r="A70" s="214" t="s">
        <v>133</v>
      </c>
      <c r="B70" s="215"/>
      <c r="C70" s="215"/>
      <c r="D70" s="215"/>
      <c r="E70" s="215"/>
      <c r="F70" s="215"/>
      <c r="G70" s="216"/>
    </row>
    <row r="71" spans="1:7" ht="22.5" customHeight="1" x14ac:dyDescent="0.25">
      <c r="A71" s="257" t="s">
        <v>80</v>
      </c>
      <c r="B71" s="258"/>
      <c r="C71" s="258"/>
      <c r="D71" s="258"/>
      <c r="E71" s="258"/>
      <c r="F71" s="258"/>
      <c r="G71" s="259"/>
    </row>
    <row r="72" spans="1:7" x14ac:dyDescent="0.25">
      <c r="A72" s="35"/>
      <c r="B72" s="36"/>
      <c r="C72" s="29"/>
      <c r="D72" s="29"/>
      <c r="E72" s="29"/>
      <c r="F72" s="37"/>
      <c r="G72" s="38"/>
    </row>
    <row r="73" spans="1:7" x14ac:dyDescent="0.25">
      <c r="A73" s="243" t="s">
        <v>81</v>
      </c>
      <c r="B73" s="250"/>
      <c r="C73" s="250"/>
      <c r="D73" s="250"/>
      <c r="E73" s="250"/>
      <c r="F73" s="250"/>
      <c r="G73" s="251"/>
    </row>
    <row r="74" spans="1:7" x14ac:dyDescent="0.25">
      <c r="A74" s="7" t="s">
        <v>82</v>
      </c>
      <c r="B74" s="255" t="s">
        <v>83</v>
      </c>
      <c r="C74" s="255"/>
      <c r="D74" s="255"/>
      <c r="E74" s="255"/>
      <c r="F74" s="255"/>
      <c r="G74" s="7" t="s">
        <v>8</v>
      </c>
    </row>
    <row r="75" spans="1:7" ht="41.25" customHeight="1" x14ac:dyDescent="0.25">
      <c r="A75" s="7" t="s">
        <v>31</v>
      </c>
      <c r="B75" s="236" t="s">
        <v>441</v>
      </c>
      <c r="C75" s="236"/>
      <c r="D75" s="236"/>
      <c r="E75" s="236"/>
      <c r="F75" s="236"/>
      <c r="G75" s="21">
        <f>((5.5)*2*22)-6%*G45</f>
        <v>97.642400000000009</v>
      </c>
    </row>
    <row r="76" spans="1:7" ht="30" customHeight="1" x14ac:dyDescent="0.25">
      <c r="A76" s="7" t="s">
        <v>33</v>
      </c>
      <c r="B76" s="236" t="s">
        <v>430</v>
      </c>
      <c r="C76" s="236"/>
      <c r="D76" s="236"/>
      <c r="E76" s="236"/>
      <c r="F76" s="236"/>
      <c r="G76" s="21">
        <f>42.2*22</f>
        <v>928.40000000000009</v>
      </c>
    </row>
    <row r="77" spans="1:7" x14ac:dyDescent="0.25">
      <c r="A77" s="7" t="s">
        <v>36</v>
      </c>
      <c r="B77" s="256" t="s">
        <v>134</v>
      </c>
      <c r="C77" s="236"/>
      <c r="D77" s="236"/>
      <c r="E77" s="236"/>
      <c r="F77" s="236"/>
      <c r="G77" s="21">
        <v>187.18</v>
      </c>
    </row>
    <row r="78" spans="1:7" x14ac:dyDescent="0.25">
      <c r="A78" s="7" t="s">
        <v>38</v>
      </c>
      <c r="B78" s="256" t="s">
        <v>150</v>
      </c>
      <c r="C78" s="256"/>
      <c r="D78" s="256"/>
      <c r="E78" s="256"/>
      <c r="F78" s="256"/>
      <c r="G78" s="21">
        <v>12.81</v>
      </c>
    </row>
    <row r="79" spans="1:7" x14ac:dyDescent="0.25">
      <c r="A79" s="7" t="s">
        <v>55</v>
      </c>
      <c r="B79" s="256" t="s">
        <v>84</v>
      </c>
      <c r="C79" s="256"/>
      <c r="D79" s="256"/>
      <c r="E79" s="256"/>
      <c r="F79" s="256"/>
      <c r="G79" s="21"/>
    </row>
    <row r="80" spans="1:7" x14ac:dyDescent="0.25">
      <c r="A80" s="7" t="s">
        <v>57</v>
      </c>
      <c r="B80" s="256" t="s">
        <v>151</v>
      </c>
      <c r="C80" s="256"/>
      <c r="D80" s="256"/>
      <c r="E80" s="256"/>
      <c r="F80" s="256"/>
      <c r="G80" s="21">
        <v>3.3</v>
      </c>
    </row>
    <row r="81" spans="1:7" x14ac:dyDescent="0.25">
      <c r="A81" s="22"/>
      <c r="B81" s="238" t="s">
        <v>21</v>
      </c>
      <c r="C81" s="239"/>
      <c r="D81" s="239"/>
      <c r="E81" s="239"/>
      <c r="F81" s="244"/>
      <c r="G81" s="17">
        <f>SUM(G75:G80)</f>
        <v>1229.3324</v>
      </c>
    </row>
    <row r="82" spans="1:7" ht="21" customHeight="1" x14ac:dyDescent="0.25">
      <c r="A82" s="214" t="s">
        <v>135</v>
      </c>
      <c r="B82" s="215"/>
      <c r="C82" s="215"/>
      <c r="D82" s="215"/>
      <c r="E82" s="215"/>
      <c r="F82" s="215"/>
      <c r="G82" s="216"/>
    </row>
    <row r="83" spans="1:7" ht="27" customHeight="1" x14ac:dyDescent="0.25">
      <c r="A83" s="214" t="s">
        <v>136</v>
      </c>
      <c r="B83" s="215"/>
      <c r="C83" s="215"/>
      <c r="D83" s="215"/>
      <c r="E83" s="215"/>
      <c r="F83" s="215"/>
      <c r="G83" s="216"/>
    </row>
    <row r="84" spans="1:7" x14ac:dyDescent="0.25">
      <c r="A84" s="28"/>
      <c r="B84" s="29"/>
      <c r="C84" s="29"/>
      <c r="D84" s="29"/>
      <c r="E84" s="29"/>
      <c r="F84" s="29"/>
      <c r="G84" s="30"/>
    </row>
    <row r="85" spans="1:7" ht="33.75" customHeight="1" x14ac:dyDescent="0.25">
      <c r="A85" s="24"/>
      <c r="B85" s="260" t="s">
        <v>85</v>
      </c>
      <c r="C85" s="260"/>
      <c r="D85" s="260"/>
      <c r="E85" s="260"/>
      <c r="F85" s="260"/>
      <c r="G85" s="39"/>
    </row>
    <row r="86" spans="1:7" x14ac:dyDescent="0.25">
      <c r="A86" s="7">
        <v>2</v>
      </c>
      <c r="B86" s="255" t="s">
        <v>86</v>
      </c>
      <c r="C86" s="255"/>
      <c r="D86" s="255"/>
      <c r="E86" s="255"/>
      <c r="F86" s="255"/>
      <c r="G86" s="7" t="s">
        <v>8</v>
      </c>
    </row>
    <row r="87" spans="1:7" x14ac:dyDescent="0.25">
      <c r="A87" s="7" t="s">
        <v>62</v>
      </c>
      <c r="B87" s="236" t="s">
        <v>87</v>
      </c>
      <c r="C87" s="236"/>
      <c r="D87" s="236"/>
      <c r="E87" s="236"/>
      <c r="F87" s="236"/>
      <c r="G87" s="21">
        <f>G53</f>
        <v>491.53762799999998</v>
      </c>
    </row>
    <row r="88" spans="1:7" x14ac:dyDescent="0.25">
      <c r="A88" s="7" t="s">
        <v>67</v>
      </c>
      <c r="B88" s="236" t="s">
        <v>68</v>
      </c>
      <c r="C88" s="236"/>
      <c r="D88" s="236"/>
      <c r="E88" s="236"/>
      <c r="F88" s="236"/>
      <c r="G88" s="21">
        <f>G68</f>
        <v>1100.1394131624807</v>
      </c>
    </row>
    <row r="89" spans="1:7" x14ac:dyDescent="0.25">
      <c r="A89" s="7" t="s">
        <v>82</v>
      </c>
      <c r="B89" s="236" t="s">
        <v>83</v>
      </c>
      <c r="C89" s="236"/>
      <c r="D89" s="236"/>
      <c r="E89" s="236"/>
      <c r="F89" s="236"/>
      <c r="G89" s="21">
        <f>G81</f>
        <v>1229.3324</v>
      </c>
    </row>
    <row r="90" spans="1:7" x14ac:dyDescent="0.25">
      <c r="A90" s="40"/>
      <c r="B90" s="261" t="s">
        <v>21</v>
      </c>
      <c r="C90" s="262"/>
      <c r="D90" s="262"/>
      <c r="E90" s="262"/>
      <c r="F90" s="263"/>
      <c r="G90" s="17">
        <f>SUM(G87:G89)</f>
        <v>2821.0094411624805</v>
      </c>
    </row>
    <row r="91" spans="1:7" x14ac:dyDescent="0.25">
      <c r="A91" s="264"/>
      <c r="B91" s="265"/>
      <c r="C91" s="265"/>
      <c r="D91" s="265"/>
      <c r="E91" s="265"/>
      <c r="F91" s="265"/>
      <c r="G91" s="266"/>
    </row>
    <row r="92" spans="1:7" x14ac:dyDescent="0.25">
      <c r="A92" s="41"/>
      <c r="B92" s="248" t="s">
        <v>88</v>
      </c>
      <c r="C92" s="249"/>
      <c r="D92" s="249"/>
      <c r="E92" s="267"/>
      <c r="F92" s="25"/>
      <c r="G92" s="25"/>
    </row>
    <row r="93" spans="1:7" ht="24" x14ac:dyDescent="0.25">
      <c r="A93" s="7">
        <v>3</v>
      </c>
      <c r="B93" s="234" t="s">
        <v>89</v>
      </c>
      <c r="C93" s="242"/>
      <c r="D93" s="242"/>
      <c r="E93" s="235"/>
      <c r="F93" s="31" t="s">
        <v>69</v>
      </c>
      <c r="G93" s="7" t="s">
        <v>8</v>
      </c>
    </row>
    <row r="94" spans="1:7" ht="37.5" customHeight="1" x14ac:dyDescent="0.25">
      <c r="A94" s="4" t="s">
        <v>31</v>
      </c>
      <c r="B94" s="231" t="s">
        <v>312</v>
      </c>
      <c r="C94" s="232"/>
      <c r="D94" s="232"/>
      <c r="E94" s="233"/>
      <c r="F94" s="42">
        <v>4.1700000000000001E-3</v>
      </c>
      <c r="G94" s="21">
        <f>F94*(G45+G53)</f>
        <v>12.082565108760001</v>
      </c>
    </row>
    <row r="95" spans="1:7" ht="21" customHeight="1" x14ac:dyDescent="0.25">
      <c r="A95" s="4" t="s">
        <v>33</v>
      </c>
      <c r="B95" s="231" t="s">
        <v>313</v>
      </c>
      <c r="C95" s="232"/>
      <c r="D95" s="232"/>
      <c r="E95" s="233"/>
      <c r="F95" s="42">
        <f>F67*F94</f>
        <v>3.3360000000000003E-4</v>
      </c>
      <c r="G95" s="21">
        <f>F95*(G45+G53)</f>
        <v>0.96660520870080013</v>
      </c>
    </row>
    <row r="96" spans="1:7" ht="49.5" customHeight="1" x14ac:dyDescent="0.25">
      <c r="A96" s="7" t="s">
        <v>36</v>
      </c>
      <c r="B96" s="231" t="s">
        <v>314</v>
      </c>
      <c r="C96" s="232"/>
      <c r="D96" s="232"/>
      <c r="E96" s="233"/>
      <c r="F96" s="42">
        <f xml:space="preserve"> (40%)*F94</f>
        <v>1.6680000000000002E-3</v>
      </c>
      <c r="G96" s="21">
        <f>F96*(G45+G53)</f>
        <v>4.8330260435040007</v>
      </c>
    </row>
    <row r="97" spans="1:7" ht="48" customHeight="1" x14ac:dyDescent="0.25">
      <c r="A97" s="7" t="s">
        <v>38</v>
      </c>
      <c r="B97" s="231" t="s">
        <v>315</v>
      </c>
      <c r="C97" s="232"/>
      <c r="D97" s="232"/>
      <c r="E97" s="233"/>
      <c r="F97" s="42">
        <f>(7/30)/12</f>
        <v>1.9444444444444445E-2</v>
      </c>
      <c r="G97" s="21">
        <f>F97*(G45+G53)</f>
        <v>56.340231655555556</v>
      </c>
    </row>
    <row r="98" spans="1:7" ht="39" customHeight="1" x14ac:dyDescent="0.25">
      <c r="A98" s="8" t="s">
        <v>55</v>
      </c>
      <c r="B98" s="231" t="s">
        <v>316</v>
      </c>
      <c r="C98" s="232"/>
      <c r="D98" s="232"/>
      <c r="E98" s="233"/>
      <c r="F98" s="42">
        <f>F68*F97</f>
        <v>7.1555555555555565E-3</v>
      </c>
      <c r="G98" s="21">
        <f>F98*(G45+G53)</f>
        <v>20.733205249244449</v>
      </c>
    </row>
    <row r="99" spans="1:7" ht="16.5" customHeight="1" x14ac:dyDescent="0.25">
      <c r="A99" s="7" t="s">
        <v>57</v>
      </c>
      <c r="B99" s="231" t="s">
        <v>317</v>
      </c>
      <c r="C99" s="232"/>
      <c r="D99" s="232"/>
      <c r="E99" s="233"/>
      <c r="F99" s="26">
        <f>(1+(1/12)+(1/3/12))*0.08*0.4</f>
        <v>3.5555555555555556E-2</v>
      </c>
      <c r="G99" s="19">
        <f>F99*(G45+G53)</f>
        <v>103.02213788444445</v>
      </c>
    </row>
    <row r="100" spans="1:7" x14ac:dyDescent="0.25">
      <c r="A100" s="43"/>
      <c r="B100" s="271" t="s">
        <v>21</v>
      </c>
      <c r="C100" s="272"/>
      <c r="D100" s="272"/>
      <c r="E100" s="273"/>
      <c r="F100" s="44">
        <f>SUM(F94:F99)</f>
        <v>6.8327155555555547E-2</v>
      </c>
      <c r="G100" s="17">
        <f>SUM(G94:G99)</f>
        <v>197.97777115020926</v>
      </c>
    </row>
    <row r="101" spans="1:7" x14ac:dyDescent="0.25">
      <c r="A101" s="45"/>
      <c r="B101" s="46"/>
      <c r="C101" s="46"/>
      <c r="D101" s="46"/>
      <c r="E101" s="46"/>
      <c r="F101" s="46"/>
      <c r="G101" s="47"/>
    </row>
    <row r="102" spans="1:7" x14ac:dyDescent="0.25">
      <c r="A102" s="24"/>
      <c r="B102" s="205" t="s">
        <v>90</v>
      </c>
      <c r="C102" s="206"/>
      <c r="D102" s="206"/>
      <c r="E102" s="207"/>
      <c r="F102" s="25"/>
      <c r="G102" s="25"/>
    </row>
    <row r="103" spans="1:7" ht="37.5" customHeight="1" x14ac:dyDescent="0.25">
      <c r="A103" s="274" t="s">
        <v>137</v>
      </c>
      <c r="B103" s="215"/>
      <c r="C103" s="215"/>
      <c r="D103" s="215"/>
      <c r="E103" s="215"/>
      <c r="F103" s="215"/>
      <c r="G103" s="216"/>
    </row>
    <row r="104" spans="1:7" x14ac:dyDescent="0.25">
      <c r="A104" s="193"/>
      <c r="B104" s="240"/>
      <c r="C104" s="240"/>
      <c r="D104" s="240"/>
      <c r="E104" s="240"/>
      <c r="F104" s="240"/>
      <c r="G104" s="194"/>
    </row>
    <row r="105" spans="1:7" x14ac:dyDescent="0.25">
      <c r="A105" s="268" t="s">
        <v>91</v>
      </c>
      <c r="B105" s="269"/>
      <c r="C105" s="269"/>
      <c r="D105" s="269"/>
      <c r="E105" s="269"/>
      <c r="F105" s="269"/>
      <c r="G105" s="270"/>
    </row>
    <row r="106" spans="1:7" ht="24" x14ac:dyDescent="0.25">
      <c r="A106" s="35" t="s">
        <v>92</v>
      </c>
      <c r="B106" s="234" t="s">
        <v>93</v>
      </c>
      <c r="C106" s="242"/>
      <c r="D106" s="242"/>
      <c r="E106" s="242"/>
      <c r="F106" s="31" t="s">
        <v>69</v>
      </c>
      <c r="G106" s="7" t="s">
        <v>8</v>
      </c>
    </row>
    <row r="107" spans="1:7" x14ac:dyDescent="0.25">
      <c r="A107" s="7" t="s">
        <v>31</v>
      </c>
      <c r="B107" s="231" t="s">
        <v>94</v>
      </c>
      <c r="C107" s="232"/>
      <c r="D107" s="232"/>
      <c r="E107" s="232"/>
      <c r="F107" s="26">
        <f>(8.33%+(8.33%*1/3))/12</f>
        <v>9.2555555555555551E-3</v>
      </c>
      <c r="G107" s="21">
        <f>F107*(G45+G53)</f>
        <v>26.817950268044445</v>
      </c>
    </row>
    <row r="108" spans="1:7" x14ac:dyDescent="0.25">
      <c r="A108" s="7" t="s">
        <v>33</v>
      </c>
      <c r="B108" s="231" t="s">
        <v>318</v>
      </c>
      <c r="C108" s="232"/>
      <c r="D108" s="232"/>
      <c r="E108" s="232"/>
      <c r="F108" s="26">
        <f>(1/12)/30</f>
        <v>2.7777777777777775E-3</v>
      </c>
      <c r="G108" s="21">
        <f>F108*(G45+G53)</f>
        <v>8.048604522222222</v>
      </c>
    </row>
    <row r="109" spans="1:7" x14ac:dyDescent="0.25">
      <c r="A109" s="7" t="s">
        <v>36</v>
      </c>
      <c r="B109" s="231" t="s">
        <v>319</v>
      </c>
      <c r="C109" s="232"/>
      <c r="D109" s="232"/>
      <c r="E109" s="232"/>
      <c r="F109" s="48">
        <f>1.5%/12</f>
        <v>1.25E-3</v>
      </c>
      <c r="G109" s="21">
        <f>F109*(G45+G53)</f>
        <v>3.621872035</v>
      </c>
    </row>
    <row r="110" spans="1:7" ht="21.75" customHeight="1" x14ac:dyDescent="0.25">
      <c r="A110" s="7" t="s">
        <v>38</v>
      </c>
      <c r="B110" s="231" t="s">
        <v>320</v>
      </c>
      <c r="C110" s="232"/>
      <c r="D110" s="232"/>
      <c r="E110" s="232"/>
      <c r="F110" s="42">
        <f>8%/12/2</f>
        <v>3.3333333333333335E-3</v>
      </c>
      <c r="G110" s="21">
        <f>F110*(G45+G53)</f>
        <v>9.6583254266666678</v>
      </c>
    </row>
    <row r="111" spans="1:7" ht="20.25" customHeight="1" x14ac:dyDescent="0.25">
      <c r="A111" s="7" t="s">
        <v>55</v>
      </c>
      <c r="B111" s="231" t="s">
        <v>138</v>
      </c>
      <c r="C111" s="232"/>
      <c r="D111" s="232"/>
      <c r="E111" s="232"/>
      <c r="F111" s="49">
        <f>1.5%/12</f>
        <v>1.25E-3</v>
      </c>
      <c r="G111" s="21">
        <f>F111*(G45+G53)</f>
        <v>3.621872035</v>
      </c>
    </row>
    <row r="112" spans="1:7" x14ac:dyDescent="0.25">
      <c r="A112" s="7" t="s">
        <v>57</v>
      </c>
      <c r="B112" s="231" t="s">
        <v>95</v>
      </c>
      <c r="C112" s="232"/>
      <c r="D112" s="232"/>
      <c r="E112" s="232"/>
      <c r="F112" s="26">
        <f>(5/12)/30</f>
        <v>1.388888888888889E-2</v>
      </c>
      <c r="G112" s="21">
        <f>F112*(G45+G53)</f>
        <v>40.243022611111115</v>
      </c>
    </row>
    <row r="113" spans="1:7" x14ac:dyDescent="0.25">
      <c r="A113" s="43"/>
      <c r="B113" s="238" t="s">
        <v>21</v>
      </c>
      <c r="C113" s="239"/>
      <c r="D113" s="239"/>
      <c r="E113" s="244"/>
      <c r="F113" s="27">
        <f>SUM(F107:F112)</f>
        <v>3.1755555555555558E-2</v>
      </c>
      <c r="G113" s="17">
        <f>SUM(G107:G112)</f>
        <v>92.011646898044461</v>
      </c>
    </row>
    <row r="114" spans="1:7" ht="44.25" customHeight="1" x14ac:dyDescent="0.25">
      <c r="A114" s="214" t="s">
        <v>139</v>
      </c>
      <c r="B114" s="215"/>
      <c r="C114" s="215"/>
      <c r="D114" s="215"/>
      <c r="E114" s="215"/>
      <c r="F114" s="215"/>
      <c r="G114" s="216"/>
    </row>
    <row r="115" spans="1:7" x14ac:dyDescent="0.25">
      <c r="A115" s="234"/>
      <c r="B115" s="242"/>
      <c r="C115" s="242"/>
      <c r="D115" s="242"/>
      <c r="E115" s="242"/>
      <c r="F115" s="242"/>
      <c r="G115" s="235"/>
    </row>
    <row r="116" spans="1:7" x14ac:dyDescent="0.25">
      <c r="A116" s="243" t="s">
        <v>96</v>
      </c>
      <c r="B116" s="250"/>
      <c r="C116" s="250"/>
      <c r="D116" s="250"/>
      <c r="E116" s="250"/>
      <c r="F116" s="250"/>
      <c r="G116" s="251"/>
    </row>
    <row r="117" spans="1:7" ht="24" x14ac:dyDescent="0.25">
      <c r="A117" s="7" t="s">
        <v>97</v>
      </c>
      <c r="B117" s="234" t="s">
        <v>98</v>
      </c>
      <c r="C117" s="242"/>
      <c r="D117" s="242"/>
      <c r="E117" s="235"/>
      <c r="F117" s="31" t="s">
        <v>69</v>
      </c>
      <c r="G117" s="7" t="s">
        <v>8</v>
      </c>
    </row>
    <row r="118" spans="1:7" x14ac:dyDescent="0.25">
      <c r="A118" s="7" t="s">
        <v>31</v>
      </c>
      <c r="B118" s="231" t="s">
        <v>99</v>
      </c>
      <c r="C118" s="232"/>
      <c r="D118" s="232"/>
      <c r="E118" s="233"/>
      <c r="F118" s="50"/>
      <c r="G118" s="21"/>
    </row>
    <row r="119" spans="1:7" x14ac:dyDescent="0.25">
      <c r="A119" s="24"/>
      <c r="B119" s="238" t="s">
        <v>21</v>
      </c>
      <c r="C119" s="239"/>
      <c r="D119" s="239"/>
      <c r="E119" s="244"/>
      <c r="F119" s="51"/>
      <c r="G119" s="52"/>
    </row>
    <row r="120" spans="1:7" ht="24.75" customHeight="1" x14ac:dyDescent="0.25">
      <c r="A120" s="214" t="s">
        <v>140</v>
      </c>
      <c r="B120" s="215"/>
      <c r="C120" s="215"/>
      <c r="D120" s="215"/>
      <c r="E120" s="215"/>
      <c r="F120" s="215"/>
      <c r="G120" s="216"/>
    </row>
    <row r="121" spans="1:7" x14ac:dyDescent="0.25">
      <c r="A121" s="193"/>
      <c r="B121" s="240"/>
      <c r="C121" s="240"/>
      <c r="D121" s="240"/>
      <c r="E121" s="240"/>
      <c r="F121" s="240"/>
      <c r="G121" s="194"/>
    </row>
    <row r="122" spans="1:7" x14ac:dyDescent="0.25">
      <c r="A122" s="24"/>
      <c r="B122" s="205" t="s">
        <v>100</v>
      </c>
      <c r="C122" s="206"/>
      <c r="D122" s="206"/>
      <c r="E122" s="206"/>
      <c r="F122" s="206"/>
      <c r="G122" s="25"/>
    </row>
    <row r="123" spans="1:7" ht="24" x14ac:dyDescent="0.25">
      <c r="A123" s="7">
        <v>4</v>
      </c>
      <c r="B123" s="255" t="s">
        <v>101</v>
      </c>
      <c r="C123" s="255"/>
      <c r="D123" s="255"/>
      <c r="E123" s="255"/>
      <c r="F123" s="31" t="s">
        <v>69</v>
      </c>
      <c r="G123" s="7" t="s">
        <v>8</v>
      </c>
    </row>
    <row r="124" spans="1:7" x14ac:dyDescent="0.25">
      <c r="A124" s="7" t="s">
        <v>92</v>
      </c>
      <c r="B124" s="236" t="s">
        <v>102</v>
      </c>
      <c r="C124" s="236"/>
      <c r="D124" s="236"/>
      <c r="E124" s="236"/>
      <c r="F124" s="26">
        <f>F113</f>
        <v>3.1755555555555558E-2</v>
      </c>
      <c r="G124" s="33">
        <f>G113</f>
        <v>92.011646898044461</v>
      </c>
    </row>
    <row r="125" spans="1:7" x14ac:dyDescent="0.25">
      <c r="A125" s="7" t="s">
        <v>97</v>
      </c>
      <c r="B125" s="236" t="s">
        <v>98</v>
      </c>
      <c r="C125" s="236"/>
      <c r="D125" s="236"/>
      <c r="E125" s="236"/>
      <c r="F125" s="53"/>
      <c r="G125" s="54"/>
    </row>
    <row r="126" spans="1:7" x14ac:dyDescent="0.25">
      <c r="A126" s="55"/>
      <c r="B126" s="238" t="s">
        <v>21</v>
      </c>
      <c r="C126" s="239"/>
      <c r="D126" s="239"/>
      <c r="E126" s="244"/>
      <c r="F126" s="27"/>
      <c r="G126" s="17">
        <f>SUM(G124:G125)</f>
        <v>92.011646898044461</v>
      </c>
    </row>
    <row r="127" spans="1:7" x14ac:dyDescent="0.25">
      <c r="A127" s="35"/>
      <c r="B127" s="56"/>
      <c r="C127" s="56"/>
      <c r="D127" s="56"/>
      <c r="E127" s="56"/>
      <c r="F127" s="37"/>
      <c r="G127" s="57"/>
    </row>
    <row r="128" spans="1:7" x14ac:dyDescent="0.25">
      <c r="A128" s="24"/>
      <c r="B128" s="248" t="s">
        <v>103</v>
      </c>
      <c r="C128" s="249"/>
      <c r="D128" s="249"/>
      <c r="E128" s="249"/>
      <c r="F128" s="249"/>
      <c r="G128" s="25"/>
    </row>
    <row r="129" spans="1:7" x14ac:dyDescent="0.25">
      <c r="A129" s="7">
        <v>5</v>
      </c>
      <c r="B129" s="243" t="s">
        <v>104</v>
      </c>
      <c r="C129" s="250"/>
      <c r="D129" s="250"/>
      <c r="E129" s="250"/>
      <c r="F129" s="251"/>
      <c r="G129" s="7" t="s">
        <v>8</v>
      </c>
    </row>
    <row r="130" spans="1:7" x14ac:dyDescent="0.25">
      <c r="A130" s="7" t="s">
        <v>31</v>
      </c>
      <c r="B130" s="231" t="s">
        <v>321</v>
      </c>
      <c r="C130" s="232"/>
      <c r="D130" s="232"/>
      <c r="E130" s="232"/>
      <c r="F130" s="233"/>
      <c r="G130" s="58">
        <f>AVERAGE('Uniformes Por Categoria'!N21:O21)</f>
        <v>89.52</v>
      </c>
    </row>
    <row r="131" spans="1:7" x14ac:dyDescent="0.25">
      <c r="A131" s="7" t="s">
        <v>33</v>
      </c>
      <c r="B131" s="231" t="s">
        <v>114</v>
      </c>
      <c r="C131" s="232"/>
      <c r="D131" s="232"/>
      <c r="E131" s="232"/>
      <c r="F131" s="233"/>
      <c r="G131" s="58"/>
    </row>
    <row r="132" spans="1:7" x14ac:dyDescent="0.25">
      <c r="A132" s="35" t="s">
        <v>36</v>
      </c>
      <c r="B132" s="231" t="s">
        <v>152</v>
      </c>
      <c r="C132" s="232"/>
      <c r="D132" s="232"/>
      <c r="E132" s="232"/>
      <c r="F132" s="233"/>
      <c r="G132" s="58">
        <f>'Relógio de ponto'!N7</f>
        <v>4.6858072916666664</v>
      </c>
    </row>
    <row r="133" spans="1:7" x14ac:dyDescent="0.25">
      <c r="A133" s="35" t="s">
        <v>38</v>
      </c>
      <c r="B133" s="231" t="s">
        <v>116</v>
      </c>
      <c r="C133" s="232"/>
      <c r="D133" s="232"/>
      <c r="E133" s="232"/>
      <c r="F133" s="233"/>
      <c r="G133" s="59">
        <v>0</v>
      </c>
    </row>
    <row r="134" spans="1:7" x14ac:dyDescent="0.25">
      <c r="A134" s="24"/>
      <c r="B134" s="238" t="s">
        <v>21</v>
      </c>
      <c r="C134" s="239"/>
      <c r="D134" s="239"/>
      <c r="E134" s="239"/>
      <c r="F134" s="244"/>
      <c r="G134" s="17">
        <f>SUM(G130:G133)</f>
        <v>94.205807291666659</v>
      </c>
    </row>
    <row r="135" spans="1:7" ht="26.25" customHeight="1" x14ac:dyDescent="0.25">
      <c r="A135" s="214" t="s">
        <v>141</v>
      </c>
      <c r="B135" s="215"/>
      <c r="C135" s="215"/>
      <c r="D135" s="215"/>
      <c r="E135" s="215"/>
      <c r="F135" s="215"/>
      <c r="G135" s="216"/>
    </row>
    <row r="136" spans="1:7" x14ac:dyDescent="0.25">
      <c r="A136" s="60"/>
      <c r="B136" s="46"/>
      <c r="C136" s="46"/>
      <c r="D136" s="46"/>
      <c r="E136" s="46"/>
      <c r="F136" s="37"/>
      <c r="G136" s="61"/>
    </row>
    <row r="137" spans="1:7" x14ac:dyDescent="0.25">
      <c r="A137" s="24"/>
      <c r="B137" s="248" t="s">
        <v>105</v>
      </c>
      <c r="C137" s="249"/>
      <c r="D137" s="249"/>
      <c r="E137" s="249"/>
      <c r="F137" s="249"/>
      <c r="G137" s="25"/>
    </row>
    <row r="138" spans="1:7" x14ac:dyDescent="0.25">
      <c r="A138" s="7">
        <v>6</v>
      </c>
      <c r="B138" s="255" t="s">
        <v>106</v>
      </c>
      <c r="C138" s="255"/>
      <c r="D138" s="255"/>
      <c r="E138" s="275" t="s">
        <v>69</v>
      </c>
      <c r="F138" s="275"/>
      <c r="G138" s="62" t="s">
        <v>8</v>
      </c>
    </row>
    <row r="139" spans="1:7" x14ac:dyDescent="0.25">
      <c r="A139" s="7" t="s">
        <v>31</v>
      </c>
      <c r="B139" s="236" t="s">
        <v>107</v>
      </c>
      <c r="C139" s="236"/>
      <c r="D139" s="236"/>
      <c r="E139" s="276">
        <v>0.05</v>
      </c>
      <c r="F139" s="277"/>
      <c r="G139" s="58">
        <f>(G45+G90+G100+G126+G134)*E139</f>
        <v>280.55823332512006</v>
      </c>
    </row>
    <row r="140" spans="1:7" x14ac:dyDescent="0.25">
      <c r="A140" s="7" t="s">
        <v>33</v>
      </c>
      <c r="B140" s="236" t="s">
        <v>322</v>
      </c>
      <c r="C140" s="236"/>
      <c r="D140" s="236"/>
      <c r="E140" s="276">
        <v>0.05</v>
      </c>
      <c r="F140" s="277"/>
      <c r="G140" s="58">
        <f>(G45+G90+G100+G126+G134+G139)*E140</f>
        <v>294.5861449913761</v>
      </c>
    </row>
    <row r="141" spans="1:7" x14ac:dyDescent="0.25">
      <c r="A141" s="7" t="s">
        <v>36</v>
      </c>
      <c r="B141" s="236" t="s">
        <v>108</v>
      </c>
      <c r="C141" s="236"/>
      <c r="D141" s="236"/>
      <c r="E141" s="276">
        <f>SUM(E142:F143)</f>
        <v>8.6499999999999994E-2</v>
      </c>
      <c r="F141" s="277"/>
      <c r="G141" s="93"/>
    </row>
    <row r="142" spans="1:7" x14ac:dyDescent="0.25">
      <c r="A142" s="50"/>
      <c r="B142" s="236" t="s">
        <v>323</v>
      </c>
      <c r="C142" s="236"/>
      <c r="D142" s="236"/>
      <c r="E142" s="276">
        <f>0.65%+3%</f>
        <v>3.6499999999999998E-2</v>
      </c>
      <c r="F142" s="277"/>
      <c r="G142" s="58">
        <f>E142*G157</f>
        <v>247.18164999999999</v>
      </c>
    </row>
    <row r="143" spans="1:7" x14ac:dyDescent="0.25">
      <c r="A143" s="50"/>
      <c r="B143" s="236" t="s">
        <v>324</v>
      </c>
      <c r="C143" s="236"/>
      <c r="D143" s="236"/>
      <c r="E143" s="276">
        <v>0.05</v>
      </c>
      <c r="F143" s="277"/>
      <c r="G143" s="58">
        <f>E143*G157</f>
        <v>338.60500000000002</v>
      </c>
    </row>
    <row r="144" spans="1:7" x14ac:dyDescent="0.25">
      <c r="A144" s="24"/>
      <c r="B144" s="238" t="s">
        <v>21</v>
      </c>
      <c r="C144" s="239"/>
      <c r="D144" s="244"/>
      <c r="E144" s="278">
        <f>E139+E140+E141</f>
        <v>0.1865</v>
      </c>
      <c r="F144" s="244"/>
      <c r="G144" s="94">
        <f>SUM(G139:G143)</f>
        <v>1160.9310283164962</v>
      </c>
    </row>
    <row r="145" spans="1:7" ht="17.25" customHeight="1" x14ac:dyDescent="0.25">
      <c r="A145" s="214" t="s">
        <v>142</v>
      </c>
      <c r="B145" s="215"/>
      <c r="C145" s="215"/>
      <c r="D145" s="215"/>
      <c r="E145" s="215"/>
      <c r="F145" s="215"/>
      <c r="G145" s="216"/>
    </row>
    <row r="146" spans="1:7" x14ac:dyDescent="0.25">
      <c r="A146" s="214" t="s">
        <v>143</v>
      </c>
      <c r="B146" s="215"/>
      <c r="C146" s="215"/>
      <c r="D146" s="215"/>
      <c r="E146" s="215"/>
      <c r="F146" s="215"/>
      <c r="G146" s="216"/>
    </row>
    <row r="147" spans="1:7" x14ac:dyDescent="0.25">
      <c r="A147" s="288"/>
      <c r="B147" s="288"/>
      <c r="C147" s="288"/>
      <c r="D147" s="288"/>
      <c r="E147" s="288"/>
      <c r="F147" s="288"/>
      <c r="G147" s="289"/>
    </row>
    <row r="148" spans="1:7" x14ac:dyDescent="0.25">
      <c r="A148" s="55"/>
      <c r="B148" s="206" t="s">
        <v>109</v>
      </c>
      <c r="C148" s="206"/>
      <c r="D148" s="206"/>
      <c r="E148" s="206"/>
      <c r="F148" s="206"/>
      <c r="G148" s="25"/>
    </row>
    <row r="149" spans="1:7" x14ac:dyDescent="0.25">
      <c r="A149" s="63"/>
      <c r="B149" s="234" t="s">
        <v>110</v>
      </c>
      <c r="C149" s="242"/>
      <c r="D149" s="242"/>
      <c r="E149" s="242"/>
      <c r="F149" s="235"/>
      <c r="G149" s="63" t="s">
        <v>111</v>
      </c>
    </row>
    <row r="150" spans="1:7" x14ac:dyDescent="0.25">
      <c r="A150" s="7" t="s">
        <v>31</v>
      </c>
      <c r="B150" s="279" t="s">
        <v>144</v>
      </c>
      <c r="C150" s="280"/>
      <c r="D150" s="280"/>
      <c r="E150" s="280"/>
      <c r="F150" s="281"/>
      <c r="G150" s="64">
        <f>G45</f>
        <v>2405.96</v>
      </c>
    </row>
    <row r="151" spans="1:7" x14ac:dyDescent="0.25">
      <c r="A151" s="7" t="s">
        <v>33</v>
      </c>
      <c r="B151" s="279" t="s">
        <v>145</v>
      </c>
      <c r="C151" s="280"/>
      <c r="D151" s="280"/>
      <c r="E151" s="280"/>
      <c r="F151" s="281"/>
      <c r="G151" s="64">
        <f>G90</f>
        <v>2821.0094411624805</v>
      </c>
    </row>
    <row r="152" spans="1:7" x14ac:dyDescent="0.25">
      <c r="A152" s="7" t="s">
        <v>36</v>
      </c>
      <c r="B152" s="279" t="s">
        <v>146</v>
      </c>
      <c r="C152" s="280"/>
      <c r="D152" s="280"/>
      <c r="E152" s="280"/>
      <c r="F152" s="281"/>
      <c r="G152" s="95">
        <f>G100</f>
        <v>197.97777115020926</v>
      </c>
    </row>
    <row r="153" spans="1:7" x14ac:dyDescent="0.25">
      <c r="A153" s="7" t="s">
        <v>38</v>
      </c>
      <c r="B153" s="279" t="s">
        <v>147</v>
      </c>
      <c r="C153" s="280"/>
      <c r="D153" s="280"/>
      <c r="E153" s="280"/>
      <c r="F153" s="281"/>
      <c r="G153" s="64">
        <f>G126</f>
        <v>92.011646898044461</v>
      </c>
    </row>
    <row r="154" spans="1:7" x14ac:dyDescent="0.25">
      <c r="A154" s="7" t="s">
        <v>55</v>
      </c>
      <c r="B154" s="279" t="s">
        <v>148</v>
      </c>
      <c r="C154" s="280"/>
      <c r="D154" s="280"/>
      <c r="E154" s="280"/>
      <c r="F154" s="281"/>
      <c r="G154" s="64">
        <f>G134</f>
        <v>94.205807291666659</v>
      </c>
    </row>
    <row r="155" spans="1:7" x14ac:dyDescent="0.25">
      <c r="A155" s="65"/>
      <c r="B155" s="285" t="s">
        <v>112</v>
      </c>
      <c r="C155" s="286"/>
      <c r="D155" s="286"/>
      <c r="E155" s="286"/>
      <c r="F155" s="287"/>
      <c r="G155" s="64">
        <f>SUM(G150:G154)</f>
        <v>5611.1646665024009</v>
      </c>
    </row>
    <row r="156" spans="1:7" x14ac:dyDescent="0.25">
      <c r="A156" s="66" t="s">
        <v>57</v>
      </c>
      <c r="B156" s="279" t="s">
        <v>149</v>
      </c>
      <c r="C156" s="280"/>
      <c r="D156" s="280"/>
      <c r="E156" s="280"/>
      <c r="F156" s="281"/>
      <c r="G156" s="95">
        <f>G144</f>
        <v>1160.9310283164962</v>
      </c>
    </row>
    <row r="157" spans="1:7" x14ac:dyDescent="0.25">
      <c r="A157" s="67"/>
      <c r="B157" s="282" t="s">
        <v>113</v>
      </c>
      <c r="C157" s="283"/>
      <c r="D157" s="283"/>
      <c r="E157" s="283"/>
      <c r="F157" s="284"/>
      <c r="G157" s="95">
        <f>ROUND((G139+G140+G155)/(1-E141),2)</f>
        <v>6772.1</v>
      </c>
    </row>
    <row r="158" spans="1:7" ht="15" customHeight="1" x14ac:dyDescent="0.25"/>
  </sheetData>
  <mergeCells count="165">
    <mergeCell ref="A2:G2"/>
    <mergeCell ref="A3:G3"/>
    <mergeCell ref="A4:G4"/>
    <mergeCell ref="A5:G5"/>
    <mergeCell ref="A6:G6"/>
    <mergeCell ref="A7:G7"/>
    <mergeCell ref="A15:G15"/>
    <mergeCell ref="A16:G16"/>
    <mergeCell ref="B17:E17"/>
    <mergeCell ref="F17:G17"/>
    <mergeCell ref="B18:E18"/>
    <mergeCell ref="F18:G18"/>
    <mergeCell ref="A8:G8"/>
    <mergeCell ref="A9:G9"/>
    <mergeCell ref="A10:G10"/>
    <mergeCell ref="A12:G12"/>
    <mergeCell ref="A13:G13"/>
    <mergeCell ref="A14:G14"/>
    <mergeCell ref="A24:D24"/>
    <mergeCell ref="F24:G24"/>
    <mergeCell ref="A25:G25"/>
    <mergeCell ref="A26:G26"/>
    <mergeCell ref="A28:G28"/>
    <mergeCell ref="A29:G29"/>
    <mergeCell ref="B19:E19"/>
    <mergeCell ref="F19:G19"/>
    <mergeCell ref="B20:E20"/>
    <mergeCell ref="F20:G20"/>
    <mergeCell ref="A22:G22"/>
    <mergeCell ref="A23:D23"/>
    <mergeCell ref="F23:G23"/>
    <mergeCell ref="B34:E34"/>
    <mergeCell ref="F34:G34"/>
    <mergeCell ref="B35:E35"/>
    <mergeCell ref="F35:G35"/>
    <mergeCell ref="A36:G36"/>
    <mergeCell ref="B37:E37"/>
    <mergeCell ref="A30:G30"/>
    <mergeCell ref="B31:E31"/>
    <mergeCell ref="F31:G31"/>
    <mergeCell ref="B32:E32"/>
    <mergeCell ref="F32:G32"/>
    <mergeCell ref="B33:E33"/>
    <mergeCell ref="F33:G33"/>
    <mergeCell ref="B44:E44"/>
    <mergeCell ref="B45:E45"/>
    <mergeCell ref="A46:G46"/>
    <mergeCell ref="A47:G47"/>
    <mergeCell ref="B48:E48"/>
    <mergeCell ref="A49:G49"/>
    <mergeCell ref="B38:E38"/>
    <mergeCell ref="B39:E39"/>
    <mergeCell ref="B40:E40"/>
    <mergeCell ref="B41:E41"/>
    <mergeCell ref="B42:E42"/>
    <mergeCell ref="B43:E43"/>
    <mergeCell ref="A56:G56"/>
    <mergeCell ref="A58:G58"/>
    <mergeCell ref="B59:E59"/>
    <mergeCell ref="B60:E60"/>
    <mergeCell ref="B61:E61"/>
    <mergeCell ref="B62:E62"/>
    <mergeCell ref="B50:F50"/>
    <mergeCell ref="B51:E51"/>
    <mergeCell ref="B52:E52"/>
    <mergeCell ref="B53:E53"/>
    <mergeCell ref="A54:G54"/>
    <mergeCell ref="A55:G55"/>
    <mergeCell ref="A69:G69"/>
    <mergeCell ref="A70:G70"/>
    <mergeCell ref="A71:G71"/>
    <mergeCell ref="A73:G73"/>
    <mergeCell ref="B74:F74"/>
    <mergeCell ref="B75:F75"/>
    <mergeCell ref="B63:E63"/>
    <mergeCell ref="B64:E64"/>
    <mergeCell ref="B65:E65"/>
    <mergeCell ref="B66:E66"/>
    <mergeCell ref="B67:E67"/>
    <mergeCell ref="B68:E68"/>
    <mergeCell ref="A82:G82"/>
    <mergeCell ref="A83:G83"/>
    <mergeCell ref="B85:F85"/>
    <mergeCell ref="B86:F86"/>
    <mergeCell ref="B87:F87"/>
    <mergeCell ref="B88:F88"/>
    <mergeCell ref="B76:F76"/>
    <mergeCell ref="B77:F77"/>
    <mergeCell ref="B78:F78"/>
    <mergeCell ref="B79:F79"/>
    <mergeCell ref="B80:F80"/>
    <mergeCell ref="B81:F81"/>
    <mergeCell ref="B95:E95"/>
    <mergeCell ref="B96:E96"/>
    <mergeCell ref="B97:E97"/>
    <mergeCell ref="B98:E98"/>
    <mergeCell ref="B99:E99"/>
    <mergeCell ref="B100:E100"/>
    <mergeCell ref="B89:F89"/>
    <mergeCell ref="B90:F90"/>
    <mergeCell ref="A91:G91"/>
    <mergeCell ref="B92:E92"/>
    <mergeCell ref="B93:E93"/>
    <mergeCell ref="B94:E94"/>
    <mergeCell ref="B108:E108"/>
    <mergeCell ref="B109:E109"/>
    <mergeCell ref="B110:E110"/>
    <mergeCell ref="B111:E111"/>
    <mergeCell ref="B112:E112"/>
    <mergeCell ref="B113:E113"/>
    <mergeCell ref="B102:E102"/>
    <mergeCell ref="A103:G103"/>
    <mergeCell ref="A104:G104"/>
    <mergeCell ref="A105:G105"/>
    <mergeCell ref="B106:E106"/>
    <mergeCell ref="B107:E107"/>
    <mergeCell ref="A120:G120"/>
    <mergeCell ref="A121:G121"/>
    <mergeCell ref="B122:F122"/>
    <mergeCell ref="B123:E123"/>
    <mergeCell ref="B124:E124"/>
    <mergeCell ref="B125:E125"/>
    <mergeCell ref="A114:G114"/>
    <mergeCell ref="A115:G115"/>
    <mergeCell ref="A116:G116"/>
    <mergeCell ref="B117:E117"/>
    <mergeCell ref="B118:E118"/>
    <mergeCell ref="B119:E119"/>
    <mergeCell ref="B133:F133"/>
    <mergeCell ref="B134:F134"/>
    <mergeCell ref="A135:G135"/>
    <mergeCell ref="B137:F137"/>
    <mergeCell ref="B138:D138"/>
    <mergeCell ref="E138:F138"/>
    <mergeCell ref="B126:E126"/>
    <mergeCell ref="B128:F128"/>
    <mergeCell ref="B129:F129"/>
    <mergeCell ref="B130:F130"/>
    <mergeCell ref="B131:F131"/>
    <mergeCell ref="B132:F132"/>
    <mergeCell ref="B142:D142"/>
    <mergeCell ref="E142:F142"/>
    <mergeCell ref="B143:D143"/>
    <mergeCell ref="E143:F143"/>
    <mergeCell ref="B144:D144"/>
    <mergeCell ref="E144:F144"/>
    <mergeCell ref="B139:D139"/>
    <mergeCell ref="E139:F139"/>
    <mergeCell ref="B140:D140"/>
    <mergeCell ref="E140:F140"/>
    <mergeCell ref="B141:D141"/>
    <mergeCell ref="E141:F141"/>
    <mergeCell ref="B157:F157"/>
    <mergeCell ref="B151:F151"/>
    <mergeCell ref="B152:F152"/>
    <mergeCell ref="B153:F153"/>
    <mergeCell ref="B154:F154"/>
    <mergeCell ref="B155:F155"/>
    <mergeCell ref="B156:F156"/>
    <mergeCell ref="A145:G145"/>
    <mergeCell ref="A146:G146"/>
    <mergeCell ref="A147:G147"/>
    <mergeCell ref="B148:F148"/>
    <mergeCell ref="B149:F149"/>
    <mergeCell ref="B150:F150"/>
  </mergeCells>
  <pageMargins left="0.511811024" right="0.511811024" top="0.78740157499999996" bottom="0.78740157499999996" header="0.31496062000000002" footer="0.31496062000000002"/>
  <pageSetup paperSize="9" scale="82" orientation="portrait" horizontalDpi="300" verticalDpi="300" r:id="rId1"/>
  <rowBreaks count="3" manualBreakCount="3">
    <brk id="45" max="16383" man="1"/>
    <brk id="91" max="16383" man="1"/>
    <brk id="134"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4AECF"/>
  </sheetPr>
  <dimension ref="A2:G158"/>
  <sheetViews>
    <sheetView topLeftCell="A133" zoomScale="120" zoomScaleNormal="120" workbookViewId="0">
      <selection activeCell="G158" sqref="G158"/>
    </sheetView>
  </sheetViews>
  <sheetFormatPr defaultColWidth="9.140625" defaultRowHeight="15" x14ac:dyDescent="0.25"/>
  <cols>
    <col min="1" max="1" width="6.140625" style="3" customWidth="1"/>
    <col min="2" max="5" width="15.7109375" style="3" customWidth="1"/>
    <col min="6" max="7" width="12.7109375" style="3" customWidth="1"/>
    <col min="8" max="16384" width="9.140625" style="3"/>
  </cols>
  <sheetData>
    <row r="2" spans="1:7" x14ac:dyDescent="0.25">
      <c r="A2" s="212" t="s">
        <v>0</v>
      </c>
      <c r="B2" s="212"/>
      <c r="C2" s="212"/>
      <c r="D2" s="212"/>
      <c r="E2" s="212"/>
      <c r="F2" s="212"/>
      <c r="G2" s="212"/>
    </row>
    <row r="3" spans="1:7" x14ac:dyDescent="0.25">
      <c r="A3" s="212" t="s">
        <v>1</v>
      </c>
      <c r="B3" s="212"/>
      <c r="C3" s="212"/>
      <c r="D3" s="212"/>
      <c r="E3" s="212"/>
      <c r="F3" s="212"/>
      <c r="G3" s="212"/>
    </row>
    <row r="4" spans="1:7" x14ac:dyDescent="0.25">
      <c r="A4" s="212" t="s">
        <v>2</v>
      </c>
      <c r="B4" s="212"/>
      <c r="C4" s="212"/>
      <c r="D4" s="212"/>
      <c r="E4" s="212"/>
      <c r="F4" s="212"/>
      <c r="G4" s="212"/>
    </row>
    <row r="5" spans="1:7" x14ac:dyDescent="0.25">
      <c r="A5" s="212" t="s">
        <v>3</v>
      </c>
      <c r="B5" s="212"/>
      <c r="C5" s="212"/>
      <c r="D5" s="212"/>
      <c r="E5" s="212"/>
      <c r="F5" s="212"/>
      <c r="G5" s="212"/>
    </row>
    <row r="6" spans="1:7" x14ac:dyDescent="0.25">
      <c r="A6" s="212" t="s">
        <v>4</v>
      </c>
      <c r="B6" s="212"/>
      <c r="C6" s="212"/>
      <c r="D6" s="212"/>
      <c r="E6" s="212"/>
      <c r="F6" s="212"/>
      <c r="G6" s="212"/>
    </row>
    <row r="7" spans="1:7" x14ac:dyDescent="0.25">
      <c r="A7" s="208"/>
      <c r="B7" s="208"/>
      <c r="C7" s="208"/>
      <c r="D7" s="208"/>
      <c r="E7" s="208"/>
      <c r="F7" s="208"/>
      <c r="G7" s="208"/>
    </row>
    <row r="8" spans="1:7" x14ac:dyDescent="0.25">
      <c r="A8" s="204"/>
      <c r="B8" s="204"/>
      <c r="C8" s="204"/>
      <c r="D8" s="204"/>
      <c r="E8" s="204"/>
      <c r="F8" s="204"/>
      <c r="G8" s="204"/>
    </row>
    <row r="9" spans="1:7" ht="88.9" customHeight="1" x14ac:dyDescent="0.25">
      <c r="A9" s="209" t="s">
        <v>325</v>
      </c>
      <c r="B9" s="210"/>
      <c r="C9" s="210"/>
      <c r="D9" s="210"/>
      <c r="E9" s="210"/>
      <c r="F9" s="210"/>
      <c r="G9" s="211"/>
    </row>
    <row r="10" spans="1:7" ht="32.25" customHeight="1" x14ac:dyDescent="0.25">
      <c r="A10" s="205" t="s">
        <v>28</v>
      </c>
      <c r="B10" s="206"/>
      <c r="C10" s="206"/>
      <c r="D10" s="206"/>
      <c r="E10" s="206"/>
      <c r="F10" s="206"/>
      <c r="G10" s="207"/>
    </row>
    <row r="11" spans="1:7" x14ac:dyDescent="0.25">
      <c r="A11" s="4"/>
      <c r="B11" s="5"/>
      <c r="C11" s="5"/>
      <c r="D11" s="5"/>
      <c r="E11" s="5"/>
      <c r="F11" s="5"/>
      <c r="G11" s="6"/>
    </row>
    <row r="12" spans="1:7" x14ac:dyDescent="0.25">
      <c r="A12" s="200" t="s">
        <v>122</v>
      </c>
      <c r="B12" s="201"/>
      <c r="C12" s="201"/>
      <c r="D12" s="201"/>
      <c r="E12" s="201"/>
      <c r="F12" s="201"/>
      <c r="G12" s="202"/>
    </row>
    <row r="13" spans="1:7" x14ac:dyDescent="0.25">
      <c r="A13" s="200" t="s">
        <v>123</v>
      </c>
      <c r="B13" s="201"/>
      <c r="C13" s="201"/>
      <c r="D13" s="201"/>
      <c r="E13" s="201"/>
      <c r="F13" s="201"/>
      <c r="G13" s="202"/>
    </row>
    <row r="14" spans="1:7" x14ac:dyDescent="0.25">
      <c r="A14" s="203" t="s">
        <v>29</v>
      </c>
      <c r="B14" s="203"/>
      <c r="C14" s="203"/>
      <c r="D14" s="203"/>
      <c r="E14" s="203"/>
      <c r="F14" s="203"/>
      <c r="G14" s="203"/>
    </row>
    <row r="15" spans="1:7" x14ac:dyDescent="0.25">
      <c r="A15" s="204"/>
      <c r="B15" s="204"/>
      <c r="C15" s="204"/>
      <c r="D15" s="204"/>
      <c r="E15" s="204"/>
      <c r="F15" s="204"/>
      <c r="G15" s="204"/>
    </row>
    <row r="16" spans="1:7" x14ac:dyDescent="0.25">
      <c r="A16" s="205" t="s">
        <v>30</v>
      </c>
      <c r="B16" s="206"/>
      <c r="C16" s="206"/>
      <c r="D16" s="206"/>
      <c r="E16" s="206"/>
      <c r="F16" s="206"/>
      <c r="G16" s="207"/>
    </row>
    <row r="17" spans="1:7" x14ac:dyDescent="0.25">
      <c r="A17" s="7" t="s">
        <v>31</v>
      </c>
      <c r="B17" s="188" t="s">
        <v>32</v>
      </c>
      <c r="C17" s="189"/>
      <c r="D17" s="189"/>
      <c r="E17" s="190"/>
      <c r="F17" s="191">
        <f ca="1">NOW()</f>
        <v>45383.743923379632</v>
      </c>
      <c r="G17" s="192"/>
    </row>
    <row r="18" spans="1:7" x14ac:dyDescent="0.25">
      <c r="A18" s="7" t="s">
        <v>33</v>
      </c>
      <c r="B18" s="188" t="s">
        <v>34</v>
      </c>
      <c r="C18" s="189"/>
      <c r="D18" s="189"/>
      <c r="E18" s="190"/>
      <c r="F18" s="193" t="s">
        <v>35</v>
      </c>
      <c r="G18" s="194"/>
    </row>
    <row r="19" spans="1:7" ht="29.25" customHeight="1" x14ac:dyDescent="0.25">
      <c r="A19" s="8" t="s">
        <v>36</v>
      </c>
      <c r="B19" s="195" t="s">
        <v>37</v>
      </c>
      <c r="C19" s="196"/>
      <c r="D19" s="196"/>
      <c r="E19" s="197"/>
      <c r="F19" s="198" t="s">
        <v>431</v>
      </c>
      <c r="G19" s="199"/>
    </row>
    <row r="20" spans="1:7" ht="15.75" x14ac:dyDescent="0.25">
      <c r="A20" s="7" t="s">
        <v>38</v>
      </c>
      <c r="B20" s="188" t="s">
        <v>124</v>
      </c>
      <c r="C20" s="189"/>
      <c r="D20" s="189"/>
      <c r="E20" s="190"/>
      <c r="F20" s="218">
        <v>30</v>
      </c>
      <c r="G20" s="219"/>
    </row>
    <row r="21" spans="1:7" x14ac:dyDescent="0.25">
      <c r="A21" s="9"/>
      <c r="B21" s="9"/>
      <c r="C21" s="9"/>
      <c r="D21" s="9"/>
      <c r="E21" s="9"/>
      <c r="F21" s="9"/>
      <c r="G21" s="9"/>
    </row>
    <row r="22" spans="1:7" x14ac:dyDescent="0.25">
      <c r="A22" s="205" t="s">
        <v>39</v>
      </c>
      <c r="B22" s="206"/>
      <c r="C22" s="206"/>
      <c r="D22" s="206"/>
      <c r="E22" s="206"/>
      <c r="F22" s="206"/>
      <c r="G22" s="207"/>
    </row>
    <row r="23" spans="1:7" ht="50.25" customHeight="1" x14ac:dyDescent="0.25">
      <c r="A23" s="220" t="s">
        <v>40</v>
      </c>
      <c r="B23" s="220"/>
      <c r="C23" s="220"/>
      <c r="D23" s="220"/>
      <c r="E23" s="4" t="s">
        <v>41</v>
      </c>
      <c r="F23" s="221" t="s">
        <v>42</v>
      </c>
      <c r="G23" s="222"/>
    </row>
    <row r="24" spans="1:7" ht="15.75" x14ac:dyDescent="0.25">
      <c r="A24" s="297" t="s">
        <v>157</v>
      </c>
      <c r="B24" s="298"/>
      <c r="C24" s="298"/>
      <c r="D24" s="299"/>
      <c r="E24" s="4" t="s">
        <v>43</v>
      </c>
      <c r="F24" s="213">
        <v>1</v>
      </c>
      <c r="G24" s="213"/>
    </row>
    <row r="25" spans="1:7" ht="28.5" customHeight="1" x14ac:dyDescent="0.25">
      <c r="A25" s="214" t="s">
        <v>125</v>
      </c>
      <c r="B25" s="215"/>
      <c r="C25" s="215"/>
      <c r="D25" s="215"/>
      <c r="E25" s="215"/>
      <c r="F25" s="215"/>
      <c r="G25" s="216"/>
    </row>
    <row r="26" spans="1:7" ht="33.75" customHeight="1" x14ac:dyDescent="0.25">
      <c r="A26" s="214" t="s">
        <v>126</v>
      </c>
      <c r="B26" s="215"/>
      <c r="C26" s="215"/>
      <c r="D26" s="215"/>
      <c r="E26" s="215"/>
      <c r="F26" s="215"/>
      <c r="G26" s="216"/>
    </row>
    <row r="27" spans="1:7" x14ac:dyDescent="0.25">
      <c r="A27" s="10"/>
      <c r="B27" s="11"/>
      <c r="C27" s="11"/>
      <c r="D27" s="11"/>
      <c r="E27" s="11"/>
      <c r="F27" s="11"/>
      <c r="G27" s="12"/>
    </row>
    <row r="28" spans="1:7" x14ac:dyDescent="0.25">
      <c r="A28" s="217" t="s">
        <v>44</v>
      </c>
      <c r="B28" s="217"/>
      <c r="C28" s="217"/>
      <c r="D28" s="217"/>
      <c r="E28" s="217"/>
      <c r="F28" s="217"/>
      <c r="G28" s="217"/>
    </row>
    <row r="29" spans="1:7" x14ac:dyDescent="0.25">
      <c r="A29" s="237" t="s">
        <v>45</v>
      </c>
      <c r="B29" s="237"/>
      <c r="C29" s="237"/>
      <c r="D29" s="237"/>
      <c r="E29" s="237"/>
      <c r="F29" s="237"/>
      <c r="G29" s="237"/>
    </row>
    <row r="30" spans="1:7" x14ac:dyDescent="0.25">
      <c r="A30" s="237" t="s">
        <v>46</v>
      </c>
      <c r="B30" s="237"/>
      <c r="C30" s="237"/>
      <c r="D30" s="237"/>
      <c r="E30" s="237"/>
      <c r="F30" s="237"/>
      <c r="G30" s="237"/>
    </row>
    <row r="31" spans="1:7" x14ac:dyDescent="0.25">
      <c r="A31" s="7">
        <v>1</v>
      </c>
      <c r="B31" s="231" t="s">
        <v>47</v>
      </c>
      <c r="C31" s="232"/>
      <c r="D31" s="232"/>
      <c r="E31" s="233"/>
      <c r="F31" s="234" t="str">
        <f>A24</f>
        <v>Garçonete</v>
      </c>
      <c r="G31" s="235"/>
    </row>
    <row r="32" spans="1:7" x14ac:dyDescent="0.25">
      <c r="A32" s="7">
        <v>2</v>
      </c>
      <c r="B32" s="231" t="s">
        <v>48</v>
      </c>
      <c r="C32" s="232"/>
      <c r="D32" s="232"/>
      <c r="E32" s="233"/>
      <c r="F32" s="234" t="s">
        <v>155</v>
      </c>
      <c r="G32" s="235"/>
    </row>
    <row r="33" spans="1:7" x14ac:dyDescent="0.25">
      <c r="A33" s="8">
        <v>3</v>
      </c>
      <c r="B33" s="226" t="s">
        <v>432</v>
      </c>
      <c r="C33" s="227"/>
      <c r="D33" s="227"/>
      <c r="E33" s="228"/>
      <c r="F33" s="295">
        <v>2405.96</v>
      </c>
      <c r="G33" s="296"/>
    </row>
    <row r="34" spans="1:7" x14ac:dyDescent="0.25">
      <c r="A34" s="7">
        <v>4</v>
      </c>
      <c r="B34" s="231" t="s">
        <v>49</v>
      </c>
      <c r="C34" s="232"/>
      <c r="D34" s="232"/>
      <c r="E34" s="233"/>
      <c r="F34" s="293" t="str">
        <f>A24</f>
        <v>Garçonete</v>
      </c>
      <c r="G34" s="294"/>
    </row>
    <row r="35" spans="1:7" ht="15" customHeight="1" x14ac:dyDescent="0.25">
      <c r="A35" s="7">
        <v>5</v>
      </c>
      <c r="B35" s="236" t="s">
        <v>329</v>
      </c>
      <c r="C35" s="236"/>
      <c r="D35" s="236"/>
      <c r="E35" s="236"/>
      <c r="F35" s="191">
        <v>45301</v>
      </c>
      <c r="G35" s="194"/>
    </row>
    <row r="36" spans="1:7" x14ac:dyDescent="0.25">
      <c r="A36" s="193"/>
      <c r="B36" s="240"/>
      <c r="C36" s="240"/>
      <c r="D36" s="240"/>
      <c r="E36" s="240"/>
      <c r="F36" s="240"/>
      <c r="G36" s="194"/>
    </row>
    <row r="37" spans="1:7" x14ac:dyDescent="0.25">
      <c r="A37" s="13"/>
      <c r="B37" s="241" t="s">
        <v>127</v>
      </c>
      <c r="C37" s="241"/>
      <c r="D37" s="241"/>
      <c r="E37" s="241"/>
      <c r="F37" s="14"/>
      <c r="G37" s="15"/>
    </row>
    <row r="38" spans="1:7" x14ac:dyDescent="0.25">
      <c r="A38" s="7">
        <v>1</v>
      </c>
      <c r="B38" s="234" t="s">
        <v>50</v>
      </c>
      <c r="C38" s="242"/>
      <c r="D38" s="242"/>
      <c r="E38" s="235"/>
      <c r="F38" s="7" t="s">
        <v>51</v>
      </c>
      <c r="G38" s="7" t="s">
        <v>8</v>
      </c>
    </row>
    <row r="39" spans="1:7" x14ac:dyDescent="0.25">
      <c r="A39" s="8" t="s">
        <v>31</v>
      </c>
      <c r="B39" s="243" t="s">
        <v>52</v>
      </c>
      <c r="C39" s="232"/>
      <c r="D39" s="232"/>
      <c r="E39" s="233"/>
      <c r="F39" s="16">
        <v>1</v>
      </c>
      <c r="G39" s="17">
        <f>F33</f>
        <v>2405.96</v>
      </c>
    </row>
    <row r="40" spans="1:7" x14ac:dyDescent="0.25">
      <c r="A40" s="7" t="s">
        <v>33</v>
      </c>
      <c r="B40" s="231" t="s">
        <v>128</v>
      </c>
      <c r="C40" s="232"/>
      <c r="D40" s="232"/>
      <c r="E40" s="233"/>
      <c r="F40" s="18">
        <v>0</v>
      </c>
      <c r="G40" s="19">
        <f>G39*F40</f>
        <v>0</v>
      </c>
    </row>
    <row r="41" spans="1:7" x14ac:dyDescent="0.25">
      <c r="A41" s="7" t="s">
        <v>36</v>
      </c>
      <c r="B41" s="231" t="s">
        <v>53</v>
      </c>
      <c r="C41" s="232"/>
      <c r="D41" s="232"/>
      <c r="E41" s="233"/>
      <c r="F41" s="20">
        <v>0</v>
      </c>
      <c r="G41" s="21">
        <f>G40*F41</f>
        <v>0</v>
      </c>
    </row>
    <row r="42" spans="1:7" x14ac:dyDescent="0.25">
      <c r="A42" s="7" t="s">
        <v>38</v>
      </c>
      <c r="B42" s="231" t="s">
        <v>54</v>
      </c>
      <c r="C42" s="232"/>
      <c r="D42" s="232"/>
      <c r="E42" s="233"/>
      <c r="F42" s="20">
        <v>0</v>
      </c>
      <c r="G42" s="21">
        <f>G41*F42</f>
        <v>0</v>
      </c>
    </row>
    <row r="43" spans="1:7" x14ac:dyDescent="0.25">
      <c r="A43" s="7" t="s">
        <v>55</v>
      </c>
      <c r="B43" s="231" t="s">
        <v>56</v>
      </c>
      <c r="C43" s="232"/>
      <c r="D43" s="232"/>
      <c r="E43" s="233"/>
      <c r="F43" s="20">
        <v>0</v>
      </c>
      <c r="G43" s="21">
        <f>G42*F43</f>
        <v>0</v>
      </c>
    </row>
    <row r="44" spans="1:7" x14ac:dyDescent="0.25">
      <c r="A44" s="7" t="s">
        <v>57</v>
      </c>
      <c r="B44" s="231" t="s">
        <v>58</v>
      </c>
      <c r="C44" s="232"/>
      <c r="D44" s="232"/>
      <c r="E44" s="233"/>
      <c r="F44" s="20"/>
      <c r="G44" s="21"/>
    </row>
    <row r="45" spans="1:7" x14ac:dyDescent="0.25">
      <c r="A45" s="22"/>
      <c r="B45" s="238" t="s">
        <v>59</v>
      </c>
      <c r="C45" s="239"/>
      <c r="D45" s="239"/>
      <c r="E45" s="239"/>
      <c r="F45" s="23">
        <f>SUM(F39:F44)</f>
        <v>1</v>
      </c>
      <c r="G45" s="17">
        <f>SUM(G39:G44)</f>
        <v>2405.96</v>
      </c>
    </row>
    <row r="46" spans="1:7" x14ac:dyDescent="0.25">
      <c r="A46" s="245" t="s">
        <v>129</v>
      </c>
      <c r="B46" s="246"/>
      <c r="C46" s="246"/>
      <c r="D46" s="246"/>
      <c r="E46" s="246"/>
      <c r="F46" s="246"/>
      <c r="G46" s="247"/>
    </row>
    <row r="47" spans="1:7" x14ac:dyDescent="0.25">
      <c r="A47" s="193"/>
      <c r="B47" s="240"/>
      <c r="C47" s="240"/>
      <c r="D47" s="240"/>
      <c r="E47" s="240"/>
      <c r="F47" s="240"/>
      <c r="G47" s="194"/>
    </row>
    <row r="48" spans="1:7" x14ac:dyDescent="0.25">
      <c r="A48" s="24"/>
      <c r="B48" s="248" t="s">
        <v>60</v>
      </c>
      <c r="C48" s="249"/>
      <c r="D48" s="249"/>
      <c r="E48" s="249"/>
      <c r="F48" s="25"/>
      <c r="G48" s="25"/>
    </row>
    <row r="49" spans="1:7" x14ac:dyDescent="0.25">
      <c r="A49" s="243" t="s">
        <v>61</v>
      </c>
      <c r="B49" s="250"/>
      <c r="C49" s="250"/>
      <c r="D49" s="250"/>
      <c r="E49" s="250"/>
      <c r="F49" s="250"/>
      <c r="G49" s="251"/>
    </row>
    <row r="50" spans="1:7" x14ac:dyDescent="0.25">
      <c r="A50" s="7" t="s">
        <v>62</v>
      </c>
      <c r="B50" s="243" t="s">
        <v>63</v>
      </c>
      <c r="C50" s="250"/>
      <c r="D50" s="250"/>
      <c r="E50" s="250"/>
      <c r="F50" s="251"/>
      <c r="G50" s="7" t="s">
        <v>8</v>
      </c>
    </row>
    <row r="51" spans="1:7" x14ac:dyDescent="0.25">
      <c r="A51" s="7" t="s">
        <v>31</v>
      </c>
      <c r="B51" s="231" t="s">
        <v>64</v>
      </c>
      <c r="C51" s="232"/>
      <c r="D51" s="232"/>
      <c r="E51" s="233"/>
      <c r="F51" s="26">
        <v>8.3299999999999999E-2</v>
      </c>
      <c r="G51" s="21">
        <f>F51*G45</f>
        <v>200.41646800000001</v>
      </c>
    </row>
    <row r="52" spans="1:7" x14ac:dyDescent="0.25">
      <c r="A52" s="90" t="s">
        <v>33</v>
      </c>
      <c r="B52" s="307" t="s">
        <v>65</v>
      </c>
      <c r="C52" s="308"/>
      <c r="D52" s="308"/>
      <c r="E52" s="309"/>
      <c r="F52" s="184">
        <f>12.1%</f>
        <v>0.121</v>
      </c>
      <c r="G52" s="185">
        <f>F52*G45</f>
        <v>291.12115999999997</v>
      </c>
    </row>
    <row r="53" spans="1:7" x14ac:dyDescent="0.25">
      <c r="A53" s="24"/>
      <c r="B53" s="238" t="s">
        <v>21</v>
      </c>
      <c r="C53" s="239"/>
      <c r="D53" s="239"/>
      <c r="E53" s="244"/>
      <c r="F53" s="27">
        <f>SUM(F51:F52)</f>
        <v>0.20429999999999998</v>
      </c>
      <c r="G53" s="17">
        <f>SUM(G51:G52)</f>
        <v>491.53762799999998</v>
      </c>
    </row>
    <row r="54" spans="1:7" ht="28.5" customHeight="1" x14ac:dyDescent="0.25">
      <c r="A54" s="214" t="s">
        <v>130</v>
      </c>
      <c r="B54" s="215"/>
      <c r="C54" s="215"/>
      <c r="D54" s="215"/>
      <c r="E54" s="215"/>
      <c r="F54" s="215"/>
      <c r="G54" s="216"/>
    </row>
    <row r="55" spans="1:7" ht="30" customHeight="1" x14ac:dyDescent="0.25">
      <c r="A55" s="214" t="s">
        <v>131</v>
      </c>
      <c r="B55" s="215"/>
      <c r="C55" s="215"/>
      <c r="D55" s="215"/>
      <c r="E55" s="215"/>
      <c r="F55" s="215"/>
      <c r="G55" s="216"/>
    </row>
    <row r="56" spans="1:7" ht="42.75" customHeight="1" x14ac:dyDescent="0.25">
      <c r="A56" s="253" t="s">
        <v>422</v>
      </c>
      <c r="B56" s="253"/>
      <c r="C56" s="253"/>
      <c r="D56" s="253"/>
      <c r="E56" s="253"/>
      <c r="F56" s="253"/>
      <c r="G56" s="254"/>
    </row>
    <row r="57" spans="1:7" x14ac:dyDescent="0.25">
      <c r="A57" s="28"/>
      <c r="B57" s="29"/>
      <c r="C57" s="29"/>
      <c r="D57" s="29"/>
      <c r="E57" s="29"/>
      <c r="F57" s="29"/>
      <c r="G57" s="30"/>
    </row>
    <row r="58" spans="1:7" ht="31.5" customHeight="1" x14ac:dyDescent="0.25">
      <c r="A58" s="243" t="s">
        <v>66</v>
      </c>
      <c r="B58" s="250"/>
      <c r="C58" s="250"/>
      <c r="D58" s="250"/>
      <c r="E58" s="250"/>
      <c r="F58" s="250"/>
      <c r="G58" s="251"/>
    </row>
    <row r="59" spans="1:7" ht="24" x14ac:dyDescent="0.25">
      <c r="A59" s="7" t="s">
        <v>67</v>
      </c>
      <c r="B59" s="243" t="s">
        <v>68</v>
      </c>
      <c r="C59" s="232"/>
      <c r="D59" s="232"/>
      <c r="E59" s="233"/>
      <c r="F59" s="31" t="s">
        <v>69</v>
      </c>
      <c r="G59" s="7" t="s">
        <v>8</v>
      </c>
    </row>
    <row r="60" spans="1:7" x14ac:dyDescent="0.25">
      <c r="A60" s="7" t="s">
        <v>31</v>
      </c>
      <c r="B60" s="231" t="s">
        <v>70</v>
      </c>
      <c r="C60" s="232"/>
      <c r="D60" s="232"/>
      <c r="E60" s="233"/>
      <c r="F60" s="32">
        <v>0.2</v>
      </c>
      <c r="G60" s="33">
        <f>F60*(G45+G53+G126)</f>
        <v>597.90185497960897</v>
      </c>
    </row>
    <row r="61" spans="1:7" x14ac:dyDescent="0.25">
      <c r="A61" s="7" t="s">
        <v>33</v>
      </c>
      <c r="B61" s="231" t="s">
        <v>71</v>
      </c>
      <c r="C61" s="232"/>
      <c r="D61" s="232"/>
      <c r="E61" s="233"/>
      <c r="F61" s="32">
        <v>2.5000000000000001E-2</v>
      </c>
      <c r="G61" s="33">
        <f>F61*(G45+G53+G126)</f>
        <v>74.737731872451121</v>
      </c>
    </row>
    <row r="62" spans="1:7" x14ac:dyDescent="0.25">
      <c r="A62" s="90" t="s">
        <v>36</v>
      </c>
      <c r="B62" s="307" t="s">
        <v>72</v>
      </c>
      <c r="C62" s="308"/>
      <c r="D62" s="308"/>
      <c r="E62" s="309"/>
      <c r="F62" s="91">
        <v>0.03</v>
      </c>
      <c r="G62" s="92">
        <f>F62*(G45+G53+G126)</f>
        <v>89.685278246941337</v>
      </c>
    </row>
    <row r="63" spans="1:7" x14ac:dyDescent="0.25">
      <c r="A63" s="7" t="s">
        <v>38</v>
      </c>
      <c r="B63" s="231" t="s">
        <v>73</v>
      </c>
      <c r="C63" s="232"/>
      <c r="D63" s="232"/>
      <c r="E63" s="233"/>
      <c r="F63" s="32">
        <v>1.4999999999999999E-2</v>
      </c>
      <c r="G63" s="33">
        <f>F63*(G45+G53+G126)</f>
        <v>44.842639123470668</v>
      </c>
    </row>
    <row r="64" spans="1:7" x14ac:dyDescent="0.25">
      <c r="A64" s="7" t="s">
        <v>55</v>
      </c>
      <c r="B64" s="231" t="s">
        <v>74</v>
      </c>
      <c r="C64" s="232"/>
      <c r="D64" s="232"/>
      <c r="E64" s="233"/>
      <c r="F64" s="32">
        <v>0.01</v>
      </c>
      <c r="G64" s="33">
        <f>F64*(G45+G53+G126)</f>
        <v>29.895092748980446</v>
      </c>
    </row>
    <row r="65" spans="1:7" x14ac:dyDescent="0.25">
      <c r="A65" s="7" t="s">
        <v>57</v>
      </c>
      <c r="B65" s="231" t="s">
        <v>75</v>
      </c>
      <c r="C65" s="232"/>
      <c r="D65" s="232"/>
      <c r="E65" s="233"/>
      <c r="F65" s="32">
        <v>6.0000000000000001E-3</v>
      </c>
      <c r="G65" s="33">
        <f>F65*(G45+G53+G126)</f>
        <v>17.937055649388267</v>
      </c>
    </row>
    <row r="66" spans="1:7" x14ac:dyDescent="0.25">
      <c r="A66" s="7" t="s">
        <v>76</v>
      </c>
      <c r="B66" s="231" t="s">
        <v>77</v>
      </c>
      <c r="C66" s="232"/>
      <c r="D66" s="232"/>
      <c r="E66" s="233"/>
      <c r="F66" s="32">
        <v>2E-3</v>
      </c>
      <c r="G66" s="33">
        <f>F66*(G45+G53+G126)</f>
        <v>5.9790185497960895</v>
      </c>
    </row>
    <row r="67" spans="1:7" x14ac:dyDescent="0.25">
      <c r="A67" s="7" t="s">
        <v>78</v>
      </c>
      <c r="B67" s="231" t="s">
        <v>79</v>
      </c>
      <c r="C67" s="232"/>
      <c r="D67" s="232"/>
      <c r="E67" s="233"/>
      <c r="F67" s="32">
        <v>0.08</v>
      </c>
      <c r="G67" s="33">
        <f>F67*(G45+G53+G126)</f>
        <v>239.16074199184357</v>
      </c>
    </row>
    <row r="68" spans="1:7" x14ac:dyDescent="0.25">
      <c r="A68" s="24"/>
      <c r="B68" s="238" t="s">
        <v>21</v>
      </c>
      <c r="C68" s="239"/>
      <c r="D68" s="239"/>
      <c r="E68" s="244"/>
      <c r="F68" s="27">
        <f>SUM(F60:F67)</f>
        <v>0.36800000000000005</v>
      </c>
      <c r="G68" s="34">
        <f>SUM(G60:G67)</f>
        <v>1100.1394131624807</v>
      </c>
    </row>
    <row r="69" spans="1:7" x14ac:dyDescent="0.25">
      <c r="A69" s="214" t="s">
        <v>132</v>
      </c>
      <c r="B69" s="215"/>
      <c r="C69" s="215"/>
      <c r="D69" s="215"/>
      <c r="E69" s="215"/>
      <c r="F69" s="215"/>
      <c r="G69" s="216"/>
    </row>
    <row r="70" spans="1:7" ht="28.5" customHeight="1" x14ac:dyDescent="0.25">
      <c r="A70" s="214" t="s">
        <v>133</v>
      </c>
      <c r="B70" s="215"/>
      <c r="C70" s="215"/>
      <c r="D70" s="215"/>
      <c r="E70" s="215"/>
      <c r="F70" s="215"/>
      <c r="G70" s="216"/>
    </row>
    <row r="71" spans="1:7" ht="22.5" customHeight="1" x14ac:dyDescent="0.25">
      <c r="A71" s="257" t="s">
        <v>80</v>
      </c>
      <c r="B71" s="258"/>
      <c r="C71" s="258"/>
      <c r="D71" s="258"/>
      <c r="E71" s="258"/>
      <c r="F71" s="258"/>
      <c r="G71" s="259"/>
    </row>
    <row r="72" spans="1:7" x14ac:dyDescent="0.25">
      <c r="A72" s="35"/>
      <c r="B72" s="36"/>
      <c r="C72" s="29"/>
      <c r="D72" s="29"/>
      <c r="E72" s="29"/>
      <c r="F72" s="37"/>
      <c r="G72" s="38"/>
    </row>
    <row r="73" spans="1:7" x14ac:dyDescent="0.25">
      <c r="A73" s="243" t="s">
        <v>81</v>
      </c>
      <c r="B73" s="250"/>
      <c r="C73" s="250"/>
      <c r="D73" s="250"/>
      <c r="E73" s="250"/>
      <c r="F73" s="250"/>
      <c r="G73" s="251"/>
    </row>
    <row r="74" spans="1:7" x14ac:dyDescent="0.25">
      <c r="A74" s="7" t="s">
        <v>82</v>
      </c>
      <c r="B74" s="255" t="s">
        <v>83</v>
      </c>
      <c r="C74" s="255"/>
      <c r="D74" s="255"/>
      <c r="E74" s="255"/>
      <c r="F74" s="255"/>
      <c r="G74" s="7" t="s">
        <v>8</v>
      </c>
    </row>
    <row r="75" spans="1:7" ht="41.25" customHeight="1" x14ac:dyDescent="0.25">
      <c r="A75" s="7" t="s">
        <v>31</v>
      </c>
      <c r="B75" s="236" t="s">
        <v>441</v>
      </c>
      <c r="C75" s="236"/>
      <c r="D75" s="236"/>
      <c r="E75" s="236"/>
      <c r="F75" s="236"/>
      <c r="G75" s="21">
        <f>((5.5)*2*22)-6%*G45</f>
        <v>97.642400000000009</v>
      </c>
    </row>
    <row r="76" spans="1:7" ht="30" customHeight="1" x14ac:dyDescent="0.25">
      <c r="A76" s="7" t="s">
        <v>33</v>
      </c>
      <c r="B76" s="236" t="s">
        <v>430</v>
      </c>
      <c r="C76" s="236"/>
      <c r="D76" s="236"/>
      <c r="E76" s="236"/>
      <c r="F76" s="236"/>
      <c r="G76" s="21">
        <f>42.2*22</f>
        <v>928.40000000000009</v>
      </c>
    </row>
    <row r="77" spans="1:7" x14ac:dyDescent="0.25">
      <c r="A77" s="7" t="s">
        <v>36</v>
      </c>
      <c r="B77" s="256" t="s">
        <v>134</v>
      </c>
      <c r="C77" s="236"/>
      <c r="D77" s="236"/>
      <c r="E77" s="236"/>
      <c r="F77" s="236"/>
      <c r="G77" s="21">
        <v>187.18</v>
      </c>
    </row>
    <row r="78" spans="1:7" x14ac:dyDescent="0.25">
      <c r="A78" s="7" t="s">
        <v>38</v>
      </c>
      <c r="B78" s="256" t="s">
        <v>150</v>
      </c>
      <c r="C78" s="256"/>
      <c r="D78" s="256"/>
      <c r="E78" s="256"/>
      <c r="F78" s="256"/>
      <c r="G78" s="21">
        <v>12.81</v>
      </c>
    </row>
    <row r="79" spans="1:7" x14ac:dyDescent="0.25">
      <c r="A79" s="7" t="s">
        <v>55</v>
      </c>
      <c r="B79" s="256" t="s">
        <v>84</v>
      </c>
      <c r="C79" s="256"/>
      <c r="D79" s="256"/>
      <c r="E79" s="256"/>
      <c r="F79" s="256"/>
      <c r="G79" s="21"/>
    </row>
    <row r="80" spans="1:7" x14ac:dyDescent="0.25">
      <c r="A80" s="7" t="s">
        <v>57</v>
      </c>
      <c r="B80" s="256" t="s">
        <v>151</v>
      </c>
      <c r="C80" s="256"/>
      <c r="D80" s="256"/>
      <c r="E80" s="256"/>
      <c r="F80" s="256"/>
      <c r="G80" s="21">
        <v>3.3</v>
      </c>
    </row>
    <row r="81" spans="1:7" x14ac:dyDescent="0.25">
      <c r="A81" s="22"/>
      <c r="B81" s="238" t="s">
        <v>21</v>
      </c>
      <c r="C81" s="239"/>
      <c r="D81" s="239"/>
      <c r="E81" s="239"/>
      <c r="F81" s="244"/>
      <c r="G81" s="17">
        <f>SUM(G75:G80)</f>
        <v>1229.3324</v>
      </c>
    </row>
    <row r="82" spans="1:7" ht="21" customHeight="1" x14ac:dyDescent="0.25">
      <c r="A82" s="214" t="s">
        <v>135</v>
      </c>
      <c r="B82" s="215"/>
      <c r="C82" s="215"/>
      <c r="D82" s="215"/>
      <c r="E82" s="215"/>
      <c r="F82" s="215"/>
      <c r="G82" s="216"/>
    </row>
    <row r="83" spans="1:7" ht="27" customHeight="1" x14ac:dyDescent="0.25">
      <c r="A83" s="214" t="s">
        <v>136</v>
      </c>
      <c r="B83" s="215"/>
      <c r="C83" s="215"/>
      <c r="D83" s="215"/>
      <c r="E83" s="215"/>
      <c r="F83" s="215"/>
      <c r="G83" s="216"/>
    </row>
    <row r="84" spans="1:7" x14ac:dyDescent="0.25">
      <c r="A84" s="28"/>
      <c r="B84" s="29"/>
      <c r="C84" s="29"/>
      <c r="D84" s="29"/>
      <c r="E84" s="29"/>
      <c r="F84" s="29"/>
      <c r="G84" s="30"/>
    </row>
    <row r="85" spans="1:7" ht="33.75" customHeight="1" x14ac:dyDescent="0.25">
      <c r="A85" s="24"/>
      <c r="B85" s="260" t="s">
        <v>85</v>
      </c>
      <c r="C85" s="260"/>
      <c r="D85" s="260"/>
      <c r="E85" s="260"/>
      <c r="F85" s="260"/>
      <c r="G85" s="39"/>
    </row>
    <row r="86" spans="1:7" x14ac:dyDescent="0.25">
      <c r="A86" s="7">
        <v>2</v>
      </c>
      <c r="B86" s="255" t="s">
        <v>86</v>
      </c>
      <c r="C86" s="255"/>
      <c r="D86" s="255"/>
      <c r="E86" s="255"/>
      <c r="F86" s="255"/>
      <c r="G86" s="7" t="s">
        <v>8</v>
      </c>
    </row>
    <row r="87" spans="1:7" x14ac:dyDescent="0.25">
      <c r="A87" s="7" t="s">
        <v>62</v>
      </c>
      <c r="B87" s="236" t="s">
        <v>87</v>
      </c>
      <c r="C87" s="236"/>
      <c r="D87" s="236"/>
      <c r="E87" s="236"/>
      <c r="F87" s="236"/>
      <c r="G87" s="21">
        <f>G53</f>
        <v>491.53762799999998</v>
      </c>
    </row>
    <row r="88" spans="1:7" x14ac:dyDescent="0.25">
      <c r="A88" s="7" t="s">
        <v>67</v>
      </c>
      <c r="B88" s="236" t="s">
        <v>68</v>
      </c>
      <c r="C88" s="236"/>
      <c r="D88" s="236"/>
      <c r="E88" s="236"/>
      <c r="F88" s="236"/>
      <c r="G88" s="21">
        <f>G68</f>
        <v>1100.1394131624807</v>
      </c>
    </row>
    <row r="89" spans="1:7" x14ac:dyDescent="0.25">
      <c r="A89" s="7" t="s">
        <v>82</v>
      </c>
      <c r="B89" s="236" t="s">
        <v>83</v>
      </c>
      <c r="C89" s="236"/>
      <c r="D89" s="236"/>
      <c r="E89" s="236"/>
      <c r="F89" s="236"/>
      <c r="G89" s="21">
        <f>G81</f>
        <v>1229.3324</v>
      </c>
    </row>
    <row r="90" spans="1:7" x14ac:dyDescent="0.25">
      <c r="A90" s="40"/>
      <c r="B90" s="261" t="s">
        <v>21</v>
      </c>
      <c r="C90" s="262"/>
      <c r="D90" s="262"/>
      <c r="E90" s="262"/>
      <c r="F90" s="263"/>
      <c r="G90" s="17">
        <f>SUM(G87:G89)</f>
        <v>2821.0094411624805</v>
      </c>
    </row>
    <row r="91" spans="1:7" x14ac:dyDescent="0.25">
      <c r="A91" s="264"/>
      <c r="B91" s="265"/>
      <c r="C91" s="265"/>
      <c r="D91" s="265"/>
      <c r="E91" s="265"/>
      <c r="F91" s="265"/>
      <c r="G91" s="266"/>
    </row>
    <row r="92" spans="1:7" x14ac:dyDescent="0.25">
      <c r="A92" s="41"/>
      <c r="B92" s="248" t="s">
        <v>88</v>
      </c>
      <c r="C92" s="249"/>
      <c r="D92" s="249"/>
      <c r="E92" s="267"/>
      <c r="F92" s="25"/>
      <c r="G92" s="25"/>
    </row>
    <row r="93" spans="1:7" ht="24" x14ac:dyDescent="0.25">
      <c r="A93" s="7">
        <v>3</v>
      </c>
      <c r="B93" s="234" t="s">
        <v>89</v>
      </c>
      <c r="C93" s="242"/>
      <c r="D93" s="242"/>
      <c r="E93" s="235"/>
      <c r="F93" s="31" t="s">
        <v>69</v>
      </c>
      <c r="G93" s="7" t="s">
        <v>8</v>
      </c>
    </row>
    <row r="94" spans="1:7" ht="37.5" customHeight="1" x14ac:dyDescent="0.25">
      <c r="A94" s="4" t="s">
        <v>31</v>
      </c>
      <c r="B94" s="231" t="s">
        <v>312</v>
      </c>
      <c r="C94" s="232"/>
      <c r="D94" s="232"/>
      <c r="E94" s="233"/>
      <c r="F94" s="42">
        <v>4.1700000000000001E-3</v>
      </c>
      <c r="G94" s="21">
        <f>F94*(G45+G53)</f>
        <v>12.082565108760001</v>
      </c>
    </row>
    <row r="95" spans="1:7" ht="21" customHeight="1" x14ac:dyDescent="0.25">
      <c r="A95" s="4" t="s">
        <v>33</v>
      </c>
      <c r="B95" s="231" t="s">
        <v>313</v>
      </c>
      <c r="C95" s="232"/>
      <c r="D95" s="232"/>
      <c r="E95" s="233"/>
      <c r="F95" s="42">
        <f>F67*F94</f>
        <v>3.3360000000000003E-4</v>
      </c>
      <c r="G95" s="21">
        <f>F95*(G45+G53)</f>
        <v>0.96660520870080013</v>
      </c>
    </row>
    <row r="96" spans="1:7" ht="40.5" customHeight="1" x14ac:dyDescent="0.25">
      <c r="A96" s="7" t="s">
        <v>36</v>
      </c>
      <c r="B96" s="231" t="s">
        <v>314</v>
      </c>
      <c r="C96" s="232"/>
      <c r="D96" s="232"/>
      <c r="E96" s="233"/>
      <c r="F96" s="42">
        <f xml:space="preserve"> (40%)*F94</f>
        <v>1.6680000000000002E-3</v>
      </c>
      <c r="G96" s="21">
        <f>F96*(G45+G53)</f>
        <v>4.8330260435040007</v>
      </c>
    </row>
    <row r="97" spans="1:7" ht="42" customHeight="1" x14ac:dyDescent="0.25">
      <c r="A97" s="7" t="s">
        <v>38</v>
      </c>
      <c r="B97" s="231" t="s">
        <v>315</v>
      </c>
      <c r="C97" s="232"/>
      <c r="D97" s="232"/>
      <c r="E97" s="233"/>
      <c r="F97" s="42">
        <f>(7/30)/12</f>
        <v>1.9444444444444445E-2</v>
      </c>
      <c r="G97" s="21">
        <f>F97*(G45+G53)</f>
        <v>56.340231655555556</v>
      </c>
    </row>
    <row r="98" spans="1:7" ht="27.75" customHeight="1" x14ac:dyDescent="0.25">
      <c r="A98" s="8" t="s">
        <v>55</v>
      </c>
      <c r="B98" s="231" t="s">
        <v>316</v>
      </c>
      <c r="C98" s="232"/>
      <c r="D98" s="232"/>
      <c r="E98" s="233"/>
      <c r="F98" s="42">
        <f>F68*F97</f>
        <v>7.1555555555555565E-3</v>
      </c>
      <c r="G98" s="21">
        <f>F98*(G45+G53)</f>
        <v>20.733205249244449</v>
      </c>
    </row>
    <row r="99" spans="1:7" ht="18.75" customHeight="1" x14ac:dyDescent="0.25">
      <c r="A99" s="90" t="s">
        <v>57</v>
      </c>
      <c r="B99" s="307" t="s">
        <v>317</v>
      </c>
      <c r="C99" s="308"/>
      <c r="D99" s="308"/>
      <c r="E99" s="309"/>
      <c r="F99" s="184">
        <f>(1+(1/12)+(1/3/12))*0.08*0.4</f>
        <v>3.5555555555555556E-2</v>
      </c>
      <c r="G99" s="186">
        <f>F99*(G45+G53)</f>
        <v>103.02213788444445</v>
      </c>
    </row>
    <row r="100" spans="1:7" x14ac:dyDescent="0.25">
      <c r="A100" s="43"/>
      <c r="B100" s="271" t="s">
        <v>21</v>
      </c>
      <c r="C100" s="272"/>
      <c r="D100" s="272"/>
      <c r="E100" s="273"/>
      <c r="F100" s="44">
        <f>SUM(F94:F99)</f>
        <v>6.8327155555555547E-2</v>
      </c>
      <c r="G100" s="17">
        <f>SUM(G94:G99)</f>
        <v>197.97777115020926</v>
      </c>
    </row>
    <row r="101" spans="1:7" x14ac:dyDescent="0.25">
      <c r="A101" s="45"/>
      <c r="B101" s="46"/>
      <c r="C101" s="46"/>
      <c r="D101" s="46"/>
      <c r="E101" s="46"/>
      <c r="F101" s="46"/>
      <c r="G101" s="47"/>
    </row>
    <row r="102" spans="1:7" x14ac:dyDescent="0.25">
      <c r="A102" s="24"/>
      <c r="B102" s="205" t="s">
        <v>90</v>
      </c>
      <c r="C102" s="206"/>
      <c r="D102" s="206"/>
      <c r="E102" s="207"/>
      <c r="F102" s="25"/>
      <c r="G102" s="25"/>
    </row>
    <row r="103" spans="1:7" ht="37.5" customHeight="1" x14ac:dyDescent="0.25">
      <c r="A103" s="274" t="s">
        <v>137</v>
      </c>
      <c r="B103" s="215"/>
      <c r="C103" s="215"/>
      <c r="D103" s="215"/>
      <c r="E103" s="215"/>
      <c r="F103" s="215"/>
      <c r="G103" s="216"/>
    </row>
    <row r="104" spans="1:7" x14ac:dyDescent="0.25">
      <c r="A104" s="193"/>
      <c r="B104" s="240"/>
      <c r="C104" s="240"/>
      <c r="D104" s="240"/>
      <c r="E104" s="240"/>
      <c r="F104" s="240"/>
      <c r="G104" s="194"/>
    </row>
    <row r="105" spans="1:7" x14ac:dyDescent="0.25">
      <c r="A105" s="268" t="s">
        <v>91</v>
      </c>
      <c r="B105" s="269"/>
      <c r="C105" s="269"/>
      <c r="D105" s="269"/>
      <c r="E105" s="269"/>
      <c r="F105" s="269"/>
      <c r="G105" s="270"/>
    </row>
    <row r="106" spans="1:7" ht="24" x14ac:dyDescent="0.25">
      <c r="A106" s="35" t="s">
        <v>92</v>
      </c>
      <c r="B106" s="234" t="s">
        <v>93</v>
      </c>
      <c r="C106" s="242"/>
      <c r="D106" s="242"/>
      <c r="E106" s="242"/>
      <c r="F106" s="31" t="s">
        <v>69</v>
      </c>
      <c r="G106" s="7" t="s">
        <v>8</v>
      </c>
    </row>
    <row r="107" spans="1:7" x14ac:dyDescent="0.25">
      <c r="A107" s="7" t="s">
        <v>31</v>
      </c>
      <c r="B107" s="231" t="s">
        <v>94</v>
      </c>
      <c r="C107" s="232"/>
      <c r="D107" s="232"/>
      <c r="E107" s="232"/>
      <c r="F107" s="26">
        <f>(8.33%+(8.33%*1/3))/12</f>
        <v>9.2555555555555551E-3</v>
      </c>
      <c r="G107" s="21">
        <f>F107*(G45+G53)</f>
        <v>26.817950268044445</v>
      </c>
    </row>
    <row r="108" spans="1:7" x14ac:dyDescent="0.25">
      <c r="A108" s="7" t="s">
        <v>33</v>
      </c>
      <c r="B108" s="231" t="s">
        <v>318</v>
      </c>
      <c r="C108" s="232"/>
      <c r="D108" s="232"/>
      <c r="E108" s="232"/>
      <c r="F108" s="26">
        <f>(1/12)/30</f>
        <v>2.7777777777777775E-3</v>
      </c>
      <c r="G108" s="21">
        <f>F108*(G45+G53)</f>
        <v>8.048604522222222</v>
      </c>
    </row>
    <row r="109" spans="1:7" x14ac:dyDescent="0.25">
      <c r="A109" s="7" t="s">
        <v>36</v>
      </c>
      <c r="B109" s="231" t="s">
        <v>319</v>
      </c>
      <c r="C109" s="232"/>
      <c r="D109" s="232"/>
      <c r="E109" s="232"/>
      <c r="F109" s="48">
        <f>1.5%/12</f>
        <v>1.25E-3</v>
      </c>
      <c r="G109" s="21">
        <f>F109*(G45+G53)</f>
        <v>3.621872035</v>
      </c>
    </row>
    <row r="110" spans="1:7" ht="33" customHeight="1" x14ac:dyDescent="0.25">
      <c r="A110" s="7" t="s">
        <v>38</v>
      </c>
      <c r="B110" s="231" t="s">
        <v>320</v>
      </c>
      <c r="C110" s="232"/>
      <c r="D110" s="232"/>
      <c r="E110" s="232"/>
      <c r="F110" s="42">
        <f>8%/12/2</f>
        <v>3.3333333333333335E-3</v>
      </c>
      <c r="G110" s="21">
        <f>F110*(G45+G53)</f>
        <v>9.6583254266666678</v>
      </c>
    </row>
    <row r="111" spans="1:7" ht="28.5" customHeight="1" x14ac:dyDescent="0.25">
      <c r="A111" s="7" t="s">
        <v>55</v>
      </c>
      <c r="B111" s="231" t="s">
        <v>138</v>
      </c>
      <c r="C111" s="232"/>
      <c r="D111" s="232"/>
      <c r="E111" s="232"/>
      <c r="F111" s="49">
        <f>1.5%/12</f>
        <v>1.25E-3</v>
      </c>
      <c r="G111" s="21">
        <f>F111*(G45+G53)</f>
        <v>3.621872035</v>
      </c>
    </row>
    <row r="112" spans="1:7" x14ac:dyDescent="0.25">
      <c r="A112" s="7" t="s">
        <v>57</v>
      </c>
      <c r="B112" s="231" t="s">
        <v>95</v>
      </c>
      <c r="C112" s="232"/>
      <c r="D112" s="232"/>
      <c r="E112" s="232"/>
      <c r="F112" s="26">
        <f>(5/12)/30</f>
        <v>1.388888888888889E-2</v>
      </c>
      <c r="G112" s="21">
        <f>F112*(G45+G53)</f>
        <v>40.243022611111115</v>
      </c>
    </row>
    <row r="113" spans="1:7" x14ac:dyDescent="0.25">
      <c r="A113" s="43"/>
      <c r="B113" s="238" t="s">
        <v>21</v>
      </c>
      <c r="C113" s="239"/>
      <c r="D113" s="239"/>
      <c r="E113" s="244"/>
      <c r="F113" s="27">
        <f>SUM(F107:F112)</f>
        <v>3.1755555555555558E-2</v>
      </c>
      <c r="G113" s="17">
        <f>SUM(G107:G112)</f>
        <v>92.011646898044461</v>
      </c>
    </row>
    <row r="114" spans="1:7" ht="44.25" customHeight="1" x14ac:dyDescent="0.25">
      <c r="A114" s="214" t="s">
        <v>139</v>
      </c>
      <c r="B114" s="215"/>
      <c r="C114" s="215"/>
      <c r="D114" s="215"/>
      <c r="E114" s="215"/>
      <c r="F114" s="215"/>
      <c r="G114" s="216"/>
    </row>
    <row r="115" spans="1:7" x14ac:dyDescent="0.25">
      <c r="A115" s="234"/>
      <c r="B115" s="242"/>
      <c r="C115" s="242"/>
      <c r="D115" s="242"/>
      <c r="E115" s="242"/>
      <c r="F115" s="242"/>
      <c r="G115" s="235"/>
    </row>
    <row r="116" spans="1:7" x14ac:dyDescent="0.25">
      <c r="A116" s="243" t="s">
        <v>96</v>
      </c>
      <c r="B116" s="250"/>
      <c r="C116" s="250"/>
      <c r="D116" s="250"/>
      <c r="E116" s="250"/>
      <c r="F116" s="250"/>
      <c r="G116" s="251"/>
    </row>
    <row r="117" spans="1:7" ht="24" x14ac:dyDescent="0.25">
      <c r="A117" s="7" t="s">
        <v>97</v>
      </c>
      <c r="B117" s="234" t="s">
        <v>98</v>
      </c>
      <c r="C117" s="242"/>
      <c r="D117" s="242"/>
      <c r="E117" s="235"/>
      <c r="F117" s="31" t="s">
        <v>69</v>
      </c>
      <c r="G117" s="7" t="s">
        <v>8</v>
      </c>
    </row>
    <row r="118" spans="1:7" x14ac:dyDescent="0.25">
      <c r="A118" s="7" t="s">
        <v>31</v>
      </c>
      <c r="B118" s="231" t="s">
        <v>99</v>
      </c>
      <c r="C118" s="232"/>
      <c r="D118" s="232"/>
      <c r="E118" s="233"/>
      <c r="F118" s="50"/>
      <c r="G118" s="21"/>
    </row>
    <row r="119" spans="1:7" x14ac:dyDescent="0.25">
      <c r="A119" s="24"/>
      <c r="B119" s="238" t="s">
        <v>21</v>
      </c>
      <c r="C119" s="239"/>
      <c r="D119" s="239"/>
      <c r="E119" s="244"/>
      <c r="F119" s="51"/>
      <c r="G119" s="52"/>
    </row>
    <row r="120" spans="1:7" ht="24.75" customHeight="1" x14ac:dyDescent="0.25">
      <c r="A120" s="214" t="s">
        <v>140</v>
      </c>
      <c r="B120" s="215"/>
      <c r="C120" s="215"/>
      <c r="D120" s="215"/>
      <c r="E120" s="215"/>
      <c r="F120" s="215"/>
      <c r="G120" s="216"/>
    </row>
    <row r="121" spans="1:7" x14ac:dyDescent="0.25">
      <c r="A121" s="193"/>
      <c r="B121" s="240"/>
      <c r="C121" s="240"/>
      <c r="D121" s="240"/>
      <c r="E121" s="240"/>
      <c r="F121" s="240"/>
      <c r="G121" s="194"/>
    </row>
    <row r="122" spans="1:7" x14ac:dyDescent="0.25">
      <c r="A122" s="24"/>
      <c r="B122" s="205" t="s">
        <v>100</v>
      </c>
      <c r="C122" s="206"/>
      <c r="D122" s="206"/>
      <c r="E122" s="206"/>
      <c r="F122" s="206"/>
      <c r="G122" s="25"/>
    </row>
    <row r="123" spans="1:7" ht="24" x14ac:dyDescent="0.25">
      <c r="A123" s="7">
        <v>4</v>
      </c>
      <c r="B123" s="255" t="s">
        <v>101</v>
      </c>
      <c r="C123" s="255"/>
      <c r="D123" s="255"/>
      <c r="E123" s="255"/>
      <c r="F123" s="31" t="s">
        <v>69</v>
      </c>
      <c r="G123" s="7" t="s">
        <v>8</v>
      </c>
    </row>
    <row r="124" spans="1:7" x14ac:dyDescent="0.25">
      <c r="A124" s="7" t="s">
        <v>92</v>
      </c>
      <c r="B124" s="236" t="s">
        <v>102</v>
      </c>
      <c r="C124" s="236"/>
      <c r="D124" s="236"/>
      <c r="E124" s="236"/>
      <c r="F124" s="26">
        <f>F113</f>
        <v>3.1755555555555558E-2</v>
      </c>
      <c r="G124" s="33">
        <f>G113</f>
        <v>92.011646898044461</v>
      </c>
    </row>
    <row r="125" spans="1:7" x14ac:dyDescent="0.25">
      <c r="A125" s="7" t="s">
        <v>97</v>
      </c>
      <c r="B125" s="236" t="s">
        <v>98</v>
      </c>
      <c r="C125" s="236"/>
      <c r="D125" s="236"/>
      <c r="E125" s="236"/>
      <c r="F125" s="53"/>
      <c r="G125" s="54"/>
    </row>
    <row r="126" spans="1:7" x14ac:dyDescent="0.25">
      <c r="A126" s="55"/>
      <c r="B126" s="238" t="s">
        <v>21</v>
      </c>
      <c r="C126" s="239"/>
      <c r="D126" s="239"/>
      <c r="E126" s="244"/>
      <c r="F126" s="27"/>
      <c r="G126" s="17">
        <f>SUM(G124:G125)</f>
        <v>92.011646898044461</v>
      </c>
    </row>
    <row r="127" spans="1:7" x14ac:dyDescent="0.25">
      <c r="A127" s="35"/>
      <c r="B127" s="56"/>
      <c r="C127" s="56"/>
      <c r="D127" s="56"/>
      <c r="E127" s="56"/>
      <c r="F127" s="37"/>
      <c r="G127" s="57"/>
    </row>
    <row r="128" spans="1:7" x14ac:dyDescent="0.25">
      <c r="A128" s="24"/>
      <c r="B128" s="248" t="s">
        <v>103</v>
      </c>
      <c r="C128" s="249"/>
      <c r="D128" s="249"/>
      <c r="E128" s="249"/>
      <c r="F128" s="249"/>
      <c r="G128" s="25"/>
    </row>
    <row r="129" spans="1:7" x14ac:dyDescent="0.25">
      <c r="A129" s="7">
        <v>5</v>
      </c>
      <c r="B129" s="243" t="s">
        <v>104</v>
      </c>
      <c r="C129" s="250"/>
      <c r="D129" s="250"/>
      <c r="E129" s="250"/>
      <c r="F129" s="251"/>
      <c r="G129" s="7" t="s">
        <v>8</v>
      </c>
    </row>
    <row r="130" spans="1:7" x14ac:dyDescent="0.25">
      <c r="A130" s="7" t="s">
        <v>31</v>
      </c>
      <c r="B130" s="231" t="s">
        <v>321</v>
      </c>
      <c r="C130" s="232"/>
      <c r="D130" s="232"/>
      <c r="E130" s="232"/>
      <c r="F130" s="233"/>
      <c r="G130" s="110">
        <f>AVERAGE('Uniformes Por Categoria'!N32:O32)</f>
        <v>68.513333333333335</v>
      </c>
    </row>
    <row r="131" spans="1:7" x14ac:dyDescent="0.25">
      <c r="A131" s="7" t="s">
        <v>33</v>
      </c>
      <c r="B131" s="231" t="s">
        <v>114</v>
      </c>
      <c r="C131" s="232"/>
      <c r="D131" s="232"/>
      <c r="E131" s="232"/>
      <c r="F131" s="233"/>
      <c r="G131" s="58"/>
    </row>
    <row r="132" spans="1:7" x14ac:dyDescent="0.25">
      <c r="A132" s="35" t="s">
        <v>36</v>
      </c>
      <c r="B132" s="231" t="s">
        <v>152</v>
      </c>
      <c r="C132" s="232"/>
      <c r="D132" s="232"/>
      <c r="E132" s="232"/>
      <c r="F132" s="233"/>
      <c r="G132" s="58">
        <f>'Relógio de ponto'!N7</f>
        <v>4.6858072916666664</v>
      </c>
    </row>
    <row r="133" spans="1:7" x14ac:dyDescent="0.25">
      <c r="A133" s="35" t="s">
        <v>38</v>
      </c>
      <c r="B133" s="231" t="s">
        <v>116</v>
      </c>
      <c r="C133" s="232"/>
      <c r="D133" s="232"/>
      <c r="E133" s="232"/>
      <c r="F133" s="233"/>
      <c r="G133" s="59">
        <f>'[1] EPI Pesquisa'!L25</f>
        <v>0</v>
      </c>
    </row>
    <row r="134" spans="1:7" x14ac:dyDescent="0.25">
      <c r="A134" s="24"/>
      <c r="B134" s="238" t="s">
        <v>21</v>
      </c>
      <c r="C134" s="239"/>
      <c r="D134" s="239"/>
      <c r="E134" s="239"/>
      <c r="F134" s="244"/>
      <c r="G134" s="17">
        <f>SUM(G130:G133)</f>
        <v>73.199140624999998</v>
      </c>
    </row>
    <row r="135" spans="1:7" ht="26.25" customHeight="1" x14ac:dyDescent="0.25">
      <c r="A135" s="214" t="s">
        <v>141</v>
      </c>
      <c r="B135" s="215"/>
      <c r="C135" s="215"/>
      <c r="D135" s="215"/>
      <c r="E135" s="215"/>
      <c r="F135" s="215"/>
      <c r="G135" s="216"/>
    </row>
    <row r="136" spans="1:7" x14ac:dyDescent="0.25">
      <c r="A136" s="60"/>
      <c r="B136" s="46"/>
      <c r="C136" s="46"/>
      <c r="D136" s="46"/>
      <c r="E136" s="46"/>
      <c r="F136" s="37"/>
      <c r="G136" s="61"/>
    </row>
    <row r="137" spans="1:7" x14ac:dyDescent="0.25">
      <c r="A137" s="24"/>
      <c r="B137" s="248" t="s">
        <v>105</v>
      </c>
      <c r="C137" s="249"/>
      <c r="D137" s="249"/>
      <c r="E137" s="249"/>
      <c r="F137" s="249"/>
      <c r="G137" s="25"/>
    </row>
    <row r="138" spans="1:7" x14ac:dyDescent="0.25">
      <c r="A138" s="7">
        <v>6</v>
      </c>
      <c r="B138" s="255" t="s">
        <v>106</v>
      </c>
      <c r="C138" s="255"/>
      <c r="D138" s="255"/>
      <c r="E138" s="275" t="s">
        <v>69</v>
      </c>
      <c r="F138" s="275"/>
      <c r="G138" s="62" t="s">
        <v>8</v>
      </c>
    </row>
    <row r="139" spans="1:7" x14ac:dyDescent="0.25">
      <c r="A139" s="7" t="s">
        <v>31</v>
      </c>
      <c r="B139" s="236" t="s">
        <v>107</v>
      </c>
      <c r="C139" s="236"/>
      <c r="D139" s="236"/>
      <c r="E139" s="276">
        <v>0.05</v>
      </c>
      <c r="F139" s="277"/>
      <c r="G139" s="58">
        <f>(G45+G90+G100+G126+G134)*E139</f>
        <v>279.5078999917867</v>
      </c>
    </row>
    <row r="140" spans="1:7" x14ac:dyDescent="0.25">
      <c r="A140" s="7" t="s">
        <v>33</v>
      </c>
      <c r="B140" s="236" t="s">
        <v>322</v>
      </c>
      <c r="C140" s="236"/>
      <c r="D140" s="236"/>
      <c r="E140" s="276">
        <v>0.05</v>
      </c>
      <c r="F140" s="277"/>
      <c r="G140" s="58">
        <f>(G45+G90+G100+G126+G134+G139)*E140</f>
        <v>293.48329499137606</v>
      </c>
    </row>
    <row r="141" spans="1:7" x14ac:dyDescent="0.25">
      <c r="A141" s="7" t="s">
        <v>36</v>
      </c>
      <c r="B141" s="236" t="s">
        <v>108</v>
      </c>
      <c r="C141" s="236"/>
      <c r="D141" s="236"/>
      <c r="E141" s="276">
        <f>SUM(E142:F143)</f>
        <v>8.6499999999999994E-2</v>
      </c>
      <c r="F141" s="277"/>
      <c r="G141" s="93"/>
    </row>
    <row r="142" spans="1:7" x14ac:dyDescent="0.25">
      <c r="A142" s="50"/>
      <c r="B142" s="236" t="s">
        <v>323</v>
      </c>
      <c r="C142" s="236"/>
      <c r="D142" s="236"/>
      <c r="E142" s="276">
        <f>0.65%+3%</f>
        <v>3.6499999999999998E-2</v>
      </c>
      <c r="F142" s="277"/>
      <c r="G142" s="58">
        <f>E142*G157</f>
        <v>246.25600999999997</v>
      </c>
    </row>
    <row r="143" spans="1:7" x14ac:dyDescent="0.25">
      <c r="A143" s="50"/>
      <c r="B143" s="236" t="s">
        <v>324</v>
      </c>
      <c r="C143" s="236"/>
      <c r="D143" s="236"/>
      <c r="E143" s="276">
        <v>0.05</v>
      </c>
      <c r="F143" s="277"/>
      <c r="G143" s="58">
        <f>E143*G157</f>
        <v>337.33699999999999</v>
      </c>
    </row>
    <row r="144" spans="1:7" x14ac:dyDescent="0.25">
      <c r="A144" s="24"/>
      <c r="B144" s="238" t="s">
        <v>21</v>
      </c>
      <c r="C144" s="239"/>
      <c r="D144" s="244"/>
      <c r="E144" s="278">
        <f>E139+E140+E141</f>
        <v>0.1865</v>
      </c>
      <c r="F144" s="244"/>
      <c r="G144" s="94">
        <f>SUM(G139:G143)</f>
        <v>1156.5842049831626</v>
      </c>
    </row>
    <row r="145" spans="1:7" ht="17.25" customHeight="1" x14ac:dyDescent="0.25">
      <c r="A145" s="214" t="s">
        <v>142</v>
      </c>
      <c r="B145" s="215"/>
      <c r="C145" s="215"/>
      <c r="D145" s="215"/>
      <c r="E145" s="215"/>
      <c r="F145" s="215"/>
      <c r="G145" s="216"/>
    </row>
    <row r="146" spans="1:7" x14ac:dyDescent="0.25">
      <c r="A146" s="214" t="s">
        <v>143</v>
      </c>
      <c r="B146" s="215"/>
      <c r="C146" s="215"/>
      <c r="D146" s="215"/>
      <c r="E146" s="215"/>
      <c r="F146" s="215"/>
      <c r="G146" s="216"/>
    </row>
    <row r="147" spans="1:7" x14ac:dyDescent="0.25">
      <c r="A147" s="288"/>
      <c r="B147" s="288"/>
      <c r="C147" s="288"/>
      <c r="D147" s="288"/>
      <c r="E147" s="288"/>
      <c r="F147" s="288"/>
      <c r="G147" s="289"/>
    </row>
    <row r="148" spans="1:7" x14ac:dyDescent="0.25">
      <c r="A148" s="55"/>
      <c r="B148" s="206" t="s">
        <v>109</v>
      </c>
      <c r="C148" s="206"/>
      <c r="D148" s="206"/>
      <c r="E148" s="206"/>
      <c r="F148" s="206"/>
      <c r="G148" s="25"/>
    </row>
    <row r="149" spans="1:7" x14ac:dyDescent="0.25">
      <c r="A149" s="63"/>
      <c r="B149" s="234" t="s">
        <v>110</v>
      </c>
      <c r="C149" s="242"/>
      <c r="D149" s="242"/>
      <c r="E149" s="242"/>
      <c r="F149" s="235"/>
      <c r="G149" s="63" t="s">
        <v>111</v>
      </c>
    </row>
    <row r="150" spans="1:7" x14ac:dyDescent="0.25">
      <c r="A150" s="7" t="s">
        <v>31</v>
      </c>
      <c r="B150" s="279" t="s">
        <v>144</v>
      </c>
      <c r="C150" s="280"/>
      <c r="D150" s="280"/>
      <c r="E150" s="280"/>
      <c r="F150" s="281"/>
      <c r="G150" s="64">
        <f>G45</f>
        <v>2405.96</v>
      </c>
    </row>
    <row r="151" spans="1:7" x14ac:dyDescent="0.25">
      <c r="A151" s="7" t="s">
        <v>33</v>
      </c>
      <c r="B151" s="279" t="s">
        <v>145</v>
      </c>
      <c r="C151" s="280"/>
      <c r="D151" s="280"/>
      <c r="E151" s="280"/>
      <c r="F151" s="281"/>
      <c r="G151" s="64">
        <f>G90</f>
        <v>2821.0094411624805</v>
      </c>
    </row>
    <row r="152" spans="1:7" x14ac:dyDescent="0.25">
      <c r="A152" s="7" t="s">
        <v>36</v>
      </c>
      <c r="B152" s="279" t="s">
        <v>146</v>
      </c>
      <c r="C152" s="280"/>
      <c r="D152" s="280"/>
      <c r="E152" s="280"/>
      <c r="F152" s="281"/>
      <c r="G152" s="95">
        <f>G100</f>
        <v>197.97777115020926</v>
      </c>
    </row>
    <row r="153" spans="1:7" x14ac:dyDescent="0.25">
      <c r="A153" s="7" t="s">
        <v>38</v>
      </c>
      <c r="B153" s="279" t="s">
        <v>147</v>
      </c>
      <c r="C153" s="280"/>
      <c r="D153" s="280"/>
      <c r="E153" s="280"/>
      <c r="F153" s="281"/>
      <c r="G153" s="64">
        <f>G126</f>
        <v>92.011646898044461</v>
      </c>
    </row>
    <row r="154" spans="1:7" x14ac:dyDescent="0.25">
      <c r="A154" s="7" t="s">
        <v>55</v>
      </c>
      <c r="B154" s="279" t="s">
        <v>148</v>
      </c>
      <c r="C154" s="280"/>
      <c r="D154" s="280"/>
      <c r="E154" s="280"/>
      <c r="F154" s="281"/>
      <c r="G154" s="64">
        <f>G134</f>
        <v>73.199140624999998</v>
      </c>
    </row>
    <row r="155" spans="1:7" x14ac:dyDescent="0.25">
      <c r="A155" s="65"/>
      <c r="B155" s="285" t="s">
        <v>112</v>
      </c>
      <c r="C155" s="286"/>
      <c r="D155" s="286"/>
      <c r="E155" s="286"/>
      <c r="F155" s="287"/>
      <c r="G155" s="64">
        <f>SUM(G150:G154)</f>
        <v>5590.1579998357338</v>
      </c>
    </row>
    <row r="156" spans="1:7" x14ac:dyDescent="0.25">
      <c r="A156" s="66" t="s">
        <v>57</v>
      </c>
      <c r="B156" s="279" t="s">
        <v>149</v>
      </c>
      <c r="C156" s="280"/>
      <c r="D156" s="280"/>
      <c r="E156" s="280"/>
      <c r="F156" s="281"/>
      <c r="G156" s="95">
        <f>G144</f>
        <v>1156.5842049831626</v>
      </c>
    </row>
    <row r="157" spans="1:7" x14ac:dyDescent="0.25">
      <c r="A157" s="67"/>
      <c r="B157" s="282" t="s">
        <v>113</v>
      </c>
      <c r="C157" s="283"/>
      <c r="D157" s="283"/>
      <c r="E157" s="283"/>
      <c r="F157" s="284"/>
      <c r="G157" s="95">
        <f>ROUND((G139+G140+G155)/(1-E141),2)</f>
        <v>6746.74</v>
      </c>
    </row>
    <row r="158" spans="1:7" ht="15" customHeight="1" x14ac:dyDescent="0.25"/>
  </sheetData>
  <mergeCells count="165">
    <mergeCell ref="A2:G2"/>
    <mergeCell ref="A3:G3"/>
    <mergeCell ref="A4:G4"/>
    <mergeCell ref="A5:G5"/>
    <mergeCell ref="A6:G6"/>
    <mergeCell ref="A7:G7"/>
    <mergeCell ref="A15:G15"/>
    <mergeCell ref="A16:G16"/>
    <mergeCell ref="B17:E17"/>
    <mergeCell ref="F17:G17"/>
    <mergeCell ref="B18:E18"/>
    <mergeCell ref="F18:G18"/>
    <mergeCell ref="A8:G8"/>
    <mergeCell ref="A9:G9"/>
    <mergeCell ref="A10:G10"/>
    <mergeCell ref="A12:G12"/>
    <mergeCell ref="A13:G13"/>
    <mergeCell ref="A14:G14"/>
    <mergeCell ref="A24:D24"/>
    <mergeCell ref="F24:G24"/>
    <mergeCell ref="A25:G25"/>
    <mergeCell ref="A26:G26"/>
    <mergeCell ref="A28:G28"/>
    <mergeCell ref="A29:G29"/>
    <mergeCell ref="B19:E19"/>
    <mergeCell ref="F19:G19"/>
    <mergeCell ref="B20:E20"/>
    <mergeCell ref="F20:G20"/>
    <mergeCell ref="A22:G22"/>
    <mergeCell ref="A23:D23"/>
    <mergeCell ref="F23:G23"/>
    <mergeCell ref="B34:E34"/>
    <mergeCell ref="F34:G34"/>
    <mergeCell ref="B35:E35"/>
    <mergeCell ref="F35:G35"/>
    <mergeCell ref="A36:G36"/>
    <mergeCell ref="B37:E37"/>
    <mergeCell ref="A30:G30"/>
    <mergeCell ref="B31:E31"/>
    <mergeCell ref="F31:G31"/>
    <mergeCell ref="B32:E32"/>
    <mergeCell ref="F32:G32"/>
    <mergeCell ref="B33:E33"/>
    <mergeCell ref="F33:G33"/>
    <mergeCell ref="B44:E44"/>
    <mergeCell ref="B45:E45"/>
    <mergeCell ref="A46:G46"/>
    <mergeCell ref="A47:G47"/>
    <mergeCell ref="B48:E48"/>
    <mergeCell ref="A49:G49"/>
    <mergeCell ref="B38:E38"/>
    <mergeCell ref="B39:E39"/>
    <mergeCell ref="B40:E40"/>
    <mergeCell ref="B41:E41"/>
    <mergeCell ref="B42:E42"/>
    <mergeCell ref="B43:E43"/>
    <mergeCell ref="A56:G56"/>
    <mergeCell ref="A58:G58"/>
    <mergeCell ref="B59:E59"/>
    <mergeCell ref="B60:E60"/>
    <mergeCell ref="B61:E61"/>
    <mergeCell ref="B62:E62"/>
    <mergeCell ref="B50:F50"/>
    <mergeCell ref="B51:E51"/>
    <mergeCell ref="B52:E52"/>
    <mergeCell ref="B53:E53"/>
    <mergeCell ref="A54:G54"/>
    <mergeCell ref="A55:G55"/>
    <mergeCell ref="A69:G69"/>
    <mergeCell ref="A70:G70"/>
    <mergeCell ref="A71:G71"/>
    <mergeCell ref="A73:G73"/>
    <mergeCell ref="B74:F74"/>
    <mergeCell ref="B75:F75"/>
    <mergeCell ref="B63:E63"/>
    <mergeCell ref="B64:E64"/>
    <mergeCell ref="B65:E65"/>
    <mergeCell ref="B66:E66"/>
    <mergeCell ref="B67:E67"/>
    <mergeCell ref="B68:E68"/>
    <mergeCell ref="A82:G82"/>
    <mergeCell ref="A83:G83"/>
    <mergeCell ref="B85:F85"/>
    <mergeCell ref="B86:F86"/>
    <mergeCell ref="B87:F87"/>
    <mergeCell ref="B88:F88"/>
    <mergeCell ref="B76:F76"/>
    <mergeCell ref="B77:F77"/>
    <mergeCell ref="B78:F78"/>
    <mergeCell ref="B79:F79"/>
    <mergeCell ref="B80:F80"/>
    <mergeCell ref="B81:F81"/>
    <mergeCell ref="B95:E95"/>
    <mergeCell ref="B96:E96"/>
    <mergeCell ref="B97:E97"/>
    <mergeCell ref="B98:E98"/>
    <mergeCell ref="B99:E99"/>
    <mergeCell ref="B100:E100"/>
    <mergeCell ref="B89:F89"/>
    <mergeCell ref="B90:F90"/>
    <mergeCell ref="A91:G91"/>
    <mergeCell ref="B92:E92"/>
    <mergeCell ref="B93:E93"/>
    <mergeCell ref="B94:E94"/>
    <mergeCell ref="B108:E108"/>
    <mergeCell ref="B109:E109"/>
    <mergeCell ref="B110:E110"/>
    <mergeCell ref="B111:E111"/>
    <mergeCell ref="B112:E112"/>
    <mergeCell ref="B113:E113"/>
    <mergeCell ref="B102:E102"/>
    <mergeCell ref="A103:G103"/>
    <mergeCell ref="A104:G104"/>
    <mergeCell ref="A105:G105"/>
    <mergeCell ref="B106:E106"/>
    <mergeCell ref="B107:E107"/>
    <mergeCell ref="A120:G120"/>
    <mergeCell ref="A121:G121"/>
    <mergeCell ref="B122:F122"/>
    <mergeCell ref="B123:E123"/>
    <mergeCell ref="B124:E124"/>
    <mergeCell ref="B125:E125"/>
    <mergeCell ref="A114:G114"/>
    <mergeCell ref="A115:G115"/>
    <mergeCell ref="A116:G116"/>
    <mergeCell ref="B117:E117"/>
    <mergeCell ref="B118:E118"/>
    <mergeCell ref="B119:E119"/>
    <mergeCell ref="B133:F133"/>
    <mergeCell ref="B134:F134"/>
    <mergeCell ref="A135:G135"/>
    <mergeCell ref="B137:F137"/>
    <mergeCell ref="B138:D138"/>
    <mergeCell ref="E138:F138"/>
    <mergeCell ref="B126:E126"/>
    <mergeCell ref="B128:F128"/>
    <mergeCell ref="B129:F129"/>
    <mergeCell ref="B130:F130"/>
    <mergeCell ref="B131:F131"/>
    <mergeCell ref="B132:F132"/>
    <mergeCell ref="B142:D142"/>
    <mergeCell ref="E142:F142"/>
    <mergeCell ref="B143:D143"/>
    <mergeCell ref="E143:F143"/>
    <mergeCell ref="B144:D144"/>
    <mergeCell ref="E144:F144"/>
    <mergeCell ref="B139:D139"/>
    <mergeCell ref="E139:F139"/>
    <mergeCell ref="B140:D140"/>
    <mergeCell ref="E140:F140"/>
    <mergeCell ref="B141:D141"/>
    <mergeCell ref="E141:F141"/>
    <mergeCell ref="B157:F157"/>
    <mergeCell ref="B151:F151"/>
    <mergeCell ref="B152:F152"/>
    <mergeCell ref="B153:F153"/>
    <mergeCell ref="B154:F154"/>
    <mergeCell ref="B155:F155"/>
    <mergeCell ref="B156:F156"/>
    <mergeCell ref="A145:G145"/>
    <mergeCell ref="A146:G146"/>
    <mergeCell ref="A147:G147"/>
    <mergeCell ref="B148:F148"/>
    <mergeCell ref="B149:F149"/>
    <mergeCell ref="B150:F150"/>
  </mergeCells>
  <pageMargins left="0.511811024" right="0.511811024" top="0.78740157499999996" bottom="0.78740157499999996" header="0.31496062000000002" footer="0.31496062000000002"/>
  <pageSetup paperSize="9" scale="82" orientation="portrait" horizontalDpi="300" verticalDpi="300" r:id="rId1"/>
  <rowBreaks count="3" manualBreakCount="3">
    <brk id="45" max="16383" man="1"/>
    <brk id="91" max="16383" man="1"/>
    <brk id="134"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G158"/>
  <sheetViews>
    <sheetView tabSelected="1" topLeftCell="A64" zoomScale="130" zoomScaleNormal="130" workbookViewId="0">
      <selection activeCell="B75" sqref="B75:F75"/>
    </sheetView>
  </sheetViews>
  <sheetFormatPr defaultColWidth="9.140625" defaultRowHeight="15" x14ac:dyDescent="0.25"/>
  <cols>
    <col min="1" max="1" width="6.140625" style="3" customWidth="1"/>
    <col min="2" max="5" width="15.7109375" style="3" customWidth="1"/>
    <col min="6" max="7" width="12.7109375" style="3" customWidth="1"/>
    <col min="8" max="16384" width="9.140625" style="3"/>
  </cols>
  <sheetData>
    <row r="2" spans="1:7" x14ac:dyDescent="0.25">
      <c r="A2" s="212" t="s">
        <v>0</v>
      </c>
      <c r="B2" s="212"/>
      <c r="C2" s="212"/>
      <c r="D2" s="212"/>
      <c r="E2" s="212"/>
      <c r="F2" s="212"/>
      <c r="G2" s="212"/>
    </row>
    <row r="3" spans="1:7" x14ac:dyDescent="0.25">
      <c r="A3" s="212" t="s">
        <v>1</v>
      </c>
      <c r="B3" s="212"/>
      <c r="C3" s="212"/>
      <c r="D3" s="212"/>
      <c r="E3" s="212"/>
      <c r="F3" s="212"/>
      <c r="G3" s="212"/>
    </row>
    <row r="4" spans="1:7" x14ac:dyDescent="0.25">
      <c r="A4" s="212" t="s">
        <v>2</v>
      </c>
      <c r="B4" s="212"/>
      <c r="C4" s="212"/>
      <c r="D4" s="212"/>
      <c r="E4" s="212"/>
      <c r="F4" s="212"/>
      <c r="G4" s="212"/>
    </row>
    <row r="5" spans="1:7" x14ac:dyDescent="0.25">
      <c r="A5" s="212" t="s">
        <v>3</v>
      </c>
      <c r="B5" s="212"/>
      <c r="C5" s="212"/>
      <c r="D5" s="212"/>
      <c r="E5" s="212"/>
      <c r="F5" s="212"/>
      <c r="G5" s="212"/>
    </row>
    <row r="6" spans="1:7" x14ac:dyDescent="0.25">
      <c r="A6" s="212" t="s">
        <v>4</v>
      </c>
      <c r="B6" s="212"/>
      <c r="C6" s="212"/>
      <c r="D6" s="212"/>
      <c r="E6" s="212"/>
      <c r="F6" s="212"/>
      <c r="G6" s="212"/>
    </row>
    <row r="7" spans="1:7" x14ac:dyDescent="0.25">
      <c r="A7" s="208"/>
      <c r="B7" s="208"/>
      <c r="C7" s="208"/>
      <c r="D7" s="208"/>
      <c r="E7" s="208"/>
      <c r="F7" s="208"/>
      <c r="G7" s="208"/>
    </row>
    <row r="8" spans="1:7" x14ac:dyDescent="0.25">
      <c r="A8" s="204"/>
      <c r="B8" s="204"/>
      <c r="C8" s="204"/>
      <c r="D8" s="204"/>
      <c r="E8" s="204"/>
      <c r="F8" s="204"/>
      <c r="G8" s="204"/>
    </row>
    <row r="9" spans="1:7" ht="88.9" customHeight="1" x14ac:dyDescent="0.25">
      <c r="A9" s="209" t="s">
        <v>325</v>
      </c>
      <c r="B9" s="210"/>
      <c r="C9" s="210"/>
      <c r="D9" s="210"/>
      <c r="E9" s="210"/>
      <c r="F9" s="210"/>
      <c r="G9" s="211"/>
    </row>
    <row r="10" spans="1:7" ht="32.25" customHeight="1" x14ac:dyDescent="0.25">
      <c r="A10" s="205" t="s">
        <v>28</v>
      </c>
      <c r="B10" s="206"/>
      <c r="C10" s="206"/>
      <c r="D10" s="206"/>
      <c r="E10" s="206"/>
      <c r="F10" s="206"/>
      <c r="G10" s="207"/>
    </row>
    <row r="11" spans="1:7" x14ac:dyDescent="0.25">
      <c r="A11" s="4"/>
      <c r="B11" s="5"/>
      <c r="C11" s="5"/>
      <c r="D11" s="5"/>
      <c r="E11" s="5"/>
      <c r="F11" s="5"/>
      <c r="G11" s="6"/>
    </row>
    <row r="12" spans="1:7" x14ac:dyDescent="0.25">
      <c r="A12" s="200" t="s">
        <v>122</v>
      </c>
      <c r="B12" s="201"/>
      <c r="C12" s="201"/>
      <c r="D12" s="201"/>
      <c r="E12" s="201"/>
      <c r="F12" s="201"/>
      <c r="G12" s="202"/>
    </row>
    <row r="13" spans="1:7" x14ac:dyDescent="0.25">
      <c r="A13" s="200" t="s">
        <v>123</v>
      </c>
      <c r="B13" s="201"/>
      <c r="C13" s="201"/>
      <c r="D13" s="201"/>
      <c r="E13" s="201"/>
      <c r="F13" s="201"/>
      <c r="G13" s="202"/>
    </row>
    <row r="14" spans="1:7" x14ac:dyDescent="0.25">
      <c r="A14" s="203" t="s">
        <v>29</v>
      </c>
      <c r="B14" s="203"/>
      <c r="C14" s="203"/>
      <c r="D14" s="203"/>
      <c r="E14" s="203"/>
      <c r="F14" s="203"/>
      <c r="G14" s="203"/>
    </row>
    <row r="15" spans="1:7" x14ac:dyDescent="0.25">
      <c r="A15" s="204"/>
      <c r="B15" s="204"/>
      <c r="C15" s="204"/>
      <c r="D15" s="204"/>
      <c r="E15" s="204"/>
      <c r="F15" s="204"/>
      <c r="G15" s="204"/>
    </row>
    <row r="16" spans="1:7" x14ac:dyDescent="0.25">
      <c r="A16" s="205" t="s">
        <v>30</v>
      </c>
      <c r="B16" s="206"/>
      <c r="C16" s="206"/>
      <c r="D16" s="206"/>
      <c r="E16" s="206"/>
      <c r="F16" s="206"/>
      <c r="G16" s="207"/>
    </row>
    <row r="17" spans="1:7" x14ac:dyDescent="0.25">
      <c r="A17" s="7" t="s">
        <v>31</v>
      </c>
      <c r="B17" s="188" t="s">
        <v>32</v>
      </c>
      <c r="C17" s="189"/>
      <c r="D17" s="189"/>
      <c r="E17" s="190"/>
      <c r="F17" s="191">
        <f ca="1">NOW()</f>
        <v>45383.743923379632</v>
      </c>
      <c r="G17" s="192"/>
    </row>
    <row r="18" spans="1:7" x14ac:dyDescent="0.25">
      <c r="A18" s="7" t="s">
        <v>33</v>
      </c>
      <c r="B18" s="188" t="s">
        <v>34</v>
      </c>
      <c r="C18" s="189"/>
      <c r="D18" s="189"/>
      <c r="E18" s="190"/>
      <c r="F18" s="193" t="s">
        <v>35</v>
      </c>
      <c r="G18" s="194"/>
    </row>
    <row r="19" spans="1:7" ht="29.25" customHeight="1" x14ac:dyDescent="0.25">
      <c r="A19" s="8" t="s">
        <v>36</v>
      </c>
      <c r="B19" s="195" t="s">
        <v>37</v>
      </c>
      <c r="C19" s="196"/>
      <c r="D19" s="196"/>
      <c r="E19" s="197"/>
      <c r="F19" s="198" t="s">
        <v>431</v>
      </c>
      <c r="G19" s="199"/>
    </row>
    <row r="20" spans="1:7" ht="15.75" x14ac:dyDescent="0.25">
      <c r="A20" s="7" t="s">
        <v>38</v>
      </c>
      <c r="B20" s="188" t="s">
        <v>124</v>
      </c>
      <c r="C20" s="189"/>
      <c r="D20" s="189"/>
      <c r="E20" s="190"/>
      <c r="F20" s="218">
        <v>30</v>
      </c>
      <c r="G20" s="219"/>
    </row>
    <row r="21" spans="1:7" x14ac:dyDescent="0.25">
      <c r="A21" s="9"/>
      <c r="B21" s="9"/>
      <c r="C21" s="9"/>
      <c r="D21" s="9"/>
      <c r="E21" s="9"/>
      <c r="F21" s="9"/>
      <c r="G21" s="9"/>
    </row>
    <row r="22" spans="1:7" x14ac:dyDescent="0.25">
      <c r="A22" s="205" t="s">
        <v>39</v>
      </c>
      <c r="B22" s="206"/>
      <c r="C22" s="206"/>
      <c r="D22" s="206"/>
      <c r="E22" s="206"/>
      <c r="F22" s="206"/>
      <c r="G22" s="207"/>
    </row>
    <row r="23" spans="1:7" ht="50.25" customHeight="1" x14ac:dyDescent="0.25">
      <c r="A23" s="220" t="s">
        <v>40</v>
      </c>
      <c r="B23" s="220"/>
      <c r="C23" s="220"/>
      <c r="D23" s="220"/>
      <c r="E23" s="4" t="s">
        <v>41</v>
      </c>
      <c r="F23" s="221" t="s">
        <v>42</v>
      </c>
      <c r="G23" s="222"/>
    </row>
    <row r="24" spans="1:7" ht="15.75" x14ac:dyDescent="0.25">
      <c r="A24" s="314" t="s">
        <v>327</v>
      </c>
      <c r="B24" s="315"/>
      <c r="C24" s="315"/>
      <c r="D24" s="316"/>
      <c r="E24" s="4" t="s">
        <v>43</v>
      </c>
      <c r="F24" s="213">
        <v>1</v>
      </c>
      <c r="G24" s="213"/>
    </row>
    <row r="25" spans="1:7" ht="28.5" customHeight="1" x14ac:dyDescent="0.25">
      <c r="A25" s="214" t="s">
        <v>125</v>
      </c>
      <c r="B25" s="215"/>
      <c r="C25" s="215"/>
      <c r="D25" s="215"/>
      <c r="E25" s="215"/>
      <c r="F25" s="215"/>
      <c r="G25" s="216"/>
    </row>
    <row r="26" spans="1:7" ht="33.75" customHeight="1" x14ac:dyDescent="0.25">
      <c r="A26" s="214" t="s">
        <v>126</v>
      </c>
      <c r="B26" s="215"/>
      <c r="C26" s="215"/>
      <c r="D26" s="215"/>
      <c r="E26" s="215"/>
      <c r="F26" s="215"/>
      <c r="G26" s="216"/>
    </row>
    <row r="27" spans="1:7" x14ac:dyDescent="0.25">
      <c r="A27" s="10"/>
      <c r="B27" s="11"/>
      <c r="C27" s="11"/>
      <c r="D27" s="11"/>
      <c r="E27" s="11"/>
      <c r="F27" s="11"/>
      <c r="G27" s="12"/>
    </row>
    <row r="28" spans="1:7" x14ac:dyDescent="0.25">
      <c r="A28" s="217" t="s">
        <v>44</v>
      </c>
      <c r="B28" s="217"/>
      <c r="C28" s="217"/>
      <c r="D28" s="217"/>
      <c r="E28" s="217"/>
      <c r="F28" s="217"/>
      <c r="G28" s="217"/>
    </row>
    <row r="29" spans="1:7" x14ac:dyDescent="0.25">
      <c r="A29" s="237" t="s">
        <v>45</v>
      </c>
      <c r="B29" s="237"/>
      <c r="C29" s="237"/>
      <c r="D29" s="237"/>
      <c r="E29" s="237"/>
      <c r="F29" s="237"/>
      <c r="G29" s="237"/>
    </row>
    <row r="30" spans="1:7" x14ac:dyDescent="0.25">
      <c r="A30" s="237" t="s">
        <v>46</v>
      </c>
      <c r="B30" s="237"/>
      <c r="C30" s="237"/>
      <c r="D30" s="237"/>
      <c r="E30" s="237"/>
      <c r="F30" s="237"/>
      <c r="G30" s="237"/>
    </row>
    <row r="31" spans="1:7" x14ac:dyDescent="0.25">
      <c r="A31" s="7">
        <v>1</v>
      </c>
      <c r="B31" s="231" t="s">
        <v>47</v>
      </c>
      <c r="C31" s="232"/>
      <c r="D31" s="232"/>
      <c r="E31" s="233"/>
      <c r="F31" s="234" t="str">
        <f>A24</f>
        <v xml:space="preserve">Auxiliar </v>
      </c>
      <c r="G31" s="235"/>
    </row>
    <row r="32" spans="1:7" x14ac:dyDescent="0.25">
      <c r="A32" s="7">
        <v>2</v>
      </c>
      <c r="B32" s="231" t="s">
        <v>48</v>
      </c>
      <c r="C32" s="232"/>
      <c r="D32" s="232"/>
      <c r="E32" s="233"/>
      <c r="F32" s="234" t="s">
        <v>439</v>
      </c>
      <c r="G32" s="235"/>
    </row>
    <row r="33" spans="1:7" x14ac:dyDescent="0.25">
      <c r="A33" s="8">
        <v>3</v>
      </c>
      <c r="B33" s="226" t="s">
        <v>432</v>
      </c>
      <c r="C33" s="227"/>
      <c r="D33" s="227"/>
      <c r="E33" s="228"/>
      <c r="F33" s="312">
        <v>1629.62</v>
      </c>
      <c r="G33" s="313"/>
    </row>
    <row r="34" spans="1:7" x14ac:dyDescent="0.25">
      <c r="A34" s="7">
        <v>4</v>
      </c>
      <c r="B34" s="231" t="s">
        <v>49</v>
      </c>
      <c r="C34" s="232"/>
      <c r="D34" s="232"/>
      <c r="E34" s="233"/>
      <c r="F34" s="310" t="str">
        <f>A24</f>
        <v xml:space="preserve">Auxiliar </v>
      </c>
      <c r="G34" s="311"/>
    </row>
    <row r="35" spans="1:7" ht="12.6" customHeight="1" x14ac:dyDescent="0.25">
      <c r="A35" s="7">
        <v>5</v>
      </c>
      <c r="B35" s="236" t="s">
        <v>329</v>
      </c>
      <c r="C35" s="236"/>
      <c r="D35" s="236"/>
      <c r="E35" s="236"/>
      <c r="F35" s="191">
        <v>45301</v>
      </c>
      <c r="G35" s="194"/>
    </row>
    <row r="36" spans="1:7" x14ac:dyDescent="0.25">
      <c r="A36" s="193"/>
      <c r="B36" s="240"/>
      <c r="C36" s="240"/>
      <c r="D36" s="240"/>
      <c r="E36" s="240"/>
      <c r="F36" s="240"/>
      <c r="G36" s="194"/>
    </row>
    <row r="37" spans="1:7" x14ac:dyDescent="0.25">
      <c r="A37" s="13"/>
      <c r="B37" s="241" t="s">
        <v>127</v>
      </c>
      <c r="C37" s="241"/>
      <c r="D37" s="241"/>
      <c r="E37" s="241"/>
      <c r="F37" s="14"/>
      <c r="G37" s="15"/>
    </row>
    <row r="38" spans="1:7" x14ac:dyDescent="0.25">
      <c r="A38" s="7">
        <v>1</v>
      </c>
      <c r="B38" s="234" t="s">
        <v>50</v>
      </c>
      <c r="C38" s="242"/>
      <c r="D38" s="242"/>
      <c r="E38" s="235"/>
      <c r="F38" s="7" t="s">
        <v>51</v>
      </c>
      <c r="G38" s="7" t="s">
        <v>8</v>
      </c>
    </row>
    <row r="39" spans="1:7" x14ac:dyDescent="0.25">
      <c r="A39" s="8" t="s">
        <v>31</v>
      </c>
      <c r="B39" s="243" t="s">
        <v>52</v>
      </c>
      <c r="C39" s="232"/>
      <c r="D39" s="232"/>
      <c r="E39" s="233"/>
      <c r="F39" s="16">
        <v>1</v>
      </c>
      <c r="G39" s="17">
        <f>F33</f>
        <v>1629.62</v>
      </c>
    </row>
    <row r="40" spans="1:7" x14ac:dyDescent="0.25">
      <c r="A40" s="7" t="s">
        <v>33</v>
      </c>
      <c r="B40" s="231" t="s">
        <v>128</v>
      </c>
      <c r="C40" s="232"/>
      <c r="D40" s="232"/>
      <c r="E40" s="233"/>
      <c r="F40" s="18">
        <v>0</v>
      </c>
      <c r="G40" s="19">
        <f>G39*F40</f>
        <v>0</v>
      </c>
    </row>
    <row r="41" spans="1:7" x14ac:dyDescent="0.25">
      <c r="A41" s="7" t="s">
        <v>36</v>
      </c>
      <c r="B41" s="231" t="s">
        <v>53</v>
      </c>
      <c r="C41" s="232"/>
      <c r="D41" s="232"/>
      <c r="E41" s="233"/>
      <c r="F41" s="20">
        <v>0</v>
      </c>
      <c r="G41" s="21">
        <f>G40*F41</f>
        <v>0</v>
      </c>
    </row>
    <row r="42" spans="1:7" x14ac:dyDescent="0.25">
      <c r="A42" s="7" t="s">
        <v>38</v>
      </c>
      <c r="B42" s="231" t="s">
        <v>54</v>
      </c>
      <c r="C42" s="232"/>
      <c r="D42" s="232"/>
      <c r="E42" s="233"/>
      <c r="F42" s="20">
        <v>0</v>
      </c>
      <c r="G42" s="21">
        <f>G41*F42</f>
        <v>0</v>
      </c>
    </row>
    <row r="43" spans="1:7" x14ac:dyDescent="0.25">
      <c r="A43" s="7" t="s">
        <v>55</v>
      </c>
      <c r="B43" s="231" t="s">
        <v>56</v>
      </c>
      <c r="C43" s="232"/>
      <c r="D43" s="232"/>
      <c r="E43" s="233"/>
      <c r="F43" s="20">
        <v>0</v>
      </c>
      <c r="G43" s="21">
        <f>G42*F43</f>
        <v>0</v>
      </c>
    </row>
    <row r="44" spans="1:7" x14ac:dyDescent="0.25">
      <c r="A44" s="7" t="s">
        <v>57</v>
      </c>
      <c r="B44" s="231" t="s">
        <v>58</v>
      </c>
      <c r="C44" s="232"/>
      <c r="D44" s="232"/>
      <c r="E44" s="233"/>
      <c r="F44" s="20"/>
      <c r="G44" s="21"/>
    </row>
    <row r="45" spans="1:7" x14ac:dyDescent="0.25">
      <c r="A45" s="22"/>
      <c r="B45" s="238" t="s">
        <v>59</v>
      </c>
      <c r="C45" s="239"/>
      <c r="D45" s="239"/>
      <c r="E45" s="239"/>
      <c r="F45" s="23">
        <f>SUM(F39:F44)</f>
        <v>1</v>
      </c>
      <c r="G45" s="17">
        <f>SUM(G39:G44)</f>
        <v>1629.62</v>
      </c>
    </row>
    <row r="46" spans="1:7" x14ac:dyDescent="0.25">
      <c r="A46" s="245" t="s">
        <v>129</v>
      </c>
      <c r="B46" s="246"/>
      <c r="C46" s="246"/>
      <c r="D46" s="246"/>
      <c r="E46" s="246"/>
      <c r="F46" s="246"/>
      <c r="G46" s="247"/>
    </row>
    <row r="47" spans="1:7" x14ac:dyDescent="0.25">
      <c r="A47" s="193"/>
      <c r="B47" s="240"/>
      <c r="C47" s="240"/>
      <c r="D47" s="240"/>
      <c r="E47" s="240"/>
      <c r="F47" s="240"/>
      <c r="G47" s="194"/>
    </row>
    <row r="48" spans="1:7" x14ac:dyDescent="0.25">
      <c r="A48" s="24"/>
      <c r="B48" s="248" t="s">
        <v>60</v>
      </c>
      <c r="C48" s="249"/>
      <c r="D48" s="249"/>
      <c r="E48" s="249"/>
      <c r="F48" s="25"/>
      <c r="G48" s="25"/>
    </row>
    <row r="49" spans="1:7" x14ac:dyDescent="0.25">
      <c r="A49" s="243" t="s">
        <v>61</v>
      </c>
      <c r="B49" s="250"/>
      <c r="C49" s="250"/>
      <c r="D49" s="250"/>
      <c r="E49" s="250"/>
      <c r="F49" s="250"/>
      <c r="G49" s="251"/>
    </row>
    <row r="50" spans="1:7" x14ac:dyDescent="0.25">
      <c r="A50" s="7" t="s">
        <v>62</v>
      </c>
      <c r="B50" s="243" t="s">
        <v>63</v>
      </c>
      <c r="C50" s="250"/>
      <c r="D50" s="250"/>
      <c r="E50" s="250"/>
      <c r="F50" s="251"/>
      <c r="G50" s="7" t="s">
        <v>8</v>
      </c>
    </row>
    <row r="51" spans="1:7" x14ac:dyDescent="0.25">
      <c r="A51" s="7" t="s">
        <v>31</v>
      </c>
      <c r="B51" s="231" t="s">
        <v>64</v>
      </c>
      <c r="C51" s="232"/>
      <c r="D51" s="232"/>
      <c r="E51" s="233"/>
      <c r="F51" s="26">
        <v>8.3299999999999999E-2</v>
      </c>
      <c r="G51" s="21">
        <f>F51*G45</f>
        <v>135.74734599999999</v>
      </c>
    </row>
    <row r="52" spans="1:7" x14ac:dyDescent="0.25">
      <c r="A52" s="7" t="s">
        <v>33</v>
      </c>
      <c r="B52" s="231" t="s">
        <v>65</v>
      </c>
      <c r="C52" s="232"/>
      <c r="D52" s="232"/>
      <c r="E52" s="233"/>
      <c r="F52" s="26">
        <v>0.121</v>
      </c>
      <c r="G52" s="21">
        <f>F52*G45</f>
        <v>197.18401999999998</v>
      </c>
    </row>
    <row r="53" spans="1:7" x14ac:dyDescent="0.25">
      <c r="A53" s="24"/>
      <c r="B53" s="238" t="s">
        <v>21</v>
      </c>
      <c r="C53" s="239"/>
      <c r="D53" s="239"/>
      <c r="E53" s="244"/>
      <c r="F53" s="27">
        <f>SUM(F51:F52)</f>
        <v>0.20429999999999998</v>
      </c>
      <c r="G53" s="17">
        <f>SUM(G51:G52)</f>
        <v>332.93136599999997</v>
      </c>
    </row>
    <row r="54" spans="1:7" ht="28.5" customHeight="1" x14ac:dyDescent="0.25">
      <c r="A54" s="214" t="s">
        <v>130</v>
      </c>
      <c r="B54" s="215"/>
      <c r="C54" s="215"/>
      <c r="D54" s="215"/>
      <c r="E54" s="215"/>
      <c r="F54" s="215"/>
      <c r="G54" s="216"/>
    </row>
    <row r="55" spans="1:7" ht="30" customHeight="1" x14ac:dyDescent="0.25">
      <c r="A55" s="214" t="s">
        <v>131</v>
      </c>
      <c r="B55" s="215"/>
      <c r="C55" s="215"/>
      <c r="D55" s="215"/>
      <c r="E55" s="215"/>
      <c r="F55" s="215"/>
      <c r="G55" s="216"/>
    </row>
    <row r="56" spans="1:7" ht="42.75" customHeight="1" x14ac:dyDescent="0.25">
      <c r="A56" s="253" t="s">
        <v>422</v>
      </c>
      <c r="B56" s="253"/>
      <c r="C56" s="253"/>
      <c r="D56" s="253"/>
      <c r="E56" s="253"/>
      <c r="F56" s="253"/>
      <c r="G56" s="254"/>
    </row>
    <row r="57" spans="1:7" x14ac:dyDescent="0.25">
      <c r="A57" s="28"/>
      <c r="B57" s="29"/>
      <c r="C57" s="29"/>
      <c r="D57" s="29"/>
      <c r="E57" s="29"/>
      <c r="F57" s="29"/>
      <c r="G57" s="30"/>
    </row>
    <row r="58" spans="1:7" ht="31.5" customHeight="1" x14ac:dyDescent="0.25">
      <c r="A58" s="243" t="s">
        <v>66</v>
      </c>
      <c r="B58" s="250"/>
      <c r="C58" s="250"/>
      <c r="D58" s="250"/>
      <c r="E58" s="250"/>
      <c r="F58" s="250"/>
      <c r="G58" s="251"/>
    </row>
    <row r="59" spans="1:7" ht="24" x14ac:dyDescent="0.25">
      <c r="A59" s="7" t="s">
        <v>67</v>
      </c>
      <c r="B59" s="243" t="s">
        <v>68</v>
      </c>
      <c r="C59" s="232"/>
      <c r="D59" s="232"/>
      <c r="E59" s="233"/>
      <c r="F59" s="31" t="s">
        <v>69</v>
      </c>
      <c r="G59" s="7" t="s">
        <v>8</v>
      </c>
    </row>
    <row r="60" spans="1:7" x14ac:dyDescent="0.25">
      <c r="A60" s="7" t="s">
        <v>31</v>
      </c>
      <c r="B60" s="231" t="s">
        <v>70</v>
      </c>
      <c r="C60" s="232"/>
      <c r="D60" s="232"/>
      <c r="E60" s="233"/>
      <c r="F60" s="32">
        <v>0.2</v>
      </c>
      <c r="G60" s="33">
        <f>F60*(G45+G53+G126)</f>
        <v>404.97465498672886</v>
      </c>
    </row>
    <row r="61" spans="1:7" x14ac:dyDescent="0.25">
      <c r="A61" s="7" t="s">
        <v>33</v>
      </c>
      <c r="B61" s="231" t="s">
        <v>71</v>
      </c>
      <c r="C61" s="232"/>
      <c r="D61" s="232"/>
      <c r="E61" s="233"/>
      <c r="F61" s="32">
        <v>2.5000000000000001E-2</v>
      </c>
      <c r="G61" s="33">
        <f>F61*(G45+G53+G126)</f>
        <v>50.621831873341108</v>
      </c>
    </row>
    <row r="62" spans="1:7" x14ac:dyDescent="0.25">
      <c r="A62" s="7" t="s">
        <v>36</v>
      </c>
      <c r="B62" s="231" t="s">
        <v>72</v>
      </c>
      <c r="C62" s="232"/>
      <c r="D62" s="232"/>
      <c r="E62" s="233"/>
      <c r="F62" s="32">
        <v>0.03</v>
      </c>
      <c r="G62" s="33">
        <f>F62*(G45+G53+G126)</f>
        <v>60.746198248009328</v>
      </c>
    </row>
    <row r="63" spans="1:7" x14ac:dyDescent="0.25">
      <c r="A63" s="7" t="s">
        <v>38</v>
      </c>
      <c r="B63" s="231" t="s">
        <v>73</v>
      </c>
      <c r="C63" s="232"/>
      <c r="D63" s="232"/>
      <c r="E63" s="233"/>
      <c r="F63" s="32">
        <v>1.4999999999999999E-2</v>
      </c>
      <c r="G63" s="33">
        <f>F63*(G45+G53+G126)</f>
        <v>30.373099124004664</v>
      </c>
    </row>
    <row r="64" spans="1:7" x14ac:dyDescent="0.25">
      <c r="A64" s="7" t="s">
        <v>55</v>
      </c>
      <c r="B64" s="231" t="s">
        <v>74</v>
      </c>
      <c r="C64" s="232"/>
      <c r="D64" s="232"/>
      <c r="E64" s="233"/>
      <c r="F64" s="32">
        <v>0.01</v>
      </c>
      <c r="G64" s="33">
        <f>F64*(G45+G53+G126)</f>
        <v>20.248732749336444</v>
      </c>
    </row>
    <row r="65" spans="1:7" x14ac:dyDescent="0.25">
      <c r="A65" s="7" t="s">
        <v>57</v>
      </c>
      <c r="B65" s="231" t="s">
        <v>75</v>
      </c>
      <c r="C65" s="232"/>
      <c r="D65" s="232"/>
      <c r="E65" s="233"/>
      <c r="F65" s="32">
        <v>6.0000000000000001E-3</v>
      </c>
      <c r="G65" s="33">
        <f>F65*(G45+G53+G126)</f>
        <v>12.149239649601867</v>
      </c>
    </row>
    <row r="66" spans="1:7" x14ac:dyDescent="0.25">
      <c r="A66" s="7" t="s">
        <v>76</v>
      </c>
      <c r="B66" s="231" t="s">
        <v>77</v>
      </c>
      <c r="C66" s="232"/>
      <c r="D66" s="232"/>
      <c r="E66" s="233"/>
      <c r="F66" s="32">
        <v>2E-3</v>
      </c>
      <c r="G66" s="33">
        <f>F66*(G45+G53+G126)</f>
        <v>4.0497465498672884</v>
      </c>
    </row>
    <row r="67" spans="1:7" x14ac:dyDescent="0.25">
      <c r="A67" s="7" t="s">
        <v>78</v>
      </c>
      <c r="B67" s="231" t="s">
        <v>79</v>
      </c>
      <c r="C67" s="232"/>
      <c r="D67" s="232"/>
      <c r="E67" s="233"/>
      <c r="F67" s="32">
        <v>0.08</v>
      </c>
      <c r="G67" s="33">
        <f>F67*(G45+G53+G126)</f>
        <v>161.98986199469155</v>
      </c>
    </row>
    <row r="68" spans="1:7" x14ac:dyDescent="0.25">
      <c r="A68" s="24"/>
      <c r="B68" s="238" t="s">
        <v>21</v>
      </c>
      <c r="C68" s="239"/>
      <c r="D68" s="239"/>
      <c r="E68" s="244"/>
      <c r="F68" s="27">
        <f>SUM(F60:F67)</f>
        <v>0.36800000000000005</v>
      </c>
      <c r="G68" s="34">
        <f>SUM(G60:G67)</f>
        <v>745.15336517558114</v>
      </c>
    </row>
    <row r="69" spans="1:7" x14ac:dyDescent="0.25">
      <c r="A69" s="214" t="s">
        <v>132</v>
      </c>
      <c r="B69" s="215"/>
      <c r="C69" s="215"/>
      <c r="D69" s="215"/>
      <c r="E69" s="215"/>
      <c r="F69" s="215"/>
      <c r="G69" s="216"/>
    </row>
    <row r="70" spans="1:7" ht="28.5" customHeight="1" x14ac:dyDescent="0.25">
      <c r="A70" s="214" t="s">
        <v>133</v>
      </c>
      <c r="B70" s="215"/>
      <c r="C70" s="215"/>
      <c r="D70" s="215"/>
      <c r="E70" s="215"/>
      <c r="F70" s="215"/>
      <c r="G70" s="216"/>
    </row>
    <row r="71" spans="1:7" ht="22.5" customHeight="1" x14ac:dyDescent="0.25">
      <c r="A71" s="257" t="s">
        <v>80</v>
      </c>
      <c r="B71" s="258"/>
      <c r="C71" s="258"/>
      <c r="D71" s="258"/>
      <c r="E71" s="258"/>
      <c r="F71" s="258"/>
      <c r="G71" s="259"/>
    </row>
    <row r="72" spans="1:7" x14ac:dyDescent="0.25">
      <c r="A72" s="35"/>
      <c r="B72" s="36"/>
      <c r="C72" s="29"/>
      <c r="D72" s="29"/>
      <c r="E72" s="29"/>
      <c r="F72" s="37"/>
      <c r="G72" s="38"/>
    </row>
    <row r="73" spans="1:7" x14ac:dyDescent="0.25">
      <c r="A73" s="243" t="s">
        <v>81</v>
      </c>
      <c r="B73" s="250"/>
      <c r="C73" s="250"/>
      <c r="D73" s="250"/>
      <c r="E73" s="250"/>
      <c r="F73" s="250"/>
      <c r="G73" s="251"/>
    </row>
    <row r="74" spans="1:7" x14ac:dyDescent="0.25">
      <c r="A74" s="7" t="s">
        <v>82</v>
      </c>
      <c r="B74" s="255" t="s">
        <v>83</v>
      </c>
      <c r="C74" s="255"/>
      <c r="D74" s="255"/>
      <c r="E74" s="255"/>
      <c r="F74" s="255"/>
      <c r="G74" s="7" t="s">
        <v>8</v>
      </c>
    </row>
    <row r="75" spans="1:7" ht="41.25" customHeight="1" x14ac:dyDescent="0.25">
      <c r="A75" s="7" t="s">
        <v>31</v>
      </c>
      <c r="B75" s="236" t="s">
        <v>441</v>
      </c>
      <c r="C75" s="236"/>
      <c r="D75" s="236"/>
      <c r="E75" s="236"/>
      <c r="F75" s="236"/>
      <c r="G75" s="21">
        <f>((5.5)*2*22)-6%*G45</f>
        <v>144.22280000000001</v>
      </c>
    </row>
    <row r="76" spans="1:7" ht="30" customHeight="1" x14ac:dyDescent="0.25">
      <c r="A76" s="7" t="s">
        <v>33</v>
      </c>
      <c r="B76" s="236" t="s">
        <v>430</v>
      </c>
      <c r="C76" s="236"/>
      <c r="D76" s="236"/>
      <c r="E76" s="236"/>
      <c r="F76" s="236"/>
      <c r="G76" s="21">
        <f>42.2*22</f>
        <v>928.40000000000009</v>
      </c>
    </row>
    <row r="77" spans="1:7" x14ac:dyDescent="0.25">
      <c r="A77" s="7" t="s">
        <v>36</v>
      </c>
      <c r="B77" s="256" t="s">
        <v>134</v>
      </c>
      <c r="C77" s="236"/>
      <c r="D77" s="236"/>
      <c r="E77" s="236"/>
      <c r="F77" s="236"/>
      <c r="G77" s="21">
        <v>187.18</v>
      </c>
    </row>
    <row r="78" spans="1:7" x14ac:dyDescent="0.25">
      <c r="A78" s="7" t="s">
        <v>38</v>
      </c>
      <c r="B78" s="256" t="s">
        <v>150</v>
      </c>
      <c r="C78" s="256"/>
      <c r="D78" s="256"/>
      <c r="E78" s="256"/>
      <c r="F78" s="256"/>
      <c r="G78" s="21">
        <v>12.81</v>
      </c>
    </row>
    <row r="79" spans="1:7" x14ac:dyDescent="0.25">
      <c r="A79" s="7" t="s">
        <v>55</v>
      </c>
      <c r="B79" s="256" t="s">
        <v>84</v>
      </c>
      <c r="C79" s="256"/>
      <c r="D79" s="256"/>
      <c r="E79" s="256"/>
      <c r="F79" s="256"/>
      <c r="G79" s="21"/>
    </row>
    <row r="80" spans="1:7" x14ac:dyDescent="0.25">
      <c r="A80" s="7" t="s">
        <v>57</v>
      </c>
      <c r="B80" s="256" t="s">
        <v>151</v>
      </c>
      <c r="C80" s="256"/>
      <c r="D80" s="256"/>
      <c r="E80" s="256"/>
      <c r="F80" s="256"/>
      <c r="G80" s="21">
        <v>3.3</v>
      </c>
    </row>
    <row r="81" spans="1:7" x14ac:dyDescent="0.25">
      <c r="A81" s="22"/>
      <c r="B81" s="238" t="s">
        <v>21</v>
      </c>
      <c r="C81" s="239"/>
      <c r="D81" s="239"/>
      <c r="E81" s="239"/>
      <c r="F81" s="244"/>
      <c r="G81" s="17">
        <f>SUM(G75:G80)</f>
        <v>1275.9128000000001</v>
      </c>
    </row>
    <row r="82" spans="1:7" ht="21" customHeight="1" x14ac:dyDescent="0.25">
      <c r="A82" s="214" t="s">
        <v>135</v>
      </c>
      <c r="B82" s="215"/>
      <c r="C82" s="215"/>
      <c r="D82" s="215"/>
      <c r="E82" s="215"/>
      <c r="F82" s="215"/>
      <c r="G82" s="216"/>
    </row>
    <row r="83" spans="1:7" ht="27" customHeight="1" x14ac:dyDescent="0.25">
      <c r="A83" s="214" t="s">
        <v>136</v>
      </c>
      <c r="B83" s="215"/>
      <c r="C83" s="215"/>
      <c r="D83" s="215"/>
      <c r="E83" s="215"/>
      <c r="F83" s="215"/>
      <c r="G83" s="216"/>
    </row>
    <row r="84" spans="1:7" x14ac:dyDescent="0.25">
      <c r="A84" s="28"/>
      <c r="B84" s="29"/>
      <c r="C84" s="29"/>
      <c r="D84" s="29"/>
      <c r="E84" s="29"/>
      <c r="F84" s="29"/>
      <c r="G84" s="30"/>
    </row>
    <row r="85" spans="1:7" ht="33.75" customHeight="1" x14ac:dyDescent="0.25">
      <c r="A85" s="24"/>
      <c r="B85" s="260" t="s">
        <v>85</v>
      </c>
      <c r="C85" s="260"/>
      <c r="D85" s="260"/>
      <c r="E85" s="260"/>
      <c r="F85" s="260"/>
      <c r="G85" s="39"/>
    </row>
    <row r="86" spans="1:7" x14ac:dyDescent="0.25">
      <c r="A86" s="7">
        <v>2</v>
      </c>
      <c r="B86" s="255" t="s">
        <v>86</v>
      </c>
      <c r="C86" s="255"/>
      <c r="D86" s="255"/>
      <c r="E86" s="255"/>
      <c r="F86" s="255"/>
      <c r="G86" s="7" t="s">
        <v>8</v>
      </c>
    </row>
    <row r="87" spans="1:7" x14ac:dyDescent="0.25">
      <c r="A87" s="7" t="s">
        <v>62</v>
      </c>
      <c r="B87" s="236" t="s">
        <v>87</v>
      </c>
      <c r="C87" s="236"/>
      <c r="D87" s="236"/>
      <c r="E87" s="236"/>
      <c r="F87" s="236"/>
      <c r="G87" s="21">
        <f>G53</f>
        <v>332.93136599999997</v>
      </c>
    </row>
    <row r="88" spans="1:7" x14ac:dyDescent="0.25">
      <c r="A88" s="7" t="s">
        <v>67</v>
      </c>
      <c r="B88" s="236" t="s">
        <v>68</v>
      </c>
      <c r="C88" s="236"/>
      <c r="D88" s="236"/>
      <c r="E88" s="236"/>
      <c r="F88" s="236"/>
      <c r="G88" s="21">
        <f>G68</f>
        <v>745.15336517558114</v>
      </c>
    </row>
    <row r="89" spans="1:7" x14ac:dyDescent="0.25">
      <c r="A89" s="7" t="s">
        <v>82</v>
      </c>
      <c r="B89" s="236" t="s">
        <v>83</v>
      </c>
      <c r="C89" s="236"/>
      <c r="D89" s="236"/>
      <c r="E89" s="236"/>
      <c r="F89" s="236"/>
      <c r="G89" s="21">
        <f>G81</f>
        <v>1275.9128000000001</v>
      </c>
    </row>
    <row r="90" spans="1:7" x14ac:dyDescent="0.25">
      <c r="A90" s="40"/>
      <c r="B90" s="261" t="s">
        <v>21</v>
      </c>
      <c r="C90" s="262"/>
      <c r="D90" s="262"/>
      <c r="E90" s="262"/>
      <c r="F90" s="263"/>
      <c r="G90" s="17">
        <f>SUM(G87:G89)</f>
        <v>2353.9975311755811</v>
      </c>
    </row>
    <row r="91" spans="1:7" x14ac:dyDescent="0.25">
      <c r="A91" s="264"/>
      <c r="B91" s="265"/>
      <c r="C91" s="265"/>
      <c r="D91" s="265"/>
      <c r="E91" s="265"/>
      <c r="F91" s="265"/>
      <c r="G91" s="266"/>
    </row>
    <row r="92" spans="1:7" x14ac:dyDescent="0.25">
      <c r="A92" s="41"/>
      <c r="B92" s="248" t="s">
        <v>88</v>
      </c>
      <c r="C92" s="249"/>
      <c r="D92" s="249"/>
      <c r="E92" s="267"/>
      <c r="F92" s="25"/>
      <c r="G92" s="25"/>
    </row>
    <row r="93" spans="1:7" ht="24" x14ac:dyDescent="0.25">
      <c r="A93" s="7">
        <v>3</v>
      </c>
      <c r="B93" s="234" t="s">
        <v>89</v>
      </c>
      <c r="C93" s="242"/>
      <c r="D93" s="242"/>
      <c r="E93" s="235"/>
      <c r="F93" s="31" t="s">
        <v>69</v>
      </c>
      <c r="G93" s="7" t="s">
        <v>8</v>
      </c>
    </row>
    <row r="94" spans="1:7" ht="37.5" customHeight="1" x14ac:dyDescent="0.25">
      <c r="A94" s="4" t="s">
        <v>31</v>
      </c>
      <c r="B94" s="231" t="s">
        <v>312</v>
      </c>
      <c r="C94" s="232"/>
      <c r="D94" s="232"/>
      <c r="E94" s="233"/>
      <c r="F94" s="42">
        <v>4.1700000000000001E-3</v>
      </c>
      <c r="G94" s="21">
        <f>F94*(G45+G53)</f>
        <v>8.1838391962199992</v>
      </c>
    </row>
    <row r="95" spans="1:7" ht="21" customHeight="1" x14ac:dyDescent="0.25">
      <c r="A95" s="4" t="s">
        <v>33</v>
      </c>
      <c r="B95" s="231" t="s">
        <v>313</v>
      </c>
      <c r="C95" s="232"/>
      <c r="D95" s="232"/>
      <c r="E95" s="233"/>
      <c r="F95" s="42">
        <f>F67*F94</f>
        <v>3.3360000000000003E-4</v>
      </c>
      <c r="G95" s="21">
        <f>F95*(G45+G53)</f>
        <v>0.65470713569760008</v>
      </c>
    </row>
    <row r="96" spans="1:7" ht="49.5" customHeight="1" x14ac:dyDescent="0.25">
      <c r="A96" s="7" t="s">
        <v>36</v>
      </c>
      <c r="B96" s="231" t="s">
        <v>314</v>
      </c>
      <c r="C96" s="232"/>
      <c r="D96" s="232"/>
      <c r="E96" s="233"/>
      <c r="F96" s="42">
        <f xml:space="preserve"> (40%)*F94</f>
        <v>1.6680000000000002E-3</v>
      </c>
      <c r="G96" s="21">
        <f>F96*(G45+G53)</f>
        <v>3.2735356784880003</v>
      </c>
    </row>
    <row r="97" spans="1:7" ht="48" customHeight="1" x14ac:dyDescent="0.25">
      <c r="A97" s="7" t="s">
        <v>38</v>
      </c>
      <c r="B97" s="231" t="s">
        <v>315</v>
      </c>
      <c r="C97" s="232"/>
      <c r="D97" s="232"/>
      <c r="E97" s="233"/>
      <c r="F97" s="42">
        <f>(7/30)/12</f>
        <v>1.9444444444444445E-2</v>
      </c>
      <c r="G97" s="21">
        <f>F97*(G45+G53)</f>
        <v>38.160721005555551</v>
      </c>
    </row>
    <row r="98" spans="1:7" ht="39" customHeight="1" x14ac:dyDescent="0.25">
      <c r="A98" s="8" t="s">
        <v>55</v>
      </c>
      <c r="B98" s="231" t="s">
        <v>316</v>
      </c>
      <c r="C98" s="232"/>
      <c r="D98" s="232"/>
      <c r="E98" s="233"/>
      <c r="F98" s="42">
        <f>F68*F97</f>
        <v>7.1555555555555565E-3</v>
      </c>
      <c r="G98" s="21">
        <f>F98*(G45+G53)</f>
        <v>14.043145330044446</v>
      </c>
    </row>
    <row r="99" spans="1:7" ht="24" customHeight="1" x14ac:dyDescent="0.25">
      <c r="A99" s="7" t="s">
        <v>57</v>
      </c>
      <c r="B99" s="231" t="s">
        <v>317</v>
      </c>
      <c r="C99" s="232"/>
      <c r="D99" s="232"/>
      <c r="E99" s="233"/>
      <c r="F99" s="26">
        <f>(1+(1/12)+(1/3/12))*0.08*0.4</f>
        <v>3.5555555555555556E-2</v>
      </c>
      <c r="G99" s="19">
        <f>F99*(G45+G53)</f>
        <v>69.779604124444447</v>
      </c>
    </row>
    <row r="100" spans="1:7" x14ac:dyDescent="0.25">
      <c r="A100" s="43"/>
      <c r="B100" s="271" t="s">
        <v>21</v>
      </c>
      <c r="C100" s="272"/>
      <c r="D100" s="272"/>
      <c r="E100" s="273"/>
      <c r="F100" s="44">
        <f>SUM(F94:F99)</f>
        <v>6.8327155555555547E-2</v>
      </c>
      <c r="G100" s="17">
        <f>SUM(G94:G99)</f>
        <v>134.09555247045006</v>
      </c>
    </row>
    <row r="101" spans="1:7" x14ac:dyDescent="0.25">
      <c r="A101" s="45"/>
      <c r="B101" s="46"/>
      <c r="C101" s="46"/>
      <c r="D101" s="46"/>
      <c r="E101" s="46"/>
      <c r="F101" s="46"/>
      <c r="G101" s="47"/>
    </row>
    <row r="102" spans="1:7" x14ac:dyDescent="0.25">
      <c r="A102" s="24"/>
      <c r="B102" s="205" t="s">
        <v>90</v>
      </c>
      <c r="C102" s="206"/>
      <c r="D102" s="206"/>
      <c r="E102" s="207"/>
      <c r="F102" s="25"/>
      <c r="G102" s="25"/>
    </row>
    <row r="103" spans="1:7" ht="37.5" customHeight="1" x14ac:dyDescent="0.25">
      <c r="A103" s="274" t="s">
        <v>137</v>
      </c>
      <c r="B103" s="215"/>
      <c r="C103" s="215"/>
      <c r="D103" s="215"/>
      <c r="E103" s="215"/>
      <c r="F103" s="215"/>
      <c r="G103" s="216"/>
    </row>
    <row r="104" spans="1:7" x14ac:dyDescent="0.25">
      <c r="A104" s="193"/>
      <c r="B104" s="240"/>
      <c r="C104" s="240"/>
      <c r="D104" s="240"/>
      <c r="E104" s="240"/>
      <c r="F104" s="240"/>
      <c r="G104" s="194"/>
    </row>
    <row r="105" spans="1:7" x14ac:dyDescent="0.25">
      <c r="A105" s="268" t="s">
        <v>91</v>
      </c>
      <c r="B105" s="269"/>
      <c r="C105" s="269"/>
      <c r="D105" s="269"/>
      <c r="E105" s="269"/>
      <c r="F105" s="269"/>
      <c r="G105" s="270"/>
    </row>
    <row r="106" spans="1:7" ht="24" x14ac:dyDescent="0.25">
      <c r="A106" s="35" t="s">
        <v>92</v>
      </c>
      <c r="B106" s="234" t="s">
        <v>93</v>
      </c>
      <c r="C106" s="242"/>
      <c r="D106" s="242"/>
      <c r="E106" s="242"/>
      <c r="F106" s="31" t="s">
        <v>69</v>
      </c>
      <c r="G106" s="7" t="s">
        <v>8</v>
      </c>
    </row>
    <row r="107" spans="1:7" x14ac:dyDescent="0.25">
      <c r="A107" s="7" t="s">
        <v>31</v>
      </c>
      <c r="B107" s="231" t="s">
        <v>94</v>
      </c>
      <c r="C107" s="232"/>
      <c r="D107" s="232"/>
      <c r="E107" s="232"/>
      <c r="F107" s="26">
        <f>(8.33%+(8.33%*1/3))/12</f>
        <v>9.2555555555555551E-3</v>
      </c>
      <c r="G107" s="21">
        <f>F107*(G45+G53)</f>
        <v>18.164503198644443</v>
      </c>
    </row>
    <row r="108" spans="1:7" x14ac:dyDescent="0.25">
      <c r="A108" s="7" t="s">
        <v>33</v>
      </c>
      <c r="B108" s="231" t="s">
        <v>318</v>
      </c>
      <c r="C108" s="232"/>
      <c r="D108" s="232"/>
      <c r="E108" s="232"/>
      <c r="F108" s="26">
        <f>(1/12)/30</f>
        <v>2.7777777777777775E-3</v>
      </c>
      <c r="G108" s="21">
        <f>F108*(G45+G53)</f>
        <v>5.4515315722222217</v>
      </c>
    </row>
    <row r="109" spans="1:7" x14ac:dyDescent="0.25">
      <c r="A109" s="7" t="s">
        <v>36</v>
      </c>
      <c r="B109" s="231" t="s">
        <v>319</v>
      </c>
      <c r="C109" s="232"/>
      <c r="D109" s="232"/>
      <c r="E109" s="232"/>
      <c r="F109" s="48">
        <f>1.5%/12</f>
        <v>1.25E-3</v>
      </c>
      <c r="G109" s="21">
        <f>F109*(G45+G53)</f>
        <v>2.4531892074999999</v>
      </c>
    </row>
    <row r="110" spans="1:7" ht="33" customHeight="1" x14ac:dyDescent="0.25">
      <c r="A110" s="7" t="s">
        <v>38</v>
      </c>
      <c r="B110" s="231" t="s">
        <v>320</v>
      </c>
      <c r="C110" s="232"/>
      <c r="D110" s="232"/>
      <c r="E110" s="232"/>
      <c r="F110" s="42">
        <f>8%/12/2</f>
        <v>3.3333333333333335E-3</v>
      </c>
      <c r="G110" s="21">
        <f>F110*(G45+G53)</f>
        <v>6.5418378866666664</v>
      </c>
    </row>
    <row r="111" spans="1:7" ht="28.5" customHeight="1" x14ac:dyDescent="0.25">
      <c r="A111" s="7" t="s">
        <v>55</v>
      </c>
      <c r="B111" s="231" t="s">
        <v>138</v>
      </c>
      <c r="C111" s="232"/>
      <c r="D111" s="232"/>
      <c r="E111" s="232"/>
      <c r="F111" s="49">
        <f>1.5%/12</f>
        <v>1.25E-3</v>
      </c>
      <c r="G111" s="21">
        <f>F111*(G45+G53)</f>
        <v>2.4531892074999999</v>
      </c>
    </row>
    <row r="112" spans="1:7" x14ac:dyDescent="0.25">
      <c r="A112" s="7" t="s">
        <v>57</v>
      </c>
      <c r="B112" s="231" t="s">
        <v>95</v>
      </c>
      <c r="C112" s="232"/>
      <c r="D112" s="232"/>
      <c r="E112" s="232"/>
      <c r="F112" s="26">
        <f>(5/12)/30</f>
        <v>1.388888888888889E-2</v>
      </c>
      <c r="G112" s="21">
        <f>F112*(G45+G53)</f>
        <v>27.257657861111113</v>
      </c>
    </row>
    <row r="113" spans="1:7" x14ac:dyDescent="0.25">
      <c r="A113" s="43"/>
      <c r="B113" s="238" t="s">
        <v>21</v>
      </c>
      <c r="C113" s="239"/>
      <c r="D113" s="239"/>
      <c r="E113" s="244"/>
      <c r="F113" s="27">
        <f>SUM(F107:F112)</f>
        <v>3.1755555555555558E-2</v>
      </c>
      <c r="G113" s="17">
        <f>SUM(G107:G112)</f>
        <v>62.321908933644451</v>
      </c>
    </row>
    <row r="114" spans="1:7" ht="44.25" customHeight="1" x14ac:dyDescent="0.25">
      <c r="A114" s="214" t="s">
        <v>139</v>
      </c>
      <c r="B114" s="215"/>
      <c r="C114" s="215"/>
      <c r="D114" s="215"/>
      <c r="E114" s="215"/>
      <c r="F114" s="215"/>
      <c r="G114" s="216"/>
    </row>
    <row r="115" spans="1:7" x14ac:dyDescent="0.25">
      <c r="A115" s="234"/>
      <c r="B115" s="242"/>
      <c r="C115" s="242"/>
      <c r="D115" s="242"/>
      <c r="E115" s="242"/>
      <c r="F115" s="242"/>
      <c r="G115" s="235"/>
    </row>
    <row r="116" spans="1:7" x14ac:dyDescent="0.25">
      <c r="A116" s="243" t="s">
        <v>96</v>
      </c>
      <c r="B116" s="250"/>
      <c r="C116" s="250"/>
      <c r="D116" s="250"/>
      <c r="E116" s="250"/>
      <c r="F116" s="250"/>
      <c r="G116" s="251"/>
    </row>
    <row r="117" spans="1:7" ht="24" x14ac:dyDescent="0.25">
      <c r="A117" s="7" t="s">
        <v>97</v>
      </c>
      <c r="B117" s="234" t="s">
        <v>98</v>
      </c>
      <c r="C117" s="242"/>
      <c r="D117" s="242"/>
      <c r="E117" s="235"/>
      <c r="F117" s="31" t="s">
        <v>69</v>
      </c>
      <c r="G117" s="7" t="s">
        <v>8</v>
      </c>
    </row>
    <row r="118" spans="1:7" x14ac:dyDescent="0.25">
      <c r="A118" s="7" t="s">
        <v>31</v>
      </c>
      <c r="B118" s="231" t="s">
        <v>99</v>
      </c>
      <c r="C118" s="232"/>
      <c r="D118" s="232"/>
      <c r="E118" s="233"/>
      <c r="F118" s="50"/>
      <c r="G118" s="21"/>
    </row>
    <row r="119" spans="1:7" x14ac:dyDescent="0.25">
      <c r="A119" s="24"/>
      <c r="B119" s="238" t="s">
        <v>21</v>
      </c>
      <c r="C119" s="239"/>
      <c r="D119" s="239"/>
      <c r="E119" s="244"/>
      <c r="F119" s="51"/>
      <c r="G119" s="52"/>
    </row>
    <row r="120" spans="1:7" ht="24.75" customHeight="1" x14ac:dyDescent="0.25">
      <c r="A120" s="214" t="s">
        <v>140</v>
      </c>
      <c r="B120" s="215"/>
      <c r="C120" s="215"/>
      <c r="D120" s="215"/>
      <c r="E120" s="215"/>
      <c r="F120" s="215"/>
      <c r="G120" s="216"/>
    </row>
    <row r="121" spans="1:7" x14ac:dyDescent="0.25">
      <c r="A121" s="193"/>
      <c r="B121" s="240"/>
      <c r="C121" s="240"/>
      <c r="D121" s="240"/>
      <c r="E121" s="240"/>
      <c r="F121" s="240"/>
      <c r="G121" s="194"/>
    </row>
    <row r="122" spans="1:7" x14ac:dyDescent="0.25">
      <c r="A122" s="24"/>
      <c r="B122" s="205" t="s">
        <v>100</v>
      </c>
      <c r="C122" s="206"/>
      <c r="D122" s="206"/>
      <c r="E122" s="206"/>
      <c r="F122" s="206"/>
      <c r="G122" s="25"/>
    </row>
    <row r="123" spans="1:7" ht="24" x14ac:dyDescent="0.25">
      <c r="A123" s="7">
        <v>4</v>
      </c>
      <c r="B123" s="255" t="s">
        <v>101</v>
      </c>
      <c r="C123" s="255"/>
      <c r="D123" s="255"/>
      <c r="E123" s="255"/>
      <c r="F123" s="31" t="s">
        <v>69</v>
      </c>
      <c r="G123" s="7" t="s">
        <v>8</v>
      </c>
    </row>
    <row r="124" spans="1:7" x14ac:dyDescent="0.25">
      <c r="A124" s="7" t="s">
        <v>92</v>
      </c>
      <c r="B124" s="236" t="s">
        <v>102</v>
      </c>
      <c r="C124" s="236"/>
      <c r="D124" s="236"/>
      <c r="E124" s="236"/>
      <c r="F124" s="26">
        <f>F113</f>
        <v>3.1755555555555558E-2</v>
      </c>
      <c r="G124" s="33">
        <f>G113</f>
        <v>62.321908933644451</v>
      </c>
    </row>
    <row r="125" spans="1:7" x14ac:dyDescent="0.25">
      <c r="A125" s="7" t="s">
        <v>97</v>
      </c>
      <c r="B125" s="236" t="s">
        <v>98</v>
      </c>
      <c r="C125" s="236"/>
      <c r="D125" s="236"/>
      <c r="E125" s="236"/>
      <c r="F125" s="53"/>
      <c r="G125" s="54"/>
    </row>
    <row r="126" spans="1:7" x14ac:dyDescent="0.25">
      <c r="A126" s="55"/>
      <c r="B126" s="238" t="s">
        <v>21</v>
      </c>
      <c r="C126" s="239"/>
      <c r="D126" s="239"/>
      <c r="E126" s="244"/>
      <c r="F126" s="27"/>
      <c r="G126" s="17">
        <f>SUM(G124:G125)</f>
        <v>62.321908933644451</v>
      </c>
    </row>
    <row r="127" spans="1:7" x14ac:dyDescent="0.25">
      <c r="A127" s="35"/>
      <c r="B127" s="56"/>
      <c r="C127" s="56"/>
      <c r="D127" s="56"/>
      <c r="E127" s="56"/>
      <c r="F127" s="37"/>
      <c r="G127" s="57"/>
    </row>
    <row r="128" spans="1:7" x14ac:dyDescent="0.25">
      <c r="A128" s="24"/>
      <c r="B128" s="248" t="s">
        <v>103</v>
      </c>
      <c r="C128" s="249"/>
      <c r="D128" s="249"/>
      <c r="E128" s="249"/>
      <c r="F128" s="249"/>
      <c r="G128" s="25"/>
    </row>
    <row r="129" spans="1:7" x14ac:dyDescent="0.25">
      <c r="A129" s="7">
        <v>5</v>
      </c>
      <c r="B129" s="243" t="s">
        <v>104</v>
      </c>
      <c r="C129" s="250"/>
      <c r="D129" s="250"/>
      <c r="E129" s="250"/>
      <c r="F129" s="251"/>
      <c r="G129" s="7" t="s">
        <v>8</v>
      </c>
    </row>
    <row r="130" spans="1:7" x14ac:dyDescent="0.25">
      <c r="A130" s="7" t="s">
        <v>31</v>
      </c>
      <c r="B130" s="231" t="s">
        <v>321</v>
      </c>
      <c r="C130" s="232"/>
      <c r="D130" s="232"/>
      <c r="E130" s="232"/>
      <c r="F130" s="233"/>
      <c r="G130" s="58">
        <f>'Uniformes Por Categoria'!G62</f>
        <v>51.800000000000004</v>
      </c>
    </row>
    <row r="131" spans="1:7" x14ac:dyDescent="0.25">
      <c r="A131" s="7" t="s">
        <v>33</v>
      </c>
      <c r="B131" s="231" t="s">
        <v>114</v>
      </c>
      <c r="C131" s="232"/>
      <c r="D131" s="232"/>
      <c r="E131" s="232"/>
      <c r="F131" s="233"/>
      <c r="G131" s="58"/>
    </row>
    <row r="132" spans="1:7" x14ac:dyDescent="0.25">
      <c r="A132" s="35" t="s">
        <v>36</v>
      </c>
      <c r="B132" s="231" t="s">
        <v>152</v>
      </c>
      <c r="C132" s="232"/>
      <c r="D132" s="232"/>
      <c r="E132" s="232"/>
      <c r="F132" s="233"/>
      <c r="G132" s="58">
        <f>'Relógio de ponto'!N7</f>
        <v>4.6858072916666664</v>
      </c>
    </row>
    <row r="133" spans="1:7" x14ac:dyDescent="0.25">
      <c r="A133" s="35" t="s">
        <v>38</v>
      </c>
      <c r="B133" s="231" t="s">
        <v>116</v>
      </c>
      <c r="C133" s="232"/>
      <c r="D133" s="232"/>
      <c r="E133" s="232"/>
      <c r="F133" s="233"/>
      <c r="G133" s="59">
        <f>'[1] EPI Pesquisa'!L25</f>
        <v>0</v>
      </c>
    </row>
    <row r="134" spans="1:7" x14ac:dyDescent="0.25">
      <c r="A134" s="24"/>
      <c r="B134" s="238" t="s">
        <v>21</v>
      </c>
      <c r="C134" s="239"/>
      <c r="D134" s="239"/>
      <c r="E134" s="239"/>
      <c r="F134" s="244"/>
      <c r="G134" s="17">
        <f>SUM(G130:G133)</f>
        <v>56.485807291666674</v>
      </c>
    </row>
    <row r="135" spans="1:7" ht="26.25" customHeight="1" x14ac:dyDescent="0.25">
      <c r="A135" s="214" t="s">
        <v>141</v>
      </c>
      <c r="B135" s="215"/>
      <c r="C135" s="215"/>
      <c r="D135" s="215"/>
      <c r="E135" s="215"/>
      <c r="F135" s="215"/>
      <c r="G135" s="216"/>
    </row>
    <row r="136" spans="1:7" x14ac:dyDescent="0.25">
      <c r="A136" s="60"/>
      <c r="B136" s="46"/>
      <c r="C136" s="46"/>
      <c r="D136" s="46"/>
      <c r="E136" s="46"/>
      <c r="F136" s="37"/>
      <c r="G136" s="61"/>
    </row>
    <row r="137" spans="1:7" x14ac:dyDescent="0.25">
      <c r="A137" s="24"/>
      <c r="B137" s="248" t="s">
        <v>105</v>
      </c>
      <c r="C137" s="249"/>
      <c r="D137" s="249"/>
      <c r="E137" s="249"/>
      <c r="F137" s="249"/>
      <c r="G137" s="25"/>
    </row>
    <row r="138" spans="1:7" x14ac:dyDescent="0.25">
      <c r="A138" s="7">
        <v>6</v>
      </c>
      <c r="B138" s="255" t="s">
        <v>106</v>
      </c>
      <c r="C138" s="255"/>
      <c r="D138" s="255"/>
      <c r="E138" s="275" t="s">
        <v>69</v>
      </c>
      <c r="F138" s="275"/>
      <c r="G138" s="62" t="s">
        <v>8</v>
      </c>
    </row>
    <row r="139" spans="1:7" x14ac:dyDescent="0.25">
      <c r="A139" s="7" t="s">
        <v>31</v>
      </c>
      <c r="B139" s="236" t="s">
        <v>107</v>
      </c>
      <c r="C139" s="236"/>
      <c r="D139" s="236"/>
      <c r="E139" s="276">
        <v>0.05</v>
      </c>
      <c r="F139" s="277"/>
      <c r="G139" s="58">
        <f>(G45+G90+G100+G126+G134)*E139</f>
        <v>211.82603999356712</v>
      </c>
    </row>
    <row r="140" spans="1:7" x14ac:dyDescent="0.25">
      <c r="A140" s="7" t="s">
        <v>33</v>
      </c>
      <c r="B140" s="236" t="s">
        <v>322</v>
      </c>
      <c r="C140" s="236"/>
      <c r="D140" s="236"/>
      <c r="E140" s="276">
        <v>0.05</v>
      </c>
      <c r="F140" s="277"/>
      <c r="G140" s="58">
        <f>(G45+G90+G100+G126+G134+G139)*E140</f>
        <v>222.41734199324549</v>
      </c>
    </row>
    <row r="141" spans="1:7" x14ac:dyDescent="0.25">
      <c r="A141" s="7" t="s">
        <v>36</v>
      </c>
      <c r="B141" s="236" t="s">
        <v>108</v>
      </c>
      <c r="C141" s="236"/>
      <c r="D141" s="236"/>
      <c r="E141" s="276">
        <f>SUM(E142:F143)</f>
        <v>8.6499999999999994E-2</v>
      </c>
      <c r="F141" s="277"/>
      <c r="G141" s="93"/>
    </row>
    <row r="142" spans="1:7" x14ac:dyDescent="0.25">
      <c r="A142" s="50"/>
      <c r="B142" s="236" t="s">
        <v>323</v>
      </c>
      <c r="C142" s="236"/>
      <c r="D142" s="236"/>
      <c r="E142" s="276">
        <f>0.65%+3%</f>
        <v>3.6499999999999998E-2</v>
      </c>
      <c r="F142" s="277"/>
      <c r="G142" s="58">
        <f>E142*G157</f>
        <v>186.62595999999999</v>
      </c>
    </row>
    <row r="143" spans="1:7" x14ac:dyDescent="0.25">
      <c r="A143" s="50"/>
      <c r="B143" s="236" t="s">
        <v>324</v>
      </c>
      <c r="C143" s="236"/>
      <c r="D143" s="236"/>
      <c r="E143" s="276">
        <v>0.05</v>
      </c>
      <c r="F143" s="277"/>
      <c r="G143" s="58">
        <f>E143*G157</f>
        <v>255.65200000000002</v>
      </c>
    </row>
    <row r="144" spans="1:7" x14ac:dyDescent="0.25">
      <c r="A144" s="24"/>
      <c r="B144" s="238" t="s">
        <v>21</v>
      </c>
      <c r="C144" s="239"/>
      <c r="D144" s="244"/>
      <c r="E144" s="278">
        <f>E139+E140+E141</f>
        <v>0.1865</v>
      </c>
      <c r="F144" s="244"/>
      <c r="G144" s="94">
        <f>SUM(G139:G143)</f>
        <v>876.52134198681267</v>
      </c>
    </row>
    <row r="145" spans="1:7" ht="17.25" customHeight="1" x14ac:dyDescent="0.25">
      <c r="A145" s="214" t="s">
        <v>142</v>
      </c>
      <c r="B145" s="215"/>
      <c r="C145" s="215"/>
      <c r="D145" s="215"/>
      <c r="E145" s="215"/>
      <c r="F145" s="215"/>
      <c r="G145" s="216"/>
    </row>
    <row r="146" spans="1:7" x14ac:dyDescent="0.25">
      <c r="A146" s="214" t="s">
        <v>143</v>
      </c>
      <c r="B146" s="215"/>
      <c r="C146" s="215"/>
      <c r="D146" s="215"/>
      <c r="E146" s="215"/>
      <c r="F146" s="215"/>
      <c r="G146" s="216"/>
    </row>
    <row r="147" spans="1:7" x14ac:dyDescent="0.25">
      <c r="A147" s="288"/>
      <c r="B147" s="288"/>
      <c r="C147" s="288"/>
      <c r="D147" s="288"/>
      <c r="E147" s="288"/>
      <c r="F147" s="288"/>
      <c r="G147" s="289"/>
    </row>
    <row r="148" spans="1:7" x14ac:dyDescent="0.25">
      <c r="A148" s="55"/>
      <c r="B148" s="206" t="s">
        <v>109</v>
      </c>
      <c r="C148" s="206"/>
      <c r="D148" s="206"/>
      <c r="E148" s="206"/>
      <c r="F148" s="206"/>
      <c r="G148" s="25"/>
    </row>
    <row r="149" spans="1:7" x14ac:dyDescent="0.25">
      <c r="A149" s="63"/>
      <c r="B149" s="234" t="s">
        <v>110</v>
      </c>
      <c r="C149" s="242"/>
      <c r="D149" s="242"/>
      <c r="E149" s="242"/>
      <c r="F149" s="235"/>
      <c r="G149" s="63" t="s">
        <v>111</v>
      </c>
    </row>
    <row r="150" spans="1:7" x14ac:dyDescent="0.25">
      <c r="A150" s="7" t="s">
        <v>31</v>
      </c>
      <c r="B150" s="279" t="s">
        <v>144</v>
      </c>
      <c r="C150" s="280"/>
      <c r="D150" s="280"/>
      <c r="E150" s="280"/>
      <c r="F150" s="281"/>
      <c r="G150" s="64">
        <f>G45</f>
        <v>1629.62</v>
      </c>
    </row>
    <row r="151" spans="1:7" x14ac:dyDescent="0.25">
      <c r="A151" s="7" t="s">
        <v>33</v>
      </c>
      <c r="B151" s="279" t="s">
        <v>145</v>
      </c>
      <c r="C151" s="280"/>
      <c r="D151" s="280"/>
      <c r="E151" s="280"/>
      <c r="F151" s="281"/>
      <c r="G151" s="64">
        <f>G90</f>
        <v>2353.9975311755811</v>
      </c>
    </row>
    <row r="152" spans="1:7" x14ac:dyDescent="0.25">
      <c r="A152" s="7" t="s">
        <v>36</v>
      </c>
      <c r="B152" s="279" t="s">
        <v>146</v>
      </c>
      <c r="C152" s="280"/>
      <c r="D152" s="280"/>
      <c r="E152" s="280"/>
      <c r="F152" s="281"/>
      <c r="G152" s="95">
        <f>G100</f>
        <v>134.09555247045006</v>
      </c>
    </row>
    <row r="153" spans="1:7" x14ac:dyDescent="0.25">
      <c r="A153" s="7" t="s">
        <v>38</v>
      </c>
      <c r="B153" s="279" t="s">
        <v>147</v>
      </c>
      <c r="C153" s="280"/>
      <c r="D153" s="280"/>
      <c r="E153" s="280"/>
      <c r="F153" s="281"/>
      <c r="G153" s="95">
        <f>G126</f>
        <v>62.321908933644451</v>
      </c>
    </row>
    <row r="154" spans="1:7" x14ac:dyDescent="0.25">
      <c r="A154" s="7" t="s">
        <v>55</v>
      </c>
      <c r="B154" s="279" t="s">
        <v>148</v>
      </c>
      <c r="C154" s="280"/>
      <c r="D154" s="280"/>
      <c r="E154" s="280"/>
      <c r="F154" s="281"/>
      <c r="G154" s="95">
        <f>G134</f>
        <v>56.485807291666674</v>
      </c>
    </row>
    <row r="155" spans="1:7" x14ac:dyDescent="0.25">
      <c r="A155" s="65"/>
      <c r="B155" s="285" t="s">
        <v>112</v>
      </c>
      <c r="C155" s="286"/>
      <c r="D155" s="286"/>
      <c r="E155" s="286"/>
      <c r="F155" s="287"/>
      <c r="G155" s="95">
        <f>SUM(G150:G154)</f>
        <v>4236.5207998713422</v>
      </c>
    </row>
    <row r="156" spans="1:7" x14ac:dyDescent="0.25">
      <c r="A156" s="66" t="s">
        <v>57</v>
      </c>
      <c r="B156" s="279" t="s">
        <v>149</v>
      </c>
      <c r="C156" s="280"/>
      <c r="D156" s="280"/>
      <c r="E156" s="280"/>
      <c r="F156" s="281"/>
      <c r="G156" s="95">
        <f>G144</f>
        <v>876.52134198681267</v>
      </c>
    </row>
    <row r="157" spans="1:7" x14ac:dyDescent="0.25">
      <c r="A157" s="67"/>
      <c r="B157" s="282" t="s">
        <v>113</v>
      </c>
      <c r="C157" s="283"/>
      <c r="D157" s="283"/>
      <c r="E157" s="283"/>
      <c r="F157" s="284"/>
      <c r="G157" s="95">
        <f>ROUND((G139+G140+G155)/(1-E141),2)</f>
        <v>5113.04</v>
      </c>
    </row>
    <row r="158" spans="1:7" ht="15" customHeight="1" x14ac:dyDescent="0.25">
      <c r="G158" s="187"/>
    </row>
  </sheetData>
  <mergeCells count="165">
    <mergeCell ref="A2:G2"/>
    <mergeCell ref="A3:G3"/>
    <mergeCell ref="A4:G4"/>
    <mergeCell ref="A5:G5"/>
    <mergeCell ref="A6:G6"/>
    <mergeCell ref="A7:G7"/>
    <mergeCell ref="A15:G15"/>
    <mergeCell ref="A16:G16"/>
    <mergeCell ref="B17:E17"/>
    <mergeCell ref="F17:G17"/>
    <mergeCell ref="B18:E18"/>
    <mergeCell ref="F18:G18"/>
    <mergeCell ref="A8:G8"/>
    <mergeCell ref="A9:G9"/>
    <mergeCell ref="A10:G10"/>
    <mergeCell ref="A12:G12"/>
    <mergeCell ref="A13:G13"/>
    <mergeCell ref="A14:G14"/>
    <mergeCell ref="A24:D24"/>
    <mergeCell ref="F24:G24"/>
    <mergeCell ref="A25:G25"/>
    <mergeCell ref="A26:G26"/>
    <mergeCell ref="A28:G28"/>
    <mergeCell ref="A29:G29"/>
    <mergeCell ref="B19:E19"/>
    <mergeCell ref="F19:G19"/>
    <mergeCell ref="B20:E20"/>
    <mergeCell ref="F20:G20"/>
    <mergeCell ref="A22:G22"/>
    <mergeCell ref="A23:D23"/>
    <mergeCell ref="F23:G23"/>
    <mergeCell ref="B34:E34"/>
    <mergeCell ref="F34:G34"/>
    <mergeCell ref="B35:E35"/>
    <mergeCell ref="F35:G35"/>
    <mergeCell ref="A36:G36"/>
    <mergeCell ref="B37:E37"/>
    <mergeCell ref="A30:G30"/>
    <mergeCell ref="B31:E31"/>
    <mergeCell ref="F31:G31"/>
    <mergeCell ref="B32:E32"/>
    <mergeCell ref="F32:G32"/>
    <mergeCell ref="B33:E33"/>
    <mergeCell ref="F33:G33"/>
    <mergeCell ref="B44:E44"/>
    <mergeCell ref="B45:E45"/>
    <mergeCell ref="A46:G46"/>
    <mergeCell ref="A47:G47"/>
    <mergeCell ref="B48:E48"/>
    <mergeCell ref="A49:G49"/>
    <mergeCell ref="B38:E38"/>
    <mergeCell ref="B39:E39"/>
    <mergeCell ref="B40:E40"/>
    <mergeCell ref="B41:E41"/>
    <mergeCell ref="B42:E42"/>
    <mergeCell ref="B43:E43"/>
    <mergeCell ref="A56:G56"/>
    <mergeCell ref="A58:G58"/>
    <mergeCell ref="B59:E59"/>
    <mergeCell ref="B60:E60"/>
    <mergeCell ref="B61:E61"/>
    <mergeCell ref="B62:E62"/>
    <mergeCell ref="B50:F50"/>
    <mergeCell ref="B51:E51"/>
    <mergeCell ref="B52:E52"/>
    <mergeCell ref="B53:E53"/>
    <mergeCell ref="A54:G54"/>
    <mergeCell ref="A55:G55"/>
    <mergeCell ref="A69:G69"/>
    <mergeCell ref="A70:G70"/>
    <mergeCell ref="A71:G71"/>
    <mergeCell ref="A73:G73"/>
    <mergeCell ref="B74:F74"/>
    <mergeCell ref="B75:F75"/>
    <mergeCell ref="B63:E63"/>
    <mergeCell ref="B64:E64"/>
    <mergeCell ref="B65:E65"/>
    <mergeCell ref="B66:E66"/>
    <mergeCell ref="B67:E67"/>
    <mergeCell ref="B68:E68"/>
    <mergeCell ref="A82:G82"/>
    <mergeCell ref="A83:G83"/>
    <mergeCell ref="B85:F85"/>
    <mergeCell ref="B86:F86"/>
    <mergeCell ref="B87:F87"/>
    <mergeCell ref="B88:F88"/>
    <mergeCell ref="B76:F76"/>
    <mergeCell ref="B77:F77"/>
    <mergeCell ref="B78:F78"/>
    <mergeCell ref="B79:F79"/>
    <mergeCell ref="B80:F80"/>
    <mergeCell ref="B81:F81"/>
    <mergeCell ref="B95:E95"/>
    <mergeCell ref="B96:E96"/>
    <mergeCell ref="B97:E97"/>
    <mergeCell ref="B98:E98"/>
    <mergeCell ref="B99:E99"/>
    <mergeCell ref="B100:E100"/>
    <mergeCell ref="B89:F89"/>
    <mergeCell ref="B90:F90"/>
    <mergeCell ref="A91:G91"/>
    <mergeCell ref="B92:E92"/>
    <mergeCell ref="B93:E93"/>
    <mergeCell ref="B94:E94"/>
    <mergeCell ref="B108:E108"/>
    <mergeCell ref="B109:E109"/>
    <mergeCell ref="B110:E110"/>
    <mergeCell ref="B111:E111"/>
    <mergeCell ref="B112:E112"/>
    <mergeCell ref="B113:E113"/>
    <mergeCell ref="B102:E102"/>
    <mergeCell ref="A103:G103"/>
    <mergeCell ref="A104:G104"/>
    <mergeCell ref="A105:G105"/>
    <mergeCell ref="B106:E106"/>
    <mergeCell ref="B107:E107"/>
    <mergeCell ref="A120:G120"/>
    <mergeCell ref="A121:G121"/>
    <mergeCell ref="B122:F122"/>
    <mergeCell ref="B123:E123"/>
    <mergeCell ref="B124:E124"/>
    <mergeCell ref="B125:E125"/>
    <mergeCell ref="A114:G114"/>
    <mergeCell ref="A115:G115"/>
    <mergeCell ref="A116:G116"/>
    <mergeCell ref="B117:E117"/>
    <mergeCell ref="B118:E118"/>
    <mergeCell ref="B119:E119"/>
    <mergeCell ref="B133:F133"/>
    <mergeCell ref="B134:F134"/>
    <mergeCell ref="A135:G135"/>
    <mergeCell ref="B137:F137"/>
    <mergeCell ref="B138:D138"/>
    <mergeCell ref="E138:F138"/>
    <mergeCell ref="B126:E126"/>
    <mergeCell ref="B128:F128"/>
    <mergeCell ref="B129:F129"/>
    <mergeCell ref="B130:F130"/>
    <mergeCell ref="B131:F131"/>
    <mergeCell ref="B132:F132"/>
    <mergeCell ref="B142:D142"/>
    <mergeCell ref="E142:F142"/>
    <mergeCell ref="B143:D143"/>
    <mergeCell ref="E143:F143"/>
    <mergeCell ref="B144:D144"/>
    <mergeCell ref="E144:F144"/>
    <mergeCell ref="B139:D139"/>
    <mergeCell ref="E139:F139"/>
    <mergeCell ref="B140:D140"/>
    <mergeCell ref="E140:F140"/>
    <mergeCell ref="B141:D141"/>
    <mergeCell ref="E141:F141"/>
    <mergeCell ref="B157:F157"/>
    <mergeCell ref="B151:F151"/>
    <mergeCell ref="B152:F152"/>
    <mergeCell ref="B153:F153"/>
    <mergeCell ref="B154:F154"/>
    <mergeCell ref="B155:F155"/>
    <mergeCell ref="B156:F156"/>
    <mergeCell ref="A145:G145"/>
    <mergeCell ref="A146:G146"/>
    <mergeCell ref="A147:G147"/>
    <mergeCell ref="B148:F148"/>
    <mergeCell ref="B149:F149"/>
    <mergeCell ref="B150:F150"/>
  </mergeCells>
  <pageMargins left="0.511811024" right="0.511811024" top="0.78740157499999996" bottom="0.78740157499999996" header="0.31496062000000002" footer="0.31496062000000002"/>
  <pageSetup paperSize="9" scale="82" orientation="portrait" horizontalDpi="300" verticalDpi="300" r:id="rId1"/>
  <rowBreaks count="3" manualBreakCount="3">
    <brk id="45" max="16383" man="1"/>
    <brk id="91" max="16383" man="1"/>
    <brk id="134"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2"/>
  <sheetViews>
    <sheetView topLeftCell="A7" zoomScale="140" zoomScaleNormal="140" workbookViewId="0">
      <selection activeCell="G9" sqref="G9"/>
    </sheetView>
  </sheetViews>
  <sheetFormatPr defaultRowHeight="15" x14ac:dyDescent="0.25"/>
  <cols>
    <col min="1" max="1" width="4.85546875" customWidth="1"/>
    <col min="2" max="2" width="31.7109375" customWidth="1"/>
    <col min="3" max="3" width="6" customWidth="1"/>
    <col min="4" max="4" width="7.140625" customWidth="1"/>
    <col min="5" max="5" width="9.5703125" customWidth="1"/>
    <col min="6" max="6" width="11" customWidth="1"/>
  </cols>
  <sheetData>
    <row r="1" spans="1:8" x14ac:dyDescent="0.25">
      <c r="A1" s="319" t="s">
        <v>0</v>
      </c>
      <c r="B1" s="319"/>
      <c r="C1" s="319"/>
      <c r="D1" s="319"/>
      <c r="E1" s="319"/>
      <c r="F1" s="319"/>
      <c r="G1" s="319"/>
      <c r="H1" s="319"/>
    </row>
    <row r="2" spans="1:8" x14ac:dyDescent="0.25">
      <c r="A2" s="319" t="s">
        <v>1</v>
      </c>
      <c r="B2" s="319"/>
      <c r="C2" s="319"/>
      <c r="D2" s="319"/>
      <c r="E2" s="319"/>
      <c r="F2" s="319"/>
      <c r="G2" s="319"/>
      <c r="H2" s="319"/>
    </row>
    <row r="3" spans="1:8" x14ac:dyDescent="0.25">
      <c r="A3" s="319" t="s">
        <v>2</v>
      </c>
      <c r="B3" s="319"/>
      <c r="C3" s="319"/>
      <c r="D3" s="319"/>
      <c r="E3" s="319"/>
      <c r="F3" s="319"/>
      <c r="G3" s="319"/>
      <c r="H3" s="319"/>
    </row>
    <row r="4" spans="1:8" x14ac:dyDescent="0.25">
      <c r="A4" s="319" t="s">
        <v>3</v>
      </c>
      <c r="B4" s="319"/>
      <c r="C4" s="319"/>
      <c r="D4" s="319"/>
      <c r="E4" s="319"/>
      <c r="F4" s="319"/>
      <c r="G4" s="319"/>
      <c r="H4" s="319"/>
    </row>
    <row r="5" spans="1:8" x14ac:dyDescent="0.25">
      <c r="A5" s="319" t="s">
        <v>4</v>
      </c>
      <c r="B5" s="319"/>
      <c r="C5" s="319"/>
      <c r="D5" s="319"/>
      <c r="E5" s="319"/>
      <c r="F5" s="319"/>
      <c r="G5" s="319"/>
      <c r="H5" s="319"/>
    </row>
    <row r="6" spans="1:8" ht="48.75" customHeight="1" x14ac:dyDescent="0.25">
      <c r="A6" s="322" t="s">
        <v>339</v>
      </c>
      <c r="B6" s="322"/>
      <c r="C6" s="322"/>
      <c r="D6" s="322"/>
      <c r="E6" s="322"/>
      <c r="F6" s="322"/>
      <c r="G6" s="327" t="s">
        <v>399</v>
      </c>
      <c r="H6" s="328"/>
    </row>
    <row r="7" spans="1:8" ht="36.75" customHeight="1" x14ac:dyDescent="0.25">
      <c r="A7" s="321" t="s">
        <v>5</v>
      </c>
      <c r="B7" s="321" t="s">
        <v>200</v>
      </c>
      <c r="C7" s="321" t="s">
        <v>201</v>
      </c>
      <c r="D7" s="321" t="s">
        <v>7</v>
      </c>
      <c r="E7" s="323" t="s">
        <v>425</v>
      </c>
      <c r="F7" s="324"/>
      <c r="G7" s="329"/>
      <c r="H7" s="330"/>
    </row>
    <row r="8" spans="1:8" ht="23.25" customHeight="1" x14ac:dyDescent="0.25">
      <c r="A8" s="321"/>
      <c r="B8" s="321"/>
      <c r="C8" s="321"/>
      <c r="D8" s="321"/>
      <c r="E8" s="325"/>
      <c r="F8" s="326"/>
      <c r="G8" s="331"/>
      <c r="H8" s="332"/>
    </row>
    <row r="9" spans="1:8" x14ac:dyDescent="0.25">
      <c r="A9" s="108">
        <v>1</v>
      </c>
      <c r="B9" s="125" t="s">
        <v>202</v>
      </c>
      <c r="C9" s="108" t="s">
        <v>22</v>
      </c>
      <c r="D9" s="126">
        <v>84</v>
      </c>
      <c r="E9" s="160">
        <v>7.31</v>
      </c>
      <c r="F9" s="74">
        <f t="shared" ref="F9:F31" si="0">ROUND(D9*E9,2)</f>
        <v>614.04</v>
      </c>
      <c r="G9" s="127">
        <f>AVERAGE('Uniformes Por Categoria'!N12)</f>
        <v>38</v>
      </c>
      <c r="H9" s="74">
        <f t="shared" ref="H9:H31" si="1">D9*G9</f>
        <v>3192</v>
      </c>
    </row>
    <row r="10" spans="1:8" x14ac:dyDescent="0.25">
      <c r="A10" s="108">
        <v>2</v>
      </c>
      <c r="B10" s="128" t="s">
        <v>18</v>
      </c>
      <c r="C10" s="108" t="s">
        <v>22</v>
      </c>
      <c r="D10" s="126">
        <v>96</v>
      </c>
      <c r="E10" s="160">
        <v>8.52</v>
      </c>
      <c r="F10" s="74">
        <f t="shared" si="0"/>
        <v>817.92</v>
      </c>
      <c r="G10" s="127">
        <f>'Uniformes Por Categoria'!J23</f>
        <v>37</v>
      </c>
      <c r="H10" s="74">
        <f t="shared" si="1"/>
        <v>3552</v>
      </c>
    </row>
    <row r="11" spans="1:8" x14ac:dyDescent="0.25">
      <c r="A11" s="108">
        <v>4</v>
      </c>
      <c r="B11" s="129" t="s">
        <v>203</v>
      </c>
      <c r="C11" s="108" t="s">
        <v>22</v>
      </c>
      <c r="D11" s="126">
        <v>48</v>
      </c>
      <c r="E11" s="160">
        <v>15.59</v>
      </c>
      <c r="F11" s="74">
        <f t="shared" si="0"/>
        <v>748.32</v>
      </c>
      <c r="G11" s="127">
        <f>'Uniformes Por Categoria'!N13</f>
        <v>73.055000000000007</v>
      </c>
      <c r="H11" s="74">
        <f t="shared" si="1"/>
        <v>3506.6400000000003</v>
      </c>
    </row>
    <row r="12" spans="1:8" x14ac:dyDescent="0.25">
      <c r="A12" s="108">
        <v>5</v>
      </c>
      <c r="B12" s="128" t="s">
        <v>10</v>
      </c>
      <c r="C12" s="108" t="s">
        <v>22</v>
      </c>
      <c r="D12" s="126">
        <v>12</v>
      </c>
      <c r="E12" s="160">
        <v>15.59</v>
      </c>
      <c r="F12" s="74">
        <f t="shared" si="0"/>
        <v>187.08</v>
      </c>
      <c r="G12" s="127">
        <f>AVERAGE('Uniformes Por Categoria'!N24)</f>
        <v>44</v>
      </c>
      <c r="H12" s="74">
        <f t="shared" si="1"/>
        <v>528</v>
      </c>
    </row>
    <row r="13" spans="1:8" x14ac:dyDescent="0.25">
      <c r="A13" s="108">
        <v>6</v>
      </c>
      <c r="B13" s="125" t="s">
        <v>204</v>
      </c>
      <c r="C13" s="108" t="s">
        <v>22</v>
      </c>
      <c r="D13" s="126">
        <v>104</v>
      </c>
      <c r="E13" s="160">
        <v>7.28</v>
      </c>
      <c r="F13" s="74">
        <f t="shared" si="0"/>
        <v>757.12</v>
      </c>
      <c r="G13" s="127">
        <f>AVERAGE('Uniformes Por Categoria'!N14)</f>
        <v>33.75</v>
      </c>
      <c r="H13" s="74">
        <f t="shared" si="1"/>
        <v>3510</v>
      </c>
    </row>
    <row r="14" spans="1:8" x14ac:dyDescent="0.25">
      <c r="A14" s="108">
        <v>7</v>
      </c>
      <c r="B14" s="130" t="s">
        <v>205</v>
      </c>
      <c r="C14" s="108" t="s">
        <v>22</v>
      </c>
      <c r="D14" s="126">
        <v>24</v>
      </c>
      <c r="E14" s="160">
        <v>7.28</v>
      </c>
      <c r="F14" s="74">
        <f t="shared" si="0"/>
        <v>174.72</v>
      </c>
      <c r="G14" s="127">
        <f>AVERAGE('Uniformes Por Categoria'!H35,'Uniformes Por Categoria'!J35,'Uniformes Por Categoria'!L35)</f>
        <v>35.4</v>
      </c>
      <c r="H14" s="74">
        <f t="shared" si="1"/>
        <v>849.59999999999991</v>
      </c>
    </row>
    <row r="15" spans="1:8" x14ac:dyDescent="0.25">
      <c r="A15" s="108">
        <v>8</v>
      </c>
      <c r="B15" s="131" t="s">
        <v>206</v>
      </c>
      <c r="C15" s="108" t="s">
        <v>22</v>
      </c>
      <c r="D15" s="126">
        <v>104</v>
      </c>
      <c r="E15" s="160">
        <v>7.28</v>
      </c>
      <c r="F15" s="74">
        <f t="shared" si="0"/>
        <v>757.12</v>
      </c>
      <c r="G15" s="127">
        <f>AVERAGE('Uniformes Por Categoria'!N25)</f>
        <v>27.5</v>
      </c>
      <c r="H15" s="74">
        <f t="shared" si="1"/>
        <v>2860</v>
      </c>
    </row>
    <row r="16" spans="1:8" x14ac:dyDescent="0.25">
      <c r="A16" s="108">
        <v>9</v>
      </c>
      <c r="B16" s="132" t="s">
        <v>207</v>
      </c>
      <c r="C16" s="108" t="s">
        <v>22</v>
      </c>
      <c r="D16" s="126">
        <v>8</v>
      </c>
      <c r="E16" s="160">
        <v>8.31</v>
      </c>
      <c r="F16" s="74">
        <f t="shared" si="0"/>
        <v>66.48</v>
      </c>
      <c r="G16" s="127">
        <v>27.5</v>
      </c>
      <c r="H16" s="74">
        <f t="shared" si="1"/>
        <v>220</v>
      </c>
    </row>
    <row r="17" spans="1:8" x14ac:dyDescent="0.25">
      <c r="A17" s="108">
        <v>10</v>
      </c>
      <c r="B17" s="129" t="s">
        <v>12</v>
      </c>
      <c r="C17" s="107" t="s">
        <v>11</v>
      </c>
      <c r="D17" s="133">
        <v>112</v>
      </c>
      <c r="E17" s="161">
        <v>2.08</v>
      </c>
      <c r="F17" s="74">
        <f t="shared" si="0"/>
        <v>232.96</v>
      </c>
      <c r="G17" s="134">
        <f>AVERAGE('Uniformes Por Categoria'!N16)</f>
        <v>6.5</v>
      </c>
      <c r="H17" s="74">
        <f t="shared" si="1"/>
        <v>728</v>
      </c>
    </row>
    <row r="18" spans="1:8" x14ac:dyDescent="0.25">
      <c r="A18" s="108">
        <v>11</v>
      </c>
      <c r="B18" s="130" t="s">
        <v>208</v>
      </c>
      <c r="C18" s="107" t="s">
        <v>11</v>
      </c>
      <c r="D18" s="133">
        <v>128</v>
      </c>
      <c r="E18" s="161">
        <v>2.08</v>
      </c>
      <c r="F18" s="74">
        <f t="shared" si="0"/>
        <v>266.24</v>
      </c>
      <c r="G18" s="134">
        <f>AVERAGE('Uniformes Por Categoria'!N27)</f>
        <v>5</v>
      </c>
      <c r="H18" s="74">
        <f t="shared" si="1"/>
        <v>640</v>
      </c>
    </row>
    <row r="19" spans="1:8" x14ac:dyDescent="0.25">
      <c r="A19" s="108">
        <v>12</v>
      </c>
      <c r="B19" s="135" t="s">
        <v>20</v>
      </c>
      <c r="C19" s="108" t="s">
        <v>22</v>
      </c>
      <c r="D19" s="126">
        <v>30</v>
      </c>
      <c r="E19" s="160">
        <v>20.79</v>
      </c>
      <c r="F19" s="74">
        <f t="shared" si="0"/>
        <v>623.70000000000005</v>
      </c>
      <c r="G19" s="127">
        <f>E19</f>
        <v>20.79</v>
      </c>
      <c r="H19" s="74">
        <f t="shared" si="1"/>
        <v>623.69999999999993</v>
      </c>
    </row>
    <row r="20" spans="1:8" x14ac:dyDescent="0.25">
      <c r="A20" s="108">
        <v>13</v>
      </c>
      <c r="B20" s="129" t="s">
        <v>13</v>
      </c>
      <c r="C20" s="108" t="s">
        <v>11</v>
      </c>
      <c r="D20" s="126">
        <v>56</v>
      </c>
      <c r="E20" s="160">
        <v>8.6300000000000008</v>
      </c>
      <c r="F20" s="74">
        <f t="shared" si="0"/>
        <v>483.28</v>
      </c>
      <c r="G20" s="127">
        <f>AVERAGE('Uniformes Por Categoria'!N17)</f>
        <v>40</v>
      </c>
      <c r="H20" s="74">
        <f t="shared" si="1"/>
        <v>2240</v>
      </c>
    </row>
    <row r="21" spans="1:8" x14ac:dyDescent="0.25">
      <c r="A21" s="108">
        <v>14</v>
      </c>
      <c r="B21" s="128" t="s">
        <v>209</v>
      </c>
      <c r="C21" s="108" t="s">
        <v>11</v>
      </c>
      <c r="D21" s="126">
        <v>12</v>
      </c>
      <c r="E21" s="160">
        <v>10.39</v>
      </c>
      <c r="F21" s="74">
        <f t="shared" si="0"/>
        <v>124.68</v>
      </c>
      <c r="G21" s="127">
        <f>AVERAGE('Uniformes Por Categoria'!N28)</f>
        <v>35</v>
      </c>
      <c r="H21" s="74">
        <f t="shared" si="1"/>
        <v>420</v>
      </c>
    </row>
    <row r="22" spans="1:8" x14ac:dyDescent="0.25">
      <c r="A22" s="108">
        <v>15</v>
      </c>
      <c r="B22" s="135" t="s">
        <v>210</v>
      </c>
      <c r="C22" s="108" t="s">
        <v>11</v>
      </c>
      <c r="D22" s="126">
        <v>52</v>
      </c>
      <c r="E22" s="160">
        <v>8.31</v>
      </c>
      <c r="F22" s="74">
        <f t="shared" si="0"/>
        <v>432.12</v>
      </c>
      <c r="G22" s="127">
        <f>AVERAGE('Uniformes Por Categoria'!N28)</f>
        <v>35</v>
      </c>
      <c r="H22" s="74">
        <f t="shared" si="1"/>
        <v>1820</v>
      </c>
    </row>
    <row r="23" spans="1:8" x14ac:dyDescent="0.25">
      <c r="A23" s="108">
        <v>16</v>
      </c>
      <c r="B23" s="132" t="s">
        <v>211</v>
      </c>
      <c r="C23" s="108" t="s">
        <v>11</v>
      </c>
      <c r="D23" s="126">
        <v>4</v>
      </c>
      <c r="E23" s="160">
        <v>11.43</v>
      </c>
      <c r="F23" s="74">
        <f t="shared" si="0"/>
        <v>45.72</v>
      </c>
      <c r="G23" s="127">
        <f>AVERAGE('Uniformes Por Categoria'!N58)</f>
        <v>44.7</v>
      </c>
      <c r="H23" s="74">
        <f t="shared" si="1"/>
        <v>178.8</v>
      </c>
    </row>
    <row r="24" spans="1:8" x14ac:dyDescent="0.25">
      <c r="A24" s="108">
        <v>17</v>
      </c>
      <c r="B24" s="129" t="s">
        <v>212</v>
      </c>
      <c r="C24" s="108" t="s">
        <v>22</v>
      </c>
      <c r="D24" s="126">
        <v>52</v>
      </c>
      <c r="E24" s="160">
        <v>4.16</v>
      </c>
      <c r="F24" s="74">
        <f t="shared" si="0"/>
        <v>216.32</v>
      </c>
      <c r="G24" s="127">
        <f>AVERAGE('Uniformes Por Categoria'!N18)</f>
        <v>11.245000000000001</v>
      </c>
      <c r="H24" s="74">
        <f t="shared" si="1"/>
        <v>584.74</v>
      </c>
    </row>
    <row r="25" spans="1:8" x14ac:dyDescent="0.25">
      <c r="A25" s="108">
        <v>18</v>
      </c>
      <c r="B25" s="125" t="s">
        <v>213</v>
      </c>
      <c r="C25" s="108" t="s">
        <v>22</v>
      </c>
      <c r="D25" s="126">
        <v>48</v>
      </c>
      <c r="E25" s="160">
        <v>2.08</v>
      </c>
      <c r="F25" s="74">
        <f t="shared" si="0"/>
        <v>99.84</v>
      </c>
      <c r="G25" s="127">
        <f>AVERAGE('Uniformes Por Categoria'!N15)</f>
        <v>6.5</v>
      </c>
      <c r="H25" s="74">
        <f t="shared" si="1"/>
        <v>312</v>
      </c>
    </row>
    <row r="26" spans="1:8" x14ac:dyDescent="0.25">
      <c r="A26" s="108">
        <v>19</v>
      </c>
      <c r="B26" s="128" t="s">
        <v>214</v>
      </c>
      <c r="C26" s="108" t="s">
        <v>22</v>
      </c>
      <c r="D26" s="126">
        <v>12</v>
      </c>
      <c r="E26" s="160">
        <v>2.13</v>
      </c>
      <c r="F26" s="74">
        <f t="shared" si="0"/>
        <v>25.56</v>
      </c>
      <c r="G26" s="127">
        <f>AVERAGE('Uniformes Por Categoria'!N26)</f>
        <v>5</v>
      </c>
      <c r="H26" s="74">
        <f t="shared" si="1"/>
        <v>60</v>
      </c>
    </row>
    <row r="27" spans="1:8" x14ac:dyDescent="0.25">
      <c r="A27" s="108">
        <v>20</v>
      </c>
      <c r="B27" s="135" t="s">
        <v>9</v>
      </c>
      <c r="C27" s="108" t="s">
        <v>22</v>
      </c>
      <c r="D27" s="126">
        <v>52</v>
      </c>
      <c r="E27" s="160">
        <v>4.16</v>
      </c>
      <c r="F27" s="74">
        <f t="shared" si="0"/>
        <v>216.32</v>
      </c>
      <c r="G27" s="127">
        <f>AVERAGE('Uniformes Por Categoria'!N36)</f>
        <v>13.506666666666666</v>
      </c>
      <c r="H27" s="74">
        <f t="shared" si="1"/>
        <v>702.34666666666658</v>
      </c>
    </row>
    <row r="28" spans="1:8" x14ac:dyDescent="0.25">
      <c r="A28" s="108">
        <v>21</v>
      </c>
      <c r="B28" s="135" t="s">
        <v>215</v>
      </c>
      <c r="C28" s="108" t="s">
        <v>22</v>
      </c>
      <c r="D28" s="126">
        <v>52</v>
      </c>
      <c r="E28" s="160">
        <v>2.08</v>
      </c>
      <c r="F28" s="74">
        <f t="shared" si="0"/>
        <v>108.16</v>
      </c>
      <c r="G28" s="127">
        <f>AVERAGE('Uniformes Por Categoria'!N39)</f>
        <v>8.5</v>
      </c>
      <c r="H28" s="74">
        <f t="shared" si="1"/>
        <v>442</v>
      </c>
    </row>
    <row r="29" spans="1:8" x14ac:dyDescent="0.25">
      <c r="A29" s="108">
        <v>22</v>
      </c>
      <c r="B29" s="128" t="s">
        <v>216</v>
      </c>
      <c r="C29" s="108" t="s">
        <v>22</v>
      </c>
      <c r="D29" s="126">
        <v>12</v>
      </c>
      <c r="E29" s="160">
        <v>0.52</v>
      </c>
      <c r="F29" s="74">
        <f t="shared" si="0"/>
        <v>6.24</v>
      </c>
      <c r="G29" s="127">
        <f>'Uniformes Total'!E29</f>
        <v>0.52</v>
      </c>
      <c r="H29" s="74">
        <f t="shared" si="1"/>
        <v>6.24</v>
      </c>
    </row>
    <row r="30" spans="1:8" x14ac:dyDescent="0.25">
      <c r="A30" s="108">
        <v>23</v>
      </c>
      <c r="B30" s="125" t="s">
        <v>217</v>
      </c>
      <c r="C30" s="108" t="s">
        <v>22</v>
      </c>
      <c r="D30" s="126">
        <v>240</v>
      </c>
      <c r="E30" s="160">
        <v>1.04</v>
      </c>
      <c r="F30" s="74">
        <f t="shared" si="0"/>
        <v>249.6</v>
      </c>
      <c r="G30" s="127">
        <f>E30</f>
        <v>1.04</v>
      </c>
      <c r="H30" s="74">
        <f t="shared" si="1"/>
        <v>249.60000000000002</v>
      </c>
    </row>
    <row r="31" spans="1:8" x14ac:dyDescent="0.25">
      <c r="A31" s="108">
        <v>24</v>
      </c>
      <c r="B31" s="135" t="s">
        <v>19</v>
      </c>
      <c r="C31" s="108" t="s">
        <v>22</v>
      </c>
      <c r="D31" s="126">
        <v>30</v>
      </c>
      <c r="E31" s="160">
        <v>1.04</v>
      </c>
      <c r="F31" s="74">
        <f t="shared" si="0"/>
        <v>31.2</v>
      </c>
      <c r="G31" s="127">
        <f>E31</f>
        <v>1.04</v>
      </c>
      <c r="H31" s="74">
        <f t="shared" si="1"/>
        <v>31.200000000000003</v>
      </c>
    </row>
    <row r="32" spans="1:8" x14ac:dyDescent="0.25">
      <c r="A32" s="320" t="s">
        <v>14</v>
      </c>
      <c r="B32" s="320"/>
      <c r="C32" s="320"/>
      <c r="D32" s="320"/>
      <c r="E32" s="320"/>
      <c r="F32" s="136">
        <f>ROUND(SUM(F9:F31),2)</f>
        <v>7284.74</v>
      </c>
      <c r="G32" s="317">
        <f>SUM(H9:H31)</f>
        <v>27256.866666666669</v>
      </c>
      <c r="H32" s="318"/>
    </row>
  </sheetData>
  <mergeCells count="14">
    <mergeCell ref="G32:H32"/>
    <mergeCell ref="A1:H1"/>
    <mergeCell ref="A2:H2"/>
    <mergeCell ref="A3:H3"/>
    <mergeCell ref="A4:H4"/>
    <mergeCell ref="A5:H5"/>
    <mergeCell ref="A32:E32"/>
    <mergeCell ref="D7:D8"/>
    <mergeCell ref="C7:C8"/>
    <mergeCell ref="B7:B8"/>
    <mergeCell ref="A7:A8"/>
    <mergeCell ref="A6:F6"/>
    <mergeCell ref="E7:F8"/>
    <mergeCell ref="G6:H8"/>
  </mergeCells>
  <pageMargins left="0.511811024" right="0.511811024" top="0.78740157499999996" bottom="0.78740157499999996" header="0.31496062000000002" footer="0.31496062000000002"/>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2"/>
  <sheetViews>
    <sheetView topLeftCell="A34" zoomScale="120" zoomScaleNormal="120" workbookViewId="0">
      <selection activeCell="M15" sqref="M15"/>
    </sheetView>
  </sheetViews>
  <sheetFormatPr defaultRowHeight="15" x14ac:dyDescent="0.25"/>
  <cols>
    <col min="1" max="1" width="5.7109375" style="86" customWidth="1"/>
    <col min="2" max="2" width="22.28515625" style="111" customWidth="1"/>
    <col min="3" max="3" width="5.7109375" style="112" customWidth="1"/>
    <col min="4" max="4" width="8.5703125" style="112" customWidth="1"/>
    <col min="5" max="6" width="7.140625" style="112" customWidth="1"/>
    <col min="7" max="7" width="11.5703125" style="112" customWidth="1"/>
    <col min="8" max="8" width="8.42578125" style="112" customWidth="1"/>
    <col min="9" max="11" width="8.28515625" style="112" customWidth="1"/>
    <col min="15" max="15" width="10" bestFit="1" customWidth="1"/>
  </cols>
  <sheetData>
    <row r="1" spans="1:15" x14ac:dyDescent="0.25">
      <c r="A1" s="319" t="s">
        <v>0</v>
      </c>
      <c r="B1" s="319"/>
      <c r="C1" s="319"/>
      <c r="D1" s="319"/>
      <c r="E1" s="319"/>
      <c r="F1" s="319"/>
      <c r="G1" s="319"/>
      <c r="H1" s="319"/>
      <c r="I1" s="319"/>
      <c r="J1" s="319"/>
      <c r="K1" s="319"/>
      <c r="L1" s="319"/>
      <c r="M1" s="319"/>
      <c r="N1" s="319"/>
      <c r="O1" s="319"/>
    </row>
    <row r="2" spans="1:15" x14ac:dyDescent="0.25">
      <c r="A2" s="319" t="s">
        <v>1</v>
      </c>
      <c r="B2" s="319"/>
      <c r="C2" s="319"/>
      <c r="D2" s="319"/>
      <c r="E2" s="319"/>
      <c r="F2" s="319"/>
      <c r="G2" s="319"/>
      <c r="H2" s="319"/>
      <c r="I2" s="319"/>
      <c r="J2" s="319"/>
      <c r="K2" s="319"/>
      <c r="L2" s="319"/>
      <c r="M2" s="319"/>
      <c r="N2" s="319"/>
      <c r="O2" s="319"/>
    </row>
    <row r="3" spans="1:15" x14ac:dyDescent="0.25">
      <c r="A3" s="319" t="s">
        <v>2</v>
      </c>
      <c r="B3" s="319"/>
      <c r="C3" s="319"/>
      <c r="D3" s="319"/>
      <c r="E3" s="319"/>
      <c r="F3" s="319"/>
      <c r="G3" s="319"/>
      <c r="H3" s="319"/>
      <c r="I3" s="319"/>
      <c r="J3" s="319"/>
      <c r="K3" s="319"/>
      <c r="L3" s="319"/>
      <c r="M3" s="319"/>
      <c r="N3" s="319"/>
      <c r="O3" s="319"/>
    </row>
    <row r="4" spans="1:15" x14ac:dyDescent="0.25">
      <c r="A4" s="319" t="s">
        <v>3</v>
      </c>
      <c r="B4" s="319"/>
      <c r="C4" s="319"/>
      <c r="D4" s="319"/>
      <c r="E4" s="319"/>
      <c r="F4" s="319"/>
      <c r="G4" s="319"/>
      <c r="H4" s="319"/>
      <c r="I4" s="319"/>
      <c r="J4" s="319"/>
      <c r="K4" s="319"/>
      <c r="L4" s="319"/>
      <c r="M4" s="319"/>
      <c r="N4" s="319"/>
      <c r="O4" s="319"/>
    </row>
    <row r="5" spans="1:15" x14ac:dyDescent="0.25">
      <c r="A5" s="319" t="s">
        <v>4</v>
      </c>
      <c r="B5" s="319"/>
      <c r="C5" s="319"/>
      <c r="D5" s="319"/>
      <c r="E5" s="319"/>
      <c r="F5" s="319"/>
      <c r="G5" s="319"/>
      <c r="H5" s="319"/>
      <c r="I5" s="319"/>
      <c r="J5" s="319"/>
      <c r="K5" s="319"/>
      <c r="L5" s="319"/>
      <c r="M5" s="319"/>
      <c r="N5" s="319"/>
      <c r="O5" s="319"/>
    </row>
    <row r="6" spans="1:15" x14ac:dyDescent="0.25">
      <c r="A6" s="351" t="s">
        <v>277</v>
      </c>
      <c r="B6" s="351"/>
      <c r="C6" s="351"/>
      <c r="D6" s="351"/>
      <c r="E6" s="351"/>
      <c r="F6" s="351"/>
      <c r="G6" s="351"/>
      <c r="H6" s="351"/>
      <c r="I6" s="351"/>
      <c r="J6" s="351"/>
      <c r="K6" s="351"/>
      <c r="L6" s="351"/>
      <c r="M6" s="351"/>
      <c r="N6" s="333" t="s">
        <v>415</v>
      </c>
      <c r="O6" s="333"/>
    </row>
    <row r="7" spans="1:15" ht="15.75" customHeight="1" x14ac:dyDescent="0.25">
      <c r="A7" s="341"/>
      <c r="B7" s="342"/>
      <c r="C7" s="342"/>
      <c r="D7" s="342"/>
      <c r="E7" s="343"/>
      <c r="F7" s="348" t="s">
        <v>421</v>
      </c>
      <c r="G7" s="348"/>
      <c r="H7" s="348"/>
      <c r="I7" s="348"/>
      <c r="J7" s="348"/>
      <c r="K7" s="348"/>
      <c r="L7" s="348"/>
      <c r="M7" s="348"/>
      <c r="N7" s="333"/>
      <c r="O7" s="333"/>
    </row>
    <row r="8" spans="1:15" ht="50.25" customHeight="1" x14ac:dyDescent="0.25">
      <c r="A8" s="340" t="s">
        <v>5</v>
      </c>
      <c r="B8" s="340" t="s">
        <v>232</v>
      </c>
      <c r="C8" s="340" t="s">
        <v>227</v>
      </c>
      <c r="D8" s="346" t="s">
        <v>228</v>
      </c>
      <c r="E8" s="347"/>
      <c r="F8" s="349" t="s">
        <v>400</v>
      </c>
      <c r="G8" s="350"/>
      <c r="H8" s="349" t="s">
        <v>404</v>
      </c>
      <c r="I8" s="350"/>
      <c r="J8" s="349" t="s">
        <v>409</v>
      </c>
      <c r="K8" s="350"/>
      <c r="L8" s="349" t="s">
        <v>402</v>
      </c>
      <c r="M8" s="352"/>
      <c r="N8" s="333"/>
      <c r="O8" s="333"/>
    </row>
    <row r="9" spans="1:15" ht="14.45" customHeight="1" x14ac:dyDescent="0.25">
      <c r="A9" s="335"/>
      <c r="B9" s="335"/>
      <c r="C9" s="335"/>
      <c r="D9" s="344" t="s">
        <v>229</v>
      </c>
      <c r="E9" s="340" t="s">
        <v>16</v>
      </c>
      <c r="F9" s="340" t="s">
        <v>230</v>
      </c>
      <c r="G9" s="340" t="s">
        <v>17</v>
      </c>
      <c r="H9" s="340" t="s">
        <v>230</v>
      </c>
      <c r="I9" s="340" t="s">
        <v>17</v>
      </c>
      <c r="J9" s="340" t="s">
        <v>230</v>
      </c>
      <c r="K9" s="340" t="s">
        <v>17</v>
      </c>
      <c r="L9" s="340" t="s">
        <v>230</v>
      </c>
      <c r="M9" s="340" t="s">
        <v>17</v>
      </c>
      <c r="N9" s="335" t="s">
        <v>230</v>
      </c>
      <c r="O9" s="335" t="s">
        <v>17</v>
      </c>
    </row>
    <row r="10" spans="1:15" x14ac:dyDescent="0.25">
      <c r="A10" s="336"/>
      <c r="B10" s="336"/>
      <c r="C10" s="336"/>
      <c r="D10" s="345"/>
      <c r="E10" s="336"/>
      <c r="F10" s="336"/>
      <c r="G10" s="336"/>
      <c r="H10" s="336"/>
      <c r="I10" s="336"/>
      <c r="J10" s="336"/>
      <c r="K10" s="336"/>
      <c r="L10" s="336"/>
      <c r="M10" s="336"/>
      <c r="N10" s="336"/>
      <c r="O10" s="336"/>
    </row>
    <row r="11" spans="1:15" ht="14.45" customHeight="1" x14ac:dyDescent="0.25">
      <c r="A11" s="113" t="s">
        <v>118</v>
      </c>
      <c r="B11" s="114" t="s">
        <v>401</v>
      </c>
      <c r="C11" s="113"/>
      <c r="D11" s="113"/>
      <c r="E11" s="113"/>
      <c r="F11" s="113"/>
      <c r="G11" s="113"/>
      <c r="H11" s="113"/>
      <c r="I11" s="113"/>
      <c r="J11" s="113"/>
      <c r="K11" s="113"/>
      <c r="L11" s="113"/>
      <c r="M11" s="113"/>
    </row>
    <row r="12" spans="1:15" ht="15" customHeight="1" x14ac:dyDescent="0.25">
      <c r="A12" s="113" t="s">
        <v>119</v>
      </c>
      <c r="B12" s="122" t="s">
        <v>225</v>
      </c>
      <c r="C12" s="113" t="s">
        <v>22</v>
      </c>
      <c r="D12" s="116">
        <v>3</v>
      </c>
      <c r="E12" s="116">
        <v>6</v>
      </c>
      <c r="F12" s="117"/>
      <c r="G12" s="117">
        <f t="shared" ref="G12:G19" si="0">E12*F12</f>
        <v>0</v>
      </c>
      <c r="H12" s="117">
        <v>66.11</v>
      </c>
      <c r="I12" s="117">
        <f>H12*E12</f>
        <v>396.65999999999997</v>
      </c>
      <c r="J12" s="117">
        <v>38</v>
      </c>
      <c r="K12" s="117">
        <f>J12*E12</f>
        <v>228</v>
      </c>
      <c r="L12" s="117"/>
      <c r="M12" s="157">
        <f t="shared" ref="M12:M19" si="1">G12*L12</f>
        <v>0</v>
      </c>
      <c r="N12" s="168">
        <f>AVERAGE(J12)</f>
        <v>38</v>
      </c>
      <c r="O12" s="168">
        <f>N12*E12</f>
        <v>228</v>
      </c>
    </row>
    <row r="13" spans="1:15" x14ac:dyDescent="0.25">
      <c r="A13" s="113" t="s">
        <v>120</v>
      </c>
      <c r="B13" s="122" t="s">
        <v>233</v>
      </c>
      <c r="C13" s="123" t="s">
        <v>22</v>
      </c>
      <c r="D13" s="124">
        <v>2</v>
      </c>
      <c r="E13" s="116">
        <v>4</v>
      </c>
      <c r="F13" s="117"/>
      <c r="G13" s="117">
        <f t="shared" si="0"/>
        <v>0</v>
      </c>
      <c r="H13" s="117">
        <v>66.11</v>
      </c>
      <c r="I13" s="117">
        <f t="shared" ref="I13:I18" si="2">H13*E13</f>
        <v>264.44</v>
      </c>
      <c r="J13" s="117">
        <v>80</v>
      </c>
      <c r="K13" s="117">
        <f t="shared" ref="K13:K18" si="3">J13*E13</f>
        <v>320</v>
      </c>
      <c r="L13" s="117"/>
      <c r="M13" s="157">
        <f t="shared" si="1"/>
        <v>0</v>
      </c>
      <c r="N13" s="168">
        <f t="shared" ref="N13:N18" si="4">AVERAGE(J13,H13)</f>
        <v>73.055000000000007</v>
      </c>
      <c r="O13" s="168">
        <f t="shared" ref="O13:O19" si="5">N13*E13</f>
        <v>292.22000000000003</v>
      </c>
    </row>
    <row r="14" spans="1:15" x14ac:dyDescent="0.25">
      <c r="A14" s="113" t="s">
        <v>234</v>
      </c>
      <c r="B14" s="115" t="s">
        <v>235</v>
      </c>
      <c r="C14" s="113" t="s">
        <v>22</v>
      </c>
      <c r="D14" s="116">
        <v>4</v>
      </c>
      <c r="E14" s="116">
        <v>8</v>
      </c>
      <c r="F14" s="117"/>
      <c r="G14" s="117">
        <f t="shared" si="0"/>
        <v>0</v>
      </c>
      <c r="H14" s="117">
        <v>27.5</v>
      </c>
      <c r="I14" s="117">
        <f t="shared" si="2"/>
        <v>220</v>
      </c>
      <c r="J14" s="117">
        <v>40</v>
      </c>
      <c r="K14" s="117">
        <f t="shared" si="3"/>
        <v>320</v>
      </c>
      <c r="L14" s="117"/>
      <c r="M14" s="157">
        <f t="shared" si="1"/>
        <v>0</v>
      </c>
      <c r="N14" s="168">
        <f t="shared" si="4"/>
        <v>33.75</v>
      </c>
      <c r="O14" s="168">
        <f t="shared" si="5"/>
        <v>270</v>
      </c>
    </row>
    <row r="15" spans="1:15" x14ac:dyDescent="0.25">
      <c r="A15" s="113" t="s">
        <v>236</v>
      </c>
      <c r="B15" s="115" t="s">
        <v>218</v>
      </c>
      <c r="C15" s="113" t="s">
        <v>22</v>
      </c>
      <c r="D15" s="116">
        <v>2</v>
      </c>
      <c r="E15" s="116">
        <v>4</v>
      </c>
      <c r="F15" s="117"/>
      <c r="G15" s="117">
        <f t="shared" si="0"/>
        <v>0</v>
      </c>
      <c r="H15" s="117">
        <v>5</v>
      </c>
      <c r="I15" s="117">
        <f t="shared" si="2"/>
        <v>20</v>
      </c>
      <c r="J15" s="117">
        <v>8</v>
      </c>
      <c r="K15" s="117">
        <f t="shared" si="3"/>
        <v>32</v>
      </c>
      <c r="L15" s="117"/>
      <c r="M15" s="157">
        <f t="shared" si="1"/>
        <v>0</v>
      </c>
      <c r="N15" s="168">
        <f t="shared" si="4"/>
        <v>6.5</v>
      </c>
      <c r="O15" s="168">
        <f t="shared" si="5"/>
        <v>26</v>
      </c>
    </row>
    <row r="16" spans="1:15" x14ac:dyDescent="0.25">
      <c r="A16" s="113" t="s">
        <v>237</v>
      </c>
      <c r="B16" s="115" t="s">
        <v>224</v>
      </c>
      <c r="C16" s="113" t="s">
        <v>11</v>
      </c>
      <c r="D16" s="116">
        <v>4</v>
      </c>
      <c r="E16" s="116">
        <v>8</v>
      </c>
      <c r="F16" s="117"/>
      <c r="G16" s="117">
        <f t="shared" si="0"/>
        <v>0</v>
      </c>
      <c r="H16" s="117">
        <v>9</v>
      </c>
      <c r="I16" s="117">
        <f t="shared" si="2"/>
        <v>72</v>
      </c>
      <c r="J16" s="117">
        <v>4</v>
      </c>
      <c r="K16" s="117">
        <f t="shared" si="3"/>
        <v>32</v>
      </c>
      <c r="L16" s="117"/>
      <c r="M16" s="157">
        <f t="shared" si="1"/>
        <v>0</v>
      </c>
      <c r="N16" s="168">
        <f t="shared" si="4"/>
        <v>6.5</v>
      </c>
      <c r="O16" s="168">
        <f t="shared" si="5"/>
        <v>52</v>
      </c>
    </row>
    <row r="17" spans="1:15" x14ac:dyDescent="0.25">
      <c r="A17" s="113" t="s">
        <v>238</v>
      </c>
      <c r="B17" s="115" t="s">
        <v>219</v>
      </c>
      <c r="C17" s="113" t="s">
        <v>11</v>
      </c>
      <c r="D17" s="116">
        <v>2</v>
      </c>
      <c r="E17" s="116">
        <v>4</v>
      </c>
      <c r="F17" s="117"/>
      <c r="G17" s="117">
        <f t="shared" si="0"/>
        <v>0</v>
      </c>
      <c r="H17" s="117">
        <v>40</v>
      </c>
      <c r="I17" s="117">
        <f t="shared" si="2"/>
        <v>160</v>
      </c>
      <c r="J17" s="117">
        <v>40</v>
      </c>
      <c r="K17" s="117">
        <f t="shared" si="3"/>
        <v>160</v>
      </c>
      <c r="L17" s="117"/>
      <c r="M17" s="157">
        <f t="shared" si="1"/>
        <v>0</v>
      </c>
      <c r="N17" s="168">
        <f t="shared" si="4"/>
        <v>40</v>
      </c>
      <c r="O17" s="168">
        <f t="shared" si="5"/>
        <v>160</v>
      </c>
    </row>
    <row r="18" spans="1:15" x14ac:dyDescent="0.25">
      <c r="A18" s="113" t="s">
        <v>239</v>
      </c>
      <c r="B18" s="115" t="s">
        <v>240</v>
      </c>
      <c r="C18" s="113" t="s">
        <v>22</v>
      </c>
      <c r="D18" s="116">
        <v>2</v>
      </c>
      <c r="E18" s="116">
        <v>4</v>
      </c>
      <c r="F18" s="117"/>
      <c r="G18" s="117">
        <f t="shared" si="0"/>
        <v>0</v>
      </c>
      <c r="H18" s="117">
        <v>12.49</v>
      </c>
      <c r="I18" s="117">
        <f t="shared" si="2"/>
        <v>49.96</v>
      </c>
      <c r="J18" s="117">
        <v>10</v>
      </c>
      <c r="K18" s="117">
        <f t="shared" si="3"/>
        <v>40</v>
      </c>
      <c r="L18" s="117"/>
      <c r="M18" s="157">
        <f t="shared" si="1"/>
        <v>0</v>
      </c>
      <c r="N18" s="168">
        <f t="shared" si="4"/>
        <v>11.245000000000001</v>
      </c>
      <c r="O18" s="168">
        <f t="shared" si="5"/>
        <v>44.980000000000004</v>
      </c>
    </row>
    <row r="19" spans="1:15" x14ac:dyDescent="0.25">
      <c r="A19" s="113" t="s">
        <v>241</v>
      </c>
      <c r="B19" s="115" t="s">
        <v>331</v>
      </c>
      <c r="C19" s="113" t="s">
        <v>22</v>
      </c>
      <c r="D19" s="116">
        <v>1</v>
      </c>
      <c r="E19" s="116">
        <v>1</v>
      </c>
      <c r="F19" s="117"/>
      <c r="G19" s="117">
        <f t="shared" si="0"/>
        <v>0</v>
      </c>
      <c r="H19" s="117"/>
      <c r="I19" s="117"/>
      <c r="J19" s="117"/>
      <c r="K19" s="117"/>
      <c r="L19" s="117"/>
      <c r="M19" s="157">
        <f t="shared" si="1"/>
        <v>0</v>
      </c>
      <c r="N19" s="168">
        <v>1.04</v>
      </c>
      <c r="O19" s="168">
        <f t="shared" si="5"/>
        <v>1.04</v>
      </c>
    </row>
    <row r="20" spans="1:15" ht="14.45" customHeight="1" x14ac:dyDescent="0.25">
      <c r="A20" s="337" t="s">
        <v>242</v>
      </c>
      <c r="B20" s="338"/>
      <c r="C20" s="338"/>
      <c r="D20" s="338"/>
      <c r="E20" s="338"/>
      <c r="F20" s="339"/>
      <c r="G20" s="117">
        <f>SUM(G12:G19)</f>
        <v>0</v>
      </c>
      <c r="H20" s="158"/>
      <c r="I20" s="158"/>
      <c r="J20" s="158"/>
      <c r="K20" s="158"/>
      <c r="N20" s="334">
        <f>SUM(O12:O19)</f>
        <v>1074.24</v>
      </c>
      <c r="O20" s="318"/>
    </row>
    <row r="21" spans="1:15" ht="14.45" customHeight="1" x14ac:dyDescent="0.25">
      <c r="A21" s="337" t="s">
        <v>231</v>
      </c>
      <c r="B21" s="338"/>
      <c r="C21" s="338"/>
      <c r="D21" s="338"/>
      <c r="E21" s="338"/>
      <c r="F21" s="339"/>
      <c r="G21" s="117">
        <f>G20/12</f>
        <v>0</v>
      </c>
      <c r="H21" s="158"/>
      <c r="I21" s="158"/>
      <c r="J21" s="158"/>
      <c r="K21" s="158"/>
      <c r="N21" s="334">
        <f>N20/12</f>
        <v>89.52</v>
      </c>
      <c r="O21" s="318"/>
    </row>
    <row r="22" spans="1:15" x14ac:dyDescent="0.25">
      <c r="A22" s="113" t="s">
        <v>121</v>
      </c>
      <c r="B22" s="114" t="s">
        <v>220</v>
      </c>
      <c r="C22" s="113"/>
      <c r="D22" s="113"/>
      <c r="E22" s="113"/>
      <c r="F22" s="113"/>
      <c r="G22" s="113"/>
      <c r="H22" s="113"/>
      <c r="I22" s="113"/>
      <c r="J22" s="113"/>
      <c r="K22" s="113"/>
      <c r="L22" s="113"/>
      <c r="M22" s="113"/>
    </row>
    <row r="23" spans="1:15" x14ac:dyDescent="0.25">
      <c r="A23" s="113" t="s">
        <v>62</v>
      </c>
      <c r="B23" s="120" t="s">
        <v>243</v>
      </c>
      <c r="C23" s="113" t="s">
        <v>22</v>
      </c>
      <c r="D23" s="116">
        <v>3</v>
      </c>
      <c r="E23" s="116">
        <v>6</v>
      </c>
      <c r="F23" s="117"/>
      <c r="G23" s="117">
        <f t="shared" ref="G23:G30" si="6">E23*F23</f>
        <v>0</v>
      </c>
      <c r="H23" s="117">
        <f>132.22/2</f>
        <v>66.11</v>
      </c>
      <c r="I23" s="117">
        <f>H23*E23</f>
        <v>396.65999999999997</v>
      </c>
      <c r="J23" s="117">
        <v>37</v>
      </c>
      <c r="K23" s="117">
        <f>J23*E23</f>
        <v>222</v>
      </c>
      <c r="L23" s="117"/>
      <c r="M23" s="157">
        <f t="shared" ref="M23:M30" si="7">G23*L23</f>
        <v>0</v>
      </c>
      <c r="N23" s="168">
        <f>AVERAGE(J23)</f>
        <v>37</v>
      </c>
      <c r="O23" s="168">
        <f>N23*E23</f>
        <v>222</v>
      </c>
    </row>
    <row r="24" spans="1:15" x14ac:dyDescent="0.25">
      <c r="A24" s="113" t="s">
        <v>67</v>
      </c>
      <c r="B24" s="119" t="s">
        <v>244</v>
      </c>
      <c r="C24" s="113" t="s">
        <v>22</v>
      </c>
      <c r="D24" s="116">
        <v>2</v>
      </c>
      <c r="E24" s="121">
        <v>4</v>
      </c>
      <c r="F24" s="117"/>
      <c r="G24" s="117">
        <f t="shared" si="6"/>
        <v>0</v>
      </c>
      <c r="H24" s="117">
        <v>66.11</v>
      </c>
      <c r="I24" s="117">
        <f t="shared" ref="I24:I30" si="8">H24*E24</f>
        <v>264.44</v>
      </c>
      <c r="J24" s="117">
        <v>44</v>
      </c>
      <c r="K24" s="117">
        <f t="shared" ref="K24:K30" si="9">J24*E24</f>
        <v>176</v>
      </c>
      <c r="L24" s="117"/>
      <c r="M24" s="157">
        <f t="shared" si="7"/>
        <v>0</v>
      </c>
      <c r="N24" s="168">
        <f>AVERAGE(J24)</f>
        <v>44</v>
      </c>
      <c r="O24" s="168">
        <f t="shared" ref="O24:O29" si="10">N24*E24</f>
        <v>176</v>
      </c>
    </row>
    <row r="25" spans="1:15" x14ac:dyDescent="0.25">
      <c r="A25" s="113" t="s">
        <v>82</v>
      </c>
      <c r="B25" s="115" t="s">
        <v>245</v>
      </c>
      <c r="C25" s="113" t="s">
        <v>22</v>
      </c>
      <c r="D25" s="116">
        <v>4</v>
      </c>
      <c r="E25" s="116">
        <v>8</v>
      </c>
      <c r="F25" s="117"/>
      <c r="G25" s="117">
        <f t="shared" si="6"/>
        <v>0</v>
      </c>
      <c r="H25" s="117">
        <v>27.5</v>
      </c>
      <c r="I25" s="117">
        <f t="shared" si="8"/>
        <v>220</v>
      </c>
      <c r="J25" s="117">
        <v>40</v>
      </c>
      <c r="K25" s="117">
        <f t="shared" si="9"/>
        <v>320</v>
      </c>
      <c r="L25" s="117"/>
      <c r="M25" s="157">
        <f t="shared" si="7"/>
        <v>0</v>
      </c>
      <c r="N25" s="168">
        <f>AVERAGE(H25)</f>
        <v>27.5</v>
      </c>
      <c r="O25" s="168">
        <f t="shared" si="10"/>
        <v>220</v>
      </c>
    </row>
    <row r="26" spans="1:15" x14ac:dyDescent="0.25">
      <c r="A26" s="113" t="s">
        <v>246</v>
      </c>
      <c r="B26" s="115" t="s">
        <v>405</v>
      </c>
      <c r="C26" s="113" t="s">
        <v>22</v>
      </c>
      <c r="D26" s="116">
        <v>2</v>
      </c>
      <c r="E26" s="116">
        <v>4</v>
      </c>
      <c r="F26" s="117"/>
      <c r="G26" s="117">
        <f t="shared" si="6"/>
        <v>0</v>
      </c>
      <c r="H26" s="117">
        <v>5</v>
      </c>
      <c r="I26" s="117">
        <f t="shared" si="8"/>
        <v>20</v>
      </c>
      <c r="J26" s="117">
        <v>5</v>
      </c>
      <c r="K26" s="117">
        <f t="shared" si="9"/>
        <v>20</v>
      </c>
      <c r="L26" s="117"/>
      <c r="M26" s="157">
        <f t="shared" si="7"/>
        <v>0</v>
      </c>
      <c r="N26" s="168">
        <f>AVERAGE(J26,H26)</f>
        <v>5</v>
      </c>
      <c r="O26" s="168">
        <f t="shared" si="10"/>
        <v>20</v>
      </c>
    </row>
    <row r="27" spans="1:15" x14ac:dyDescent="0.25">
      <c r="A27" s="113" t="s">
        <v>247</v>
      </c>
      <c r="B27" s="115" t="s">
        <v>332</v>
      </c>
      <c r="C27" s="113" t="s">
        <v>11</v>
      </c>
      <c r="D27" s="116">
        <v>4</v>
      </c>
      <c r="E27" s="116">
        <v>8</v>
      </c>
      <c r="F27" s="117"/>
      <c r="G27" s="117">
        <f t="shared" si="6"/>
        <v>0</v>
      </c>
      <c r="H27" s="117">
        <v>9</v>
      </c>
      <c r="I27" s="117">
        <f t="shared" si="8"/>
        <v>72</v>
      </c>
      <c r="J27" s="117">
        <v>5</v>
      </c>
      <c r="K27" s="117">
        <f t="shared" si="9"/>
        <v>40</v>
      </c>
      <c r="L27" s="117"/>
      <c r="M27" s="157">
        <f t="shared" si="7"/>
        <v>0</v>
      </c>
      <c r="N27" s="168">
        <f>AVERAGE(J27)</f>
        <v>5</v>
      </c>
      <c r="O27" s="168">
        <f t="shared" si="10"/>
        <v>40</v>
      </c>
    </row>
    <row r="28" spans="1:15" x14ac:dyDescent="0.25">
      <c r="A28" s="113" t="s">
        <v>248</v>
      </c>
      <c r="B28" s="115" t="s">
        <v>221</v>
      </c>
      <c r="C28" s="113" t="s">
        <v>11</v>
      </c>
      <c r="D28" s="116">
        <v>2</v>
      </c>
      <c r="E28" s="116">
        <v>4</v>
      </c>
      <c r="F28" s="117"/>
      <c r="G28" s="117">
        <f t="shared" si="6"/>
        <v>0</v>
      </c>
      <c r="H28" s="117">
        <v>40</v>
      </c>
      <c r="I28" s="117">
        <f t="shared" si="8"/>
        <v>160</v>
      </c>
      <c r="J28" s="117">
        <v>30</v>
      </c>
      <c r="K28" s="117">
        <f t="shared" si="9"/>
        <v>120</v>
      </c>
      <c r="L28" s="117"/>
      <c r="M28" s="157">
        <f t="shared" si="7"/>
        <v>0</v>
      </c>
      <c r="N28" s="168">
        <f>AVERAGE(J28,H28)</f>
        <v>35</v>
      </c>
      <c r="O28" s="168">
        <f t="shared" si="10"/>
        <v>140</v>
      </c>
    </row>
    <row r="29" spans="1:15" x14ac:dyDescent="0.25">
      <c r="A29" s="113" t="s">
        <v>249</v>
      </c>
      <c r="B29" s="115" t="s">
        <v>222</v>
      </c>
      <c r="C29" s="113" t="s">
        <v>22</v>
      </c>
      <c r="D29" s="116">
        <v>2</v>
      </c>
      <c r="E29" s="116">
        <v>6</v>
      </c>
      <c r="F29" s="117"/>
      <c r="G29" s="117">
        <f t="shared" si="6"/>
        <v>0</v>
      </c>
      <c r="H29" s="117"/>
      <c r="I29" s="117">
        <f t="shared" si="8"/>
        <v>0</v>
      </c>
      <c r="J29" s="117"/>
      <c r="K29" s="117">
        <f t="shared" si="9"/>
        <v>0</v>
      </c>
      <c r="L29" s="117"/>
      <c r="M29" s="157">
        <f t="shared" si="7"/>
        <v>0</v>
      </c>
      <c r="N29" s="168">
        <v>0.52</v>
      </c>
      <c r="O29" s="168">
        <f t="shared" si="10"/>
        <v>3.12</v>
      </c>
    </row>
    <row r="30" spans="1:15" x14ac:dyDescent="0.25">
      <c r="A30" s="113" t="s">
        <v>250</v>
      </c>
      <c r="B30" s="115" t="s">
        <v>331</v>
      </c>
      <c r="C30" s="113" t="s">
        <v>22</v>
      </c>
      <c r="D30" s="116">
        <v>1</v>
      </c>
      <c r="E30" s="116">
        <v>1</v>
      </c>
      <c r="F30" s="117"/>
      <c r="G30" s="117">
        <f t="shared" si="6"/>
        <v>0</v>
      </c>
      <c r="H30" s="117"/>
      <c r="I30" s="117">
        <f t="shared" si="8"/>
        <v>0</v>
      </c>
      <c r="J30" s="117"/>
      <c r="K30" s="117">
        <f t="shared" si="9"/>
        <v>0</v>
      </c>
      <c r="L30" s="117"/>
      <c r="M30" s="157">
        <f t="shared" si="7"/>
        <v>0</v>
      </c>
      <c r="N30" s="168">
        <v>1.04</v>
      </c>
      <c r="O30" s="168">
        <v>1.04</v>
      </c>
    </row>
    <row r="31" spans="1:15" ht="14.45" customHeight="1" x14ac:dyDescent="0.25">
      <c r="A31" s="337" t="s">
        <v>242</v>
      </c>
      <c r="B31" s="338"/>
      <c r="C31" s="338"/>
      <c r="D31" s="338"/>
      <c r="E31" s="338"/>
      <c r="F31" s="339"/>
      <c r="G31" s="117">
        <f>SUM(G23:G30)</f>
        <v>0</v>
      </c>
      <c r="H31" s="158"/>
      <c r="I31" s="158"/>
      <c r="J31" s="158"/>
      <c r="K31" s="158"/>
      <c r="N31" s="334">
        <f>SUM(O23:O30)</f>
        <v>822.16</v>
      </c>
      <c r="O31" s="334"/>
    </row>
    <row r="32" spans="1:15" ht="14.45" customHeight="1" x14ac:dyDescent="0.25">
      <c r="A32" s="337" t="s">
        <v>231</v>
      </c>
      <c r="B32" s="338"/>
      <c r="C32" s="338"/>
      <c r="D32" s="338"/>
      <c r="E32" s="338"/>
      <c r="F32" s="339"/>
      <c r="G32" s="117">
        <f>G31/12</f>
        <v>0</v>
      </c>
      <c r="H32" s="158"/>
      <c r="I32" s="158"/>
      <c r="J32" s="158"/>
      <c r="K32" s="158"/>
      <c r="N32" s="334">
        <f>N31/12</f>
        <v>68.513333333333335</v>
      </c>
      <c r="O32" s="334"/>
    </row>
    <row r="33" spans="1:15" x14ac:dyDescent="0.25">
      <c r="A33" s="113" t="s">
        <v>251</v>
      </c>
      <c r="B33" s="114" t="s">
        <v>223</v>
      </c>
      <c r="C33" s="113"/>
      <c r="D33" s="113"/>
      <c r="E33" s="113"/>
      <c r="F33" s="113"/>
      <c r="G33" s="156"/>
      <c r="H33" s="108"/>
      <c r="I33" s="108"/>
      <c r="J33" s="108"/>
      <c r="K33" s="108"/>
      <c r="L33" s="108"/>
      <c r="M33" s="108"/>
    </row>
    <row r="34" spans="1:15" x14ac:dyDescent="0.25">
      <c r="A34" s="113" t="s">
        <v>252</v>
      </c>
      <c r="B34" s="120" t="s">
        <v>333</v>
      </c>
      <c r="C34" s="113" t="s">
        <v>22</v>
      </c>
      <c r="D34" s="116">
        <v>3</v>
      </c>
      <c r="E34" s="116">
        <v>6</v>
      </c>
      <c r="F34" s="117">
        <v>20</v>
      </c>
      <c r="G34" s="157">
        <f t="shared" ref="G34:G41" si="11">E34*F34</f>
        <v>120</v>
      </c>
      <c r="H34" s="74">
        <v>40</v>
      </c>
      <c r="I34" s="74">
        <f>H34*E34</f>
        <v>240</v>
      </c>
      <c r="J34" s="74">
        <v>35</v>
      </c>
      <c r="K34" s="74">
        <f>J34*E34</f>
        <v>210</v>
      </c>
      <c r="L34" s="74">
        <v>43.7</v>
      </c>
      <c r="M34" s="178">
        <f>G34*D34</f>
        <v>360</v>
      </c>
      <c r="N34" s="164">
        <f>AVERAGE(J34,F34)</f>
        <v>27.5</v>
      </c>
      <c r="O34" s="164">
        <f>N34*E34</f>
        <v>165</v>
      </c>
    </row>
    <row r="35" spans="1:15" ht="14.45" customHeight="1" x14ac:dyDescent="0.25">
      <c r="A35" s="113" t="s">
        <v>253</v>
      </c>
      <c r="B35" s="115" t="s">
        <v>334</v>
      </c>
      <c r="C35" s="113" t="s">
        <v>22</v>
      </c>
      <c r="D35" s="116">
        <v>4</v>
      </c>
      <c r="E35" s="116">
        <v>8</v>
      </c>
      <c r="F35" s="117">
        <v>20</v>
      </c>
      <c r="G35" s="157">
        <f t="shared" si="11"/>
        <v>160</v>
      </c>
      <c r="H35" s="74">
        <v>34</v>
      </c>
      <c r="I35" s="74">
        <f t="shared" ref="I35:I41" si="12">H35*E35</f>
        <v>272</v>
      </c>
      <c r="J35" s="74">
        <v>40</v>
      </c>
      <c r="K35" s="74">
        <f t="shared" ref="K35:K41" si="13">J35*E35</f>
        <v>320</v>
      </c>
      <c r="L35" s="74">
        <v>32.200000000000003</v>
      </c>
      <c r="M35" s="178">
        <f t="shared" ref="M35:M40" si="14">G35*D35</f>
        <v>640</v>
      </c>
      <c r="N35" s="164">
        <f>AVERAGE(F35,H35,L35)</f>
        <v>28.733333333333334</v>
      </c>
      <c r="O35" s="164">
        <f t="shared" ref="O35:O41" si="15">N35*E35</f>
        <v>229.86666666666667</v>
      </c>
    </row>
    <row r="36" spans="1:15" ht="15" customHeight="1" x14ac:dyDescent="0.25">
      <c r="A36" s="113" t="s">
        <v>254</v>
      </c>
      <c r="B36" s="115" t="s">
        <v>255</v>
      </c>
      <c r="C36" s="113" t="s">
        <v>22</v>
      </c>
      <c r="D36" s="116">
        <v>2</v>
      </c>
      <c r="E36" s="116">
        <v>4</v>
      </c>
      <c r="F36" s="117">
        <v>15</v>
      </c>
      <c r="G36" s="157">
        <f t="shared" si="11"/>
        <v>60</v>
      </c>
      <c r="H36" s="74">
        <v>15.52</v>
      </c>
      <c r="I36" s="74">
        <f t="shared" si="12"/>
        <v>62.08</v>
      </c>
      <c r="J36" s="74">
        <v>10</v>
      </c>
      <c r="K36" s="74">
        <f t="shared" si="13"/>
        <v>40</v>
      </c>
      <c r="L36" s="74">
        <v>24.15</v>
      </c>
      <c r="M36" s="178">
        <f t="shared" si="14"/>
        <v>120</v>
      </c>
      <c r="N36" s="164">
        <f>AVERAGE(F36,H36,J36)</f>
        <v>13.506666666666666</v>
      </c>
      <c r="O36" s="164">
        <f t="shared" si="15"/>
        <v>54.026666666666664</v>
      </c>
    </row>
    <row r="37" spans="1:15" x14ac:dyDescent="0.25">
      <c r="A37" s="113" t="s">
        <v>256</v>
      </c>
      <c r="B37" s="115" t="s">
        <v>332</v>
      </c>
      <c r="C37" s="113" t="s">
        <v>11</v>
      </c>
      <c r="D37" s="116">
        <v>4</v>
      </c>
      <c r="E37" s="116">
        <v>8</v>
      </c>
      <c r="F37" s="117">
        <v>2</v>
      </c>
      <c r="G37" s="157">
        <f t="shared" si="11"/>
        <v>16</v>
      </c>
      <c r="H37" s="74">
        <v>5.74</v>
      </c>
      <c r="I37" s="74">
        <f t="shared" si="12"/>
        <v>45.92</v>
      </c>
      <c r="J37" s="74">
        <v>4</v>
      </c>
      <c r="K37" s="74">
        <f t="shared" si="13"/>
        <v>32</v>
      </c>
      <c r="L37" s="74">
        <v>6.78</v>
      </c>
      <c r="M37" s="178">
        <f t="shared" si="14"/>
        <v>64</v>
      </c>
      <c r="N37" s="164">
        <f>ROUND(AVERAGE(H37,J37),2)</f>
        <v>4.87</v>
      </c>
      <c r="O37" s="164">
        <f t="shared" si="15"/>
        <v>38.96</v>
      </c>
    </row>
    <row r="38" spans="1:15" x14ac:dyDescent="0.25">
      <c r="A38" s="113" t="s">
        <v>257</v>
      </c>
      <c r="B38" s="115" t="s">
        <v>221</v>
      </c>
      <c r="C38" s="113" t="s">
        <v>11</v>
      </c>
      <c r="D38" s="116">
        <v>2</v>
      </c>
      <c r="E38" s="116">
        <v>4</v>
      </c>
      <c r="F38" s="117">
        <v>25</v>
      </c>
      <c r="G38" s="157">
        <f t="shared" si="11"/>
        <v>100</v>
      </c>
      <c r="H38" s="74">
        <v>45</v>
      </c>
      <c r="I38" s="74">
        <f t="shared" si="12"/>
        <v>180</v>
      </c>
      <c r="J38" s="74">
        <v>40</v>
      </c>
      <c r="K38" s="74">
        <f t="shared" si="13"/>
        <v>160</v>
      </c>
      <c r="L38" s="74">
        <v>53.36</v>
      </c>
      <c r="M38" s="178">
        <f t="shared" si="14"/>
        <v>200</v>
      </c>
      <c r="N38" s="164">
        <f>AVERAGE(H38,J38)</f>
        <v>42.5</v>
      </c>
      <c r="O38" s="164">
        <f t="shared" si="15"/>
        <v>170</v>
      </c>
    </row>
    <row r="39" spans="1:15" x14ac:dyDescent="0.25">
      <c r="A39" s="113" t="s">
        <v>258</v>
      </c>
      <c r="B39" s="115" t="s">
        <v>335</v>
      </c>
      <c r="C39" s="113" t="s">
        <v>22</v>
      </c>
      <c r="D39" s="116">
        <v>2</v>
      </c>
      <c r="E39" s="116">
        <v>4</v>
      </c>
      <c r="F39" s="117">
        <v>10</v>
      </c>
      <c r="G39" s="157">
        <f t="shared" si="11"/>
        <v>40</v>
      </c>
      <c r="H39" s="74">
        <v>7</v>
      </c>
      <c r="I39" s="74">
        <f t="shared" si="12"/>
        <v>28</v>
      </c>
      <c r="J39" s="74">
        <v>0.5</v>
      </c>
      <c r="K39" s="74">
        <f t="shared" si="13"/>
        <v>2</v>
      </c>
      <c r="L39" s="74">
        <v>17.13</v>
      </c>
      <c r="M39" s="178">
        <f t="shared" si="14"/>
        <v>80</v>
      </c>
      <c r="N39" s="164">
        <f>AVERAGE(H39,F39)</f>
        <v>8.5</v>
      </c>
      <c r="O39" s="164">
        <f t="shared" si="15"/>
        <v>34</v>
      </c>
    </row>
    <row r="40" spans="1:15" x14ac:dyDescent="0.25">
      <c r="A40" s="113" t="s">
        <v>259</v>
      </c>
      <c r="B40" s="115" t="s">
        <v>260</v>
      </c>
      <c r="C40" s="113" t="s">
        <v>22</v>
      </c>
      <c r="D40" s="116">
        <v>1</v>
      </c>
      <c r="E40" s="116">
        <v>2</v>
      </c>
      <c r="F40" s="117"/>
      <c r="G40" s="157">
        <f t="shared" si="11"/>
        <v>0</v>
      </c>
      <c r="H40" s="74"/>
      <c r="I40" s="74">
        <f t="shared" si="12"/>
        <v>0</v>
      </c>
      <c r="J40" s="74"/>
      <c r="K40" s="74">
        <f t="shared" si="13"/>
        <v>0</v>
      </c>
      <c r="L40" s="74">
        <v>0</v>
      </c>
      <c r="M40" s="178">
        <f t="shared" si="14"/>
        <v>0</v>
      </c>
      <c r="N40" s="164">
        <v>20.79</v>
      </c>
      <c r="O40" s="164">
        <f t="shared" si="15"/>
        <v>41.58</v>
      </c>
    </row>
    <row r="41" spans="1:15" x14ac:dyDescent="0.25">
      <c r="A41" s="113" t="s">
        <v>261</v>
      </c>
      <c r="B41" s="115" t="s">
        <v>331</v>
      </c>
      <c r="C41" s="113" t="s">
        <v>22</v>
      </c>
      <c r="D41" s="116">
        <v>1</v>
      </c>
      <c r="E41" s="116">
        <v>1</v>
      </c>
      <c r="F41" s="117"/>
      <c r="G41" s="157">
        <f t="shared" si="11"/>
        <v>0</v>
      </c>
      <c r="H41" s="74"/>
      <c r="I41" s="74">
        <f t="shared" si="12"/>
        <v>0</v>
      </c>
      <c r="J41" s="74"/>
      <c r="K41" s="74">
        <f t="shared" si="13"/>
        <v>0</v>
      </c>
      <c r="L41" s="74">
        <v>6</v>
      </c>
      <c r="M41" s="178">
        <f>L41*D41</f>
        <v>6</v>
      </c>
      <c r="N41" s="164">
        <v>1.04</v>
      </c>
      <c r="O41" s="164">
        <f t="shared" si="15"/>
        <v>1.04</v>
      </c>
    </row>
    <row r="42" spans="1:15" ht="14.45" customHeight="1" x14ac:dyDescent="0.25">
      <c r="A42" s="337" t="s">
        <v>242</v>
      </c>
      <c r="B42" s="338"/>
      <c r="C42" s="338"/>
      <c r="D42" s="338"/>
      <c r="E42" s="338"/>
      <c r="F42" s="339"/>
      <c r="G42" s="117">
        <f>SUM(G34:G41)</f>
        <v>496</v>
      </c>
      <c r="H42" s="158"/>
      <c r="I42" s="158"/>
      <c r="J42" s="158"/>
      <c r="K42" s="158"/>
      <c r="N42" s="334">
        <f>SUM(O34:O41)</f>
        <v>734.47333333333324</v>
      </c>
      <c r="O42" s="318"/>
    </row>
    <row r="43" spans="1:15" ht="14.45" customHeight="1" x14ac:dyDescent="0.25">
      <c r="A43" s="337" t="s">
        <v>231</v>
      </c>
      <c r="B43" s="338"/>
      <c r="C43" s="338"/>
      <c r="D43" s="338"/>
      <c r="E43" s="338"/>
      <c r="F43" s="339"/>
      <c r="G43" s="117">
        <f>G42/12</f>
        <v>41.333333333333336</v>
      </c>
      <c r="H43" s="158"/>
      <c r="I43" s="158"/>
      <c r="J43" s="158"/>
      <c r="K43" s="158"/>
      <c r="N43" s="334">
        <f>N42/12</f>
        <v>61.206111111111106</v>
      </c>
      <c r="O43" s="318"/>
    </row>
    <row r="44" spans="1:15" x14ac:dyDescent="0.25">
      <c r="A44" s="113" t="s">
        <v>262</v>
      </c>
      <c r="B44" s="114" t="s">
        <v>263</v>
      </c>
      <c r="C44" s="113"/>
      <c r="D44" s="113"/>
      <c r="E44" s="113"/>
      <c r="F44" s="113"/>
      <c r="G44" s="117"/>
      <c r="H44" s="158"/>
      <c r="I44" s="158"/>
      <c r="J44" s="158"/>
      <c r="K44" s="158"/>
    </row>
    <row r="45" spans="1:15" x14ac:dyDescent="0.25">
      <c r="A45" s="113" t="s">
        <v>92</v>
      </c>
      <c r="B45" s="118" t="s">
        <v>225</v>
      </c>
      <c r="C45" s="113" t="s">
        <v>22</v>
      </c>
      <c r="D45" s="116">
        <v>3</v>
      </c>
      <c r="E45" s="116">
        <v>6</v>
      </c>
      <c r="F45" s="117"/>
      <c r="G45" s="117">
        <f t="shared" ref="G45:G51" si="16">E45*F45</f>
        <v>0</v>
      </c>
      <c r="H45" s="117">
        <v>32</v>
      </c>
      <c r="I45" s="117">
        <f>H45*E45</f>
        <v>192</v>
      </c>
      <c r="J45" s="117">
        <v>37</v>
      </c>
      <c r="K45" s="117">
        <f>J45*E45</f>
        <v>222</v>
      </c>
      <c r="L45" s="117"/>
      <c r="M45" s="157">
        <f t="shared" ref="M45:M51" si="17">G45*L45</f>
        <v>0</v>
      </c>
      <c r="N45" s="164">
        <f>AVERAGE(J45,H45)</f>
        <v>34.5</v>
      </c>
      <c r="O45" s="164">
        <f>N45*E45</f>
        <v>207</v>
      </c>
    </row>
    <row r="46" spans="1:15" x14ac:dyDescent="0.25">
      <c r="A46" s="113" t="s">
        <v>97</v>
      </c>
      <c r="B46" s="115" t="s">
        <v>336</v>
      </c>
      <c r="C46" s="113" t="s">
        <v>22</v>
      </c>
      <c r="D46" s="116">
        <v>4</v>
      </c>
      <c r="E46" s="116">
        <v>8</v>
      </c>
      <c r="F46" s="117"/>
      <c r="G46" s="117">
        <f t="shared" si="16"/>
        <v>0</v>
      </c>
      <c r="H46" s="117">
        <v>44.98</v>
      </c>
      <c r="I46" s="117">
        <f t="shared" ref="I46:I51" si="18">H46*E46</f>
        <v>359.84</v>
      </c>
      <c r="J46" s="117">
        <v>40</v>
      </c>
      <c r="K46" s="117">
        <f t="shared" ref="K46:K51" si="19">J46*E46</f>
        <v>320</v>
      </c>
      <c r="L46" s="117"/>
      <c r="M46" s="157">
        <f t="shared" si="17"/>
        <v>0</v>
      </c>
      <c r="N46" s="164">
        <f>AVERAGE(H46,J46)</f>
        <v>42.489999999999995</v>
      </c>
      <c r="O46" s="164">
        <f t="shared" ref="O46:O51" si="20">N46*E46</f>
        <v>339.91999999999996</v>
      </c>
    </row>
    <row r="47" spans="1:15" x14ac:dyDescent="0.25">
      <c r="A47" s="113" t="s">
        <v>264</v>
      </c>
      <c r="B47" s="115" t="s">
        <v>224</v>
      </c>
      <c r="C47" s="113" t="s">
        <v>11</v>
      </c>
      <c r="D47" s="116">
        <v>4</v>
      </c>
      <c r="E47" s="116">
        <v>8</v>
      </c>
      <c r="F47" s="117"/>
      <c r="G47" s="117">
        <f t="shared" si="16"/>
        <v>0</v>
      </c>
      <c r="H47" s="117">
        <v>5.5</v>
      </c>
      <c r="I47" s="117">
        <f t="shared" si="18"/>
        <v>44</v>
      </c>
      <c r="J47" s="117">
        <v>5</v>
      </c>
      <c r="K47" s="117">
        <f t="shared" si="19"/>
        <v>40</v>
      </c>
      <c r="L47" s="117"/>
      <c r="M47" s="157">
        <f t="shared" si="17"/>
        <v>0</v>
      </c>
      <c r="N47" s="164">
        <f>AVERAGE(H47,J47)</f>
        <v>5.25</v>
      </c>
      <c r="O47" s="164">
        <f t="shared" si="20"/>
        <v>42</v>
      </c>
    </row>
    <row r="48" spans="1:15" x14ac:dyDescent="0.25">
      <c r="A48" s="113" t="s">
        <v>265</v>
      </c>
      <c r="B48" s="115" t="s">
        <v>219</v>
      </c>
      <c r="C48" s="113" t="s">
        <v>11</v>
      </c>
      <c r="D48" s="116">
        <v>2</v>
      </c>
      <c r="E48" s="116">
        <v>4</v>
      </c>
      <c r="F48" s="117"/>
      <c r="G48" s="117">
        <f t="shared" si="16"/>
        <v>0</v>
      </c>
      <c r="H48" s="117">
        <v>51.65</v>
      </c>
      <c r="I48" s="117">
        <f t="shared" si="18"/>
        <v>206.6</v>
      </c>
      <c r="J48" s="117">
        <v>35</v>
      </c>
      <c r="K48" s="117">
        <f t="shared" si="19"/>
        <v>140</v>
      </c>
      <c r="L48" s="117"/>
      <c r="M48" s="157">
        <f t="shared" si="17"/>
        <v>0</v>
      </c>
      <c r="N48" s="164">
        <f>AVERAGE(J48,H48)</f>
        <v>43.325000000000003</v>
      </c>
      <c r="O48" s="164">
        <f t="shared" si="20"/>
        <v>173.3</v>
      </c>
    </row>
    <row r="49" spans="1:15" x14ac:dyDescent="0.25">
      <c r="A49" s="113" t="s">
        <v>266</v>
      </c>
      <c r="B49" s="115" t="s">
        <v>337</v>
      </c>
      <c r="C49" s="113" t="s">
        <v>22</v>
      </c>
      <c r="D49" s="116">
        <v>2</v>
      </c>
      <c r="E49" s="116">
        <v>4</v>
      </c>
      <c r="F49" s="117"/>
      <c r="G49" s="117">
        <f t="shared" si="16"/>
        <v>0</v>
      </c>
      <c r="H49" s="117">
        <v>10.99</v>
      </c>
      <c r="I49" s="117">
        <f t="shared" si="18"/>
        <v>43.96</v>
      </c>
      <c r="J49" s="117">
        <v>10</v>
      </c>
      <c r="K49" s="117">
        <f t="shared" si="19"/>
        <v>40</v>
      </c>
      <c r="L49" s="117"/>
      <c r="M49" s="157">
        <f t="shared" si="17"/>
        <v>0</v>
      </c>
      <c r="N49" s="164">
        <f>AVERAGE(J49,H49)</f>
        <v>10.495000000000001</v>
      </c>
      <c r="O49" s="164">
        <f t="shared" si="20"/>
        <v>41.980000000000004</v>
      </c>
    </row>
    <row r="50" spans="1:15" x14ac:dyDescent="0.25">
      <c r="A50" s="113" t="s">
        <v>267</v>
      </c>
      <c r="B50" s="115" t="s">
        <v>260</v>
      </c>
      <c r="C50" s="113" t="s">
        <v>22</v>
      </c>
      <c r="D50" s="116">
        <v>1</v>
      </c>
      <c r="E50" s="116">
        <v>2</v>
      </c>
      <c r="F50" s="117"/>
      <c r="G50" s="117">
        <f t="shared" si="16"/>
        <v>0</v>
      </c>
      <c r="H50" s="117">
        <v>0</v>
      </c>
      <c r="I50" s="117">
        <f t="shared" si="18"/>
        <v>0</v>
      </c>
      <c r="J50" s="117"/>
      <c r="K50" s="117">
        <f t="shared" si="19"/>
        <v>0</v>
      </c>
      <c r="L50" s="117"/>
      <c r="M50" s="157">
        <f t="shared" si="17"/>
        <v>0</v>
      </c>
      <c r="N50" s="164">
        <v>20.79</v>
      </c>
      <c r="O50" s="164">
        <f t="shared" si="20"/>
        <v>41.58</v>
      </c>
    </row>
    <row r="51" spans="1:15" x14ac:dyDescent="0.25">
      <c r="A51" s="113" t="s">
        <v>268</v>
      </c>
      <c r="B51" s="115" t="s">
        <v>331</v>
      </c>
      <c r="C51" s="113" t="s">
        <v>22</v>
      </c>
      <c r="D51" s="116">
        <v>1</v>
      </c>
      <c r="E51" s="116">
        <v>1</v>
      </c>
      <c r="F51" s="117"/>
      <c r="G51" s="117">
        <f t="shared" si="16"/>
        <v>0</v>
      </c>
      <c r="H51" s="117">
        <v>0</v>
      </c>
      <c r="I51" s="117">
        <f t="shared" si="18"/>
        <v>0</v>
      </c>
      <c r="J51" s="117"/>
      <c r="K51" s="117">
        <f t="shared" si="19"/>
        <v>0</v>
      </c>
      <c r="L51" s="117"/>
      <c r="M51" s="157">
        <f t="shared" si="17"/>
        <v>0</v>
      </c>
      <c r="N51" s="164">
        <v>1.04</v>
      </c>
      <c r="O51" s="164">
        <f t="shared" si="20"/>
        <v>1.04</v>
      </c>
    </row>
    <row r="52" spans="1:15" ht="14.45" customHeight="1" x14ac:dyDescent="0.25">
      <c r="A52" s="337" t="s">
        <v>242</v>
      </c>
      <c r="B52" s="338"/>
      <c r="C52" s="338"/>
      <c r="D52" s="338"/>
      <c r="E52" s="338"/>
      <c r="F52" s="339"/>
      <c r="G52" s="117">
        <f>SUM(G45:G51)</f>
        <v>0</v>
      </c>
      <c r="H52" s="158"/>
      <c r="I52" s="158"/>
      <c r="J52" s="158"/>
      <c r="K52" s="158"/>
      <c r="N52" s="334">
        <f>SUM(O45:O51)</f>
        <v>846.82</v>
      </c>
      <c r="O52" s="318"/>
    </row>
    <row r="53" spans="1:15" ht="14.45" customHeight="1" x14ac:dyDescent="0.25">
      <c r="A53" s="337" t="s">
        <v>231</v>
      </c>
      <c r="B53" s="338"/>
      <c r="C53" s="338"/>
      <c r="D53" s="338"/>
      <c r="E53" s="338"/>
      <c r="F53" s="339"/>
      <c r="G53" s="117">
        <f>G52/12</f>
        <v>0</v>
      </c>
      <c r="H53" s="158"/>
      <c r="I53" s="158"/>
      <c r="J53" s="158"/>
      <c r="K53" s="158"/>
      <c r="N53" s="334">
        <f>N52/12</f>
        <v>70.568333333333342</v>
      </c>
      <c r="O53" s="318"/>
    </row>
    <row r="54" spans="1:15" x14ac:dyDescent="0.25">
      <c r="A54" s="113" t="s">
        <v>269</v>
      </c>
      <c r="B54" s="114" t="s">
        <v>270</v>
      </c>
      <c r="C54" s="113"/>
      <c r="D54" s="113"/>
      <c r="E54" s="113"/>
      <c r="F54" s="113"/>
      <c r="G54" s="117"/>
      <c r="H54" s="117"/>
      <c r="I54" s="117"/>
      <c r="J54" s="117"/>
      <c r="K54" s="117"/>
      <c r="L54" s="113"/>
      <c r="M54" s="117"/>
      <c r="N54" s="167"/>
    </row>
    <row r="55" spans="1:15" x14ac:dyDescent="0.25">
      <c r="A55" s="113" t="s">
        <v>271</v>
      </c>
      <c r="B55" s="118" t="s">
        <v>225</v>
      </c>
      <c r="C55" s="113" t="s">
        <v>22</v>
      </c>
      <c r="D55" s="116">
        <v>3</v>
      </c>
      <c r="E55" s="116">
        <v>6</v>
      </c>
      <c r="F55" s="117">
        <v>29</v>
      </c>
      <c r="G55" s="117">
        <f t="shared" ref="G55:G60" si="21">E55*F55</f>
        <v>174</v>
      </c>
      <c r="H55" s="117">
        <v>35</v>
      </c>
      <c r="I55" s="117">
        <f>H55*E55</f>
        <v>210</v>
      </c>
      <c r="J55" s="117"/>
      <c r="K55" s="117"/>
      <c r="L55" s="117"/>
      <c r="M55" s="157">
        <f t="shared" ref="M55:M60" si="22">G55*L55</f>
        <v>0</v>
      </c>
      <c r="N55" s="164">
        <f>AVERAGE(H55,F55)</f>
        <v>32</v>
      </c>
      <c r="O55" s="164">
        <f>N55*E55</f>
        <v>192</v>
      </c>
    </row>
    <row r="56" spans="1:15" x14ac:dyDescent="0.25">
      <c r="A56" s="113" t="s">
        <v>272</v>
      </c>
      <c r="B56" s="115" t="s">
        <v>338</v>
      </c>
      <c r="C56" s="113" t="s">
        <v>22</v>
      </c>
      <c r="D56" s="116">
        <v>4</v>
      </c>
      <c r="E56" s="116">
        <v>8</v>
      </c>
      <c r="F56" s="117">
        <v>19</v>
      </c>
      <c r="G56" s="117">
        <f t="shared" si="21"/>
        <v>152</v>
      </c>
      <c r="H56" s="117">
        <v>25</v>
      </c>
      <c r="I56" s="117">
        <f t="shared" ref="I56:I60" si="23">H56*E56</f>
        <v>200</v>
      </c>
      <c r="J56" s="117"/>
      <c r="K56" s="117"/>
      <c r="L56" s="117"/>
      <c r="M56" s="157">
        <f t="shared" si="22"/>
        <v>0</v>
      </c>
      <c r="N56" s="164">
        <f t="shared" ref="N56:N58" si="24">AVERAGE(H56,F56)</f>
        <v>22</v>
      </c>
      <c r="O56" s="164">
        <f t="shared" ref="O56:O60" si="25">N56*E56</f>
        <v>176</v>
      </c>
    </row>
    <row r="57" spans="1:15" x14ac:dyDescent="0.25">
      <c r="A57" s="113" t="s">
        <v>273</v>
      </c>
      <c r="B57" s="115" t="s">
        <v>224</v>
      </c>
      <c r="C57" s="113" t="s">
        <v>11</v>
      </c>
      <c r="D57" s="116">
        <v>4</v>
      </c>
      <c r="E57" s="116">
        <v>8</v>
      </c>
      <c r="F57" s="117">
        <v>7.5</v>
      </c>
      <c r="G57" s="117">
        <f t="shared" si="21"/>
        <v>60</v>
      </c>
      <c r="H57" s="117">
        <v>5.5</v>
      </c>
      <c r="I57" s="117">
        <f t="shared" si="23"/>
        <v>44</v>
      </c>
      <c r="J57" s="117"/>
      <c r="K57" s="117"/>
      <c r="L57" s="117"/>
      <c r="M57" s="157">
        <f t="shared" si="22"/>
        <v>0</v>
      </c>
      <c r="N57" s="164">
        <f t="shared" si="24"/>
        <v>6.5</v>
      </c>
      <c r="O57" s="164">
        <f t="shared" si="25"/>
        <v>52</v>
      </c>
    </row>
    <row r="58" spans="1:15" x14ac:dyDescent="0.25">
      <c r="A58" s="113" t="s">
        <v>274</v>
      </c>
      <c r="B58" s="115" t="s">
        <v>226</v>
      </c>
      <c r="C58" s="113" t="s">
        <v>11</v>
      </c>
      <c r="D58" s="116">
        <v>2</v>
      </c>
      <c r="E58" s="116">
        <v>4</v>
      </c>
      <c r="F58" s="117">
        <v>58.9</v>
      </c>
      <c r="G58" s="117">
        <f t="shared" si="21"/>
        <v>235.6</v>
      </c>
      <c r="H58" s="117">
        <v>30.5</v>
      </c>
      <c r="I58" s="117">
        <f t="shared" si="23"/>
        <v>122</v>
      </c>
      <c r="J58" s="117"/>
      <c r="K58" s="117"/>
      <c r="L58" s="117"/>
      <c r="M58" s="157">
        <f t="shared" si="22"/>
        <v>0</v>
      </c>
      <c r="N58" s="164">
        <f t="shared" si="24"/>
        <v>44.7</v>
      </c>
      <c r="O58" s="164">
        <f t="shared" si="25"/>
        <v>178.8</v>
      </c>
    </row>
    <row r="59" spans="1:15" x14ac:dyDescent="0.25">
      <c r="A59" s="113" t="s">
        <v>275</v>
      </c>
      <c r="B59" s="115" t="s">
        <v>260</v>
      </c>
      <c r="C59" s="113" t="s">
        <v>22</v>
      </c>
      <c r="D59" s="116">
        <v>1</v>
      </c>
      <c r="E59" s="116">
        <v>2</v>
      </c>
      <c r="F59" s="117"/>
      <c r="G59" s="117">
        <f t="shared" si="21"/>
        <v>0</v>
      </c>
      <c r="H59" s="117"/>
      <c r="I59" s="117">
        <f t="shared" si="23"/>
        <v>0</v>
      </c>
      <c r="J59" s="117"/>
      <c r="K59" s="117"/>
      <c r="L59" s="117"/>
      <c r="M59" s="157">
        <f t="shared" si="22"/>
        <v>0</v>
      </c>
      <c r="N59" s="164">
        <v>20.79</v>
      </c>
      <c r="O59" s="164">
        <f t="shared" si="25"/>
        <v>41.58</v>
      </c>
    </row>
    <row r="60" spans="1:15" x14ac:dyDescent="0.25">
      <c r="A60" s="113" t="s">
        <v>276</v>
      </c>
      <c r="B60" s="115" t="s">
        <v>331</v>
      </c>
      <c r="C60" s="113" t="s">
        <v>22</v>
      </c>
      <c r="D60" s="116">
        <v>1</v>
      </c>
      <c r="E60" s="116">
        <v>1</v>
      </c>
      <c r="F60" s="117"/>
      <c r="G60" s="117">
        <f t="shared" si="21"/>
        <v>0</v>
      </c>
      <c r="H60" s="117"/>
      <c r="I60" s="117">
        <f t="shared" si="23"/>
        <v>0</v>
      </c>
      <c r="J60" s="117"/>
      <c r="K60" s="117"/>
      <c r="L60" s="117"/>
      <c r="M60" s="157">
        <f t="shared" si="22"/>
        <v>0</v>
      </c>
      <c r="N60" s="164">
        <v>1.04</v>
      </c>
      <c r="O60" s="164">
        <f t="shared" si="25"/>
        <v>1.04</v>
      </c>
    </row>
    <row r="61" spans="1:15" ht="14.45" customHeight="1" x14ac:dyDescent="0.25">
      <c r="A61" s="337" t="s">
        <v>242</v>
      </c>
      <c r="B61" s="338"/>
      <c r="C61" s="338"/>
      <c r="D61" s="338"/>
      <c r="E61" s="338"/>
      <c r="F61" s="339"/>
      <c r="G61" s="117">
        <f>SUM(G55:G60)</f>
        <v>621.6</v>
      </c>
      <c r="H61" s="158"/>
      <c r="I61" s="158"/>
      <c r="J61" s="158"/>
      <c r="K61" s="158"/>
      <c r="N61" s="334">
        <f>SUM(O55:O60)</f>
        <v>641.41999999999996</v>
      </c>
      <c r="O61" s="318"/>
    </row>
    <row r="62" spans="1:15" ht="14.45" customHeight="1" x14ac:dyDescent="0.25">
      <c r="A62" s="337" t="s">
        <v>231</v>
      </c>
      <c r="B62" s="338"/>
      <c r="C62" s="338"/>
      <c r="D62" s="338"/>
      <c r="E62" s="338"/>
      <c r="F62" s="339"/>
      <c r="G62" s="117">
        <f>G61/12</f>
        <v>51.800000000000004</v>
      </c>
      <c r="H62" s="158"/>
      <c r="I62" s="158"/>
      <c r="J62" s="158"/>
      <c r="K62" s="158"/>
      <c r="N62" s="334">
        <f>N61/12</f>
        <v>53.451666666666661</v>
      </c>
      <c r="O62" s="318"/>
    </row>
  </sheetData>
  <mergeCells count="49">
    <mergeCell ref="F7:M7"/>
    <mergeCell ref="H8:I8"/>
    <mergeCell ref="A6:M6"/>
    <mergeCell ref="L8:M8"/>
    <mergeCell ref="L9:L10"/>
    <mergeCell ref="M9:M10"/>
    <mergeCell ref="J9:J10"/>
    <mergeCell ref="K9:K10"/>
    <mergeCell ref="J8:K8"/>
    <mergeCell ref="I9:I10"/>
    <mergeCell ref="F8:G8"/>
    <mergeCell ref="G9:G10"/>
    <mergeCell ref="A7:E7"/>
    <mergeCell ref="D9:D10"/>
    <mergeCell ref="E9:E10"/>
    <mergeCell ref="A8:A10"/>
    <mergeCell ref="B8:B10"/>
    <mergeCell ref="C8:C10"/>
    <mergeCell ref="D8:E8"/>
    <mergeCell ref="A62:F62"/>
    <mergeCell ref="A52:F52"/>
    <mergeCell ref="A53:F53"/>
    <mergeCell ref="A61:F61"/>
    <mergeCell ref="N62:O62"/>
    <mergeCell ref="A43:F43"/>
    <mergeCell ref="F9:F10"/>
    <mergeCell ref="A20:F20"/>
    <mergeCell ref="A21:F21"/>
    <mergeCell ref="N61:O61"/>
    <mergeCell ref="N52:O52"/>
    <mergeCell ref="H9:H10"/>
    <mergeCell ref="A32:F32"/>
    <mergeCell ref="N53:O53"/>
    <mergeCell ref="A42:F42"/>
    <mergeCell ref="A31:F31"/>
    <mergeCell ref="N6:O8"/>
    <mergeCell ref="N31:O31"/>
    <mergeCell ref="N32:O32"/>
    <mergeCell ref="N42:O42"/>
    <mergeCell ref="N43:O43"/>
    <mergeCell ref="N9:N10"/>
    <mergeCell ref="O9:O10"/>
    <mergeCell ref="N20:O20"/>
    <mergeCell ref="N21:O21"/>
    <mergeCell ref="A1:O1"/>
    <mergeCell ref="A2:O2"/>
    <mergeCell ref="A3:O3"/>
    <mergeCell ref="A4:O4"/>
    <mergeCell ref="A5:O5"/>
  </mergeCells>
  <pageMargins left="0.511811024" right="0.511811024" top="0.78740157499999996" bottom="0.78740157499999996" header="0.31496062000000002" footer="0.31496062000000002"/>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64"/>
  <sheetViews>
    <sheetView zoomScaleNormal="100" workbookViewId="0">
      <selection activeCell="S64" sqref="S64:T64"/>
    </sheetView>
  </sheetViews>
  <sheetFormatPr defaultRowHeight="15" x14ac:dyDescent="0.25"/>
  <cols>
    <col min="1" max="1" width="4.7109375" customWidth="1"/>
    <col min="2" max="2" width="41.85546875" customWidth="1"/>
    <col min="3" max="3" width="6.7109375" customWidth="1"/>
    <col min="4" max="4" width="7.28515625" customWidth="1"/>
    <col min="5" max="5" width="9.140625" bestFit="1" customWidth="1"/>
    <col min="6" max="6" width="12.5703125" bestFit="1" customWidth="1"/>
    <col min="7" max="7" width="7.7109375" customWidth="1"/>
    <col min="8" max="8" width="12.42578125" customWidth="1"/>
    <col min="9" max="9" width="10.140625" customWidth="1"/>
    <col min="10" max="10" width="9.7109375" customWidth="1"/>
    <col min="11" max="11" width="7.85546875" customWidth="1"/>
    <col min="12" max="12" width="9.140625" bestFit="1" customWidth="1"/>
    <col min="14" max="14" width="9.85546875" bestFit="1" customWidth="1"/>
    <col min="19" max="19" width="10.7109375" bestFit="1" customWidth="1"/>
    <col min="20" max="20" width="11.7109375" bestFit="1" customWidth="1"/>
  </cols>
  <sheetData>
    <row r="1" spans="1:23" x14ac:dyDescent="0.25">
      <c r="A1" s="319" t="s">
        <v>0</v>
      </c>
      <c r="B1" s="319"/>
      <c r="C1" s="319"/>
      <c r="D1" s="319"/>
      <c r="E1" s="319"/>
      <c r="F1" s="319"/>
      <c r="G1" s="319"/>
      <c r="H1" s="319"/>
      <c r="I1" s="319"/>
      <c r="J1" s="319"/>
      <c r="K1" s="319"/>
      <c r="L1" s="319"/>
      <c r="M1" s="319"/>
      <c r="N1" s="319"/>
      <c r="O1" s="319"/>
      <c r="P1" s="319"/>
      <c r="Q1" s="319"/>
      <c r="R1" s="319"/>
      <c r="S1" s="319"/>
      <c r="T1" s="319"/>
    </row>
    <row r="2" spans="1:23" x14ac:dyDescent="0.25">
      <c r="A2" s="319" t="s">
        <v>1</v>
      </c>
      <c r="B2" s="319"/>
      <c r="C2" s="319"/>
      <c r="D2" s="319"/>
      <c r="E2" s="319"/>
      <c r="F2" s="319"/>
      <c r="G2" s="319"/>
      <c r="H2" s="319"/>
      <c r="I2" s="319"/>
      <c r="J2" s="319"/>
      <c r="K2" s="319"/>
      <c r="L2" s="319"/>
      <c r="M2" s="319"/>
      <c r="N2" s="319"/>
      <c r="O2" s="319"/>
      <c r="P2" s="319"/>
      <c r="Q2" s="319"/>
      <c r="R2" s="319"/>
      <c r="S2" s="319"/>
      <c r="T2" s="319"/>
    </row>
    <row r="3" spans="1:23" x14ac:dyDescent="0.25">
      <c r="A3" s="319" t="s">
        <v>2</v>
      </c>
      <c r="B3" s="319"/>
      <c r="C3" s="319"/>
      <c r="D3" s="319"/>
      <c r="E3" s="319"/>
      <c r="F3" s="319"/>
      <c r="G3" s="319"/>
      <c r="H3" s="319"/>
      <c r="I3" s="319"/>
      <c r="J3" s="319"/>
      <c r="K3" s="319"/>
      <c r="L3" s="319"/>
      <c r="M3" s="319"/>
      <c r="N3" s="319"/>
      <c r="O3" s="319"/>
      <c r="P3" s="319"/>
      <c r="Q3" s="319"/>
      <c r="R3" s="319"/>
      <c r="S3" s="319"/>
      <c r="T3" s="319"/>
    </row>
    <row r="4" spans="1:23" x14ac:dyDescent="0.25">
      <c r="A4" s="319" t="s">
        <v>3</v>
      </c>
      <c r="B4" s="319"/>
      <c r="C4" s="319"/>
      <c r="D4" s="319"/>
      <c r="E4" s="319"/>
      <c r="F4" s="319"/>
      <c r="G4" s="319"/>
      <c r="H4" s="319"/>
      <c r="I4" s="319"/>
      <c r="J4" s="319"/>
      <c r="K4" s="319"/>
      <c r="L4" s="319"/>
      <c r="M4" s="319"/>
      <c r="N4" s="319"/>
      <c r="O4" s="319"/>
      <c r="P4" s="319"/>
      <c r="Q4" s="319"/>
      <c r="R4" s="319"/>
      <c r="S4" s="319"/>
      <c r="T4" s="319"/>
    </row>
    <row r="5" spans="1:23" x14ac:dyDescent="0.25">
      <c r="A5" s="319" t="s">
        <v>4</v>
      </c>
      <c r="B5" s="319"/>
      <c r="C5" s="319"/>
      <c r="D5" s="319"/>
      <c r="E5" s="319"/>
      <c r="F5" s="319"/>
      <c r="G5" s="319"/>
      <c r="H5" s="319"/>
      <c r="I5" s="319"/>
      <c r="J5" s="319"/>
      <c r="K5" s="319"/>
      <c r="L5" s="319"/>
      <c r="M5" s="319"/>
      <c r="N5" s="319"/>
      <c r="O5" s="319"/>
      <c r="P5" s="319"/>
      <c r="Q5" s="319"/>
      <c r="R5" s="319"/>
      <c r="S5" s="319"/>
      <c r="T5" s="319"/>
    </row>
    <row r="6" spans="1:23" x14ac:dyDescent="0.25">
      <c r="A6" s="319"/>
      <c r="B6" s="319"/>
      <c r="C6" s="319"/>
      <c r="D6" s="319"/>
      <c r="E6" s="319"/>
      <c r="F6" s="319"/>
      <c r="G6" s="319"/>
      <c r="H6" s="319"/>
      <c r="I6" s="319"/>
      <c r="J6" s="319"/>
      <c r="K6" s="319"/>
      <c r="L6" s="319"/>
      <c r="M6" s="319"/>
      <c r="N6" s="319"/>
      <c r="O6" s="319"/>
      <c r="P6" s="319"/>
      <c r="Q6" s="319"/>
      <c r="R6" s="319"/>
      <c r="S6" s="319"/>
      <c r="T6" s="319"/>
    </row>
    <row r="7" spans="1:23" ht="38.450000000000003" customHeight="1" x14ac:dyDescent="0.25">
      <c r="A7" s="353" t="s">
        <v>396</v>
      </c>
      <c r="B7" s="353"/>
      <c r="C7" s="353"/>
      <c r="D7" s="353"/>
      <c r="E7" s="353"/>
      <c r="F7" s="353"/>
      <c r="G7" s="353" t="s">
        <v>414</v>
      </c>
      <c r="H7" s="353"/>
      <c r="I7" s="353"/>
      <c r="J7" s="353"/>
      <c r="K7" s="353"/>
      <c r="L7" s="353"/>
      <c r="M7" s="353"/>
      <c r="N7" s="353"/>
      <c r="O7" s="353"/>
      <c r="P7" s="353"/>
      <c r="Q7" s="355" t="s">
        <v>433</v>
      </c>
      <c r="R7" s="355"/>
      <c r="S7" s="356" t="s">
        <v>413</v>
      </c>
      <c r="T7" s="356"/>
    </row>
    <row r="8" spans="1:23" ht="46.5" customHeight="1" x14ac:dyDescent="0.25">
      <c r="A8" s="359" t="s">
        <v>5</v>
      </c>
      <c r="B8" s="358" t="s">
        <v>342</v>
      </c>
      <c r="C8" s="358" t="s">
        <v>6</v>
      </c>
      <c r="D8" s="358" t="s">
        <v>355</v>
      </c>
      <c r="E8" s="360" t="s">
        <v>412</v>
      </c>
      <c r="F8" s="361"/>
      <c r="G8" s="357" t="s">
        <v>400</v>
      </c>
      <c r="H8" s="357"/>
      <c r="I8" s="364" t="s">
        <v>410</v>
      </c>
      <c r="J8" s="365"/>
      <c r="K8" s="364" t="s">
        <v>403</v>
      </c>
      <c r="L8" s="365"/>
      <c r="M8" s="357" t="s">
        <v>402</v>
      </c>
      <c r="N8" s="357"/>
      <c r="O8" s="357" t="s">
        <v>407</v>
      </c>
      <c r="P8" s="357"/>
      <c r="Q8" s="355"/>
      <c r="R8" s="355"/>
      <c r="S8" s="356"/>
      <c r="T8" s="356"/>
    </row>
    <row r="9" spans="1:23" ht="27" customHeight="1" x14ac:dyDescent="0.25">
      <c r="A9" s="359"/>
      <c r="B9" s="358"/>
      <c r="C9" s="358"/>
      <c r="D9" s="358"/>
      <c r="E9" s="362"/>
      <c r="F9" s="363"/>
      <c r="G9" s="150" t="s">
        <v>15</v>
      </c>
      <c r="H9" s="150" t="s">
        <v>17</v>
      </c>
      <c r="I9" s="150" t="s">
        <v>15</v>
      </c>
      <c r="J9" s="150" t="s">
        <v>17</v>
      </c>
      <c r="K9" s="150" t="s">
        <v>15</v>
      </c>
      <c r="L9" s="150" t="s">
        <v>17</v>
      </c>
      <c r="M9" s="150" t="s">
        <v>15</v>
      </c>
      <c r="N9" s="150" t="s">
        <v>17</v>
      </c>
      <c r="O9" s="150" t="s">
        <v>15</v>
      </c>
      <c r="P9" s="150" t="s">
        <v>17</v>
      </c>
      <c r="Q9" s="150" t="s">
        <v>15</v>
      </c>
      <c r="R9" s="150" t="s">
        <v>17</v>
      </c>
      <c r="S9" s="150" t="s">
        <v>15</v>
      </c>
      <c r="T9" s="150" t="s">
        <v>17</v>
      </c>
    </row>
    <row r="10" spans="1:23" ht="45.6" customHeight="1" x14ac:dyDescent="0.25">
      <c r="A10" s="108">
        <v>1</v>
      </c>
      <c r="B10" s="151" t="s">
        <v>343</v>
      </c>
      <c r="C10" s="108" t="s">
        <v>199</v>
      </c>
      <c r="D10" s="153">
        <v>1200</v>
      </c>
      <c r="E10" s="162">
        <v>13.47</v>
      </c>
      <c r="F10" s="163">
        <f>E10*D10</f>
        <v>16164</v>
      </c>
      <c r="G10" s="74">
        <v>0</v>
      </c>
      <c r="H10" s="76">
        <f>D10*G10</f>
        <v>0</v>
      </c>
      <c r="I10" s="76"/>
      <c r="J10" s="76"/>
      <c r="K10" s="76">
        <v>0</v>
      </c>
      <c r="L10" s="76">
        <f>K10*D10</f>
        <v>0</v>
      </c>
      <c r="M10" s="74">
        <v>0</v>
      </c>
      <c r="N10" s="76">
        <f>M10*D10</f>
        <v>0</v>
      </c>
      <c r="O10" s="74">
        <v>0</v>
      </c>
      <c r="P10" s="76">
        <f>O10*D10</f>
        <v>0</v>
      </c>
      <c r="Q10" s="76">
        <v>23.75</v>
      </c>
      <c r="R10" s="76">
        <f t="shared" ref="R10:R15" si="0">Q10*D10</f>
        <v>28500</v>
      </c>
      <c r="S10" s="164">
        <f>AVERAGE(E10,(Q10))</f>
        <v>18.61</v>
      </c>
      <c r="T10" s="164">
        <f>S10*D10</f>
        <v>22332</v>
      </c>
    </row>
    <row r="11" spans="1:23" ht="46.15" customHeight="1" x14ac:dyDescent="0.25">
      <c r="A11" s="108">
        <v>2</v>
      </c>
      <c r="B11" s="151" t="s">
        <v>344</v>
      </c>
      <c r="C11" s="108" t="s">
        <v>26</v>
      </c>
      <c r="D11" s="153">
        <v>1200</v>
      </c>
      <c r="E11" s="162">
        <v>3.12</v>
      </c>
      <c r="F11" s="163">
        <f t="shared" ref="F11:F62" si="1">E11*D11</f>
        <v>3744</v>
      </c>
      <c r="G11" s="74">
        <v>0</v>
      </c>
      <c r="H11" s="76">
        <f t="shared" ref="H11:H62" si="2">D11*G11</f>
        <v>0</v>
      </c>
      <c r="I11" s="183"/>
      <c r="J11" s="76">
        <f>I11*D11</f>
        <v>0</v>
      </c>
      <c r="K11" s="76">
        <v>2.61</v>
      </c>
      <c r="L11" s="76">
        <f t="shared" ref="L11:L62" si="3">K11*D11</f>
        <v>3132</v>
      </c>
      <c r="M11" s="74">
        <v>0</v>
      </c>
      <c r="N11" s="76">
        <f t="shared" ref="N11:N62" si="4">M11*D11</f>
        <v>0</v>
      </c>
      <c r="O11" s="74">
        <v>0</v>
      </c>
      <c r="P11" s="76">
        <f t="shared" ref="P11:P62" si="5">O11*D11</f>
        <v>0</v>
      </c>
      <c r="Q11" s="76">
        <v>6.65</v>
      </c>
      <c r="R11" s="76">
        <f t="shared" si="0"/>
        <v>7980</v>
      </c>
      <c r="S11" s="164">
        <f>AVERAGE(E11,I11,K11,Q11)</f>
        <v>4.1266666666666669</v>
      </c>
      <c r="T11" s="164">
        <f t="shared" ref="T11:T62" si="6">S11*D11</f>
        <v>4952</v>
      </c>
      <c r="V11" s="165"/>
    </row>
    <row r="12" spans="1:23" ht="33" customHeight="1" x14ac:dyDescent="0.25">
      <c r="A12" s="108">
        <v>3</v>
      </c>
      <c r="B12" s="151" t="s">
        <v>345</v>
      </c>
      <c r="C12" s="108" t="s">
        <v>22</v>
      </c>
      <c r="D12" s="153">
        <v>36</v>
      </c>
      <c r="E12" s="162">
        <v>24.27</v>
      </c>
      <c r="F12" s="163">
        <f t="shared" si="1"/>
        <v>873.72</v>
      </c>
      <c r="G12" s="74">
        <v>0</v>
      </c>
      <c r="H12" s="76">
        <f t="shared" si="2"/>
        <v>0</v>
      </c>
      <c r="I12" s="76"/>
      <c r="J12" s="76"/>
      <c r="K12" s="76"/>
      <c r="L12" s="76">
        <f t="shared" si="3"/>
        <v>0</v>
      </c>
      <c r="M12" s="74">
        <v>0</v>
      </c>
      <c r="N12" s="76">
        <f t="shared" si="4"/>
        <v>0</v>
      </c>
      <c r="O12" s="74">
        <v>0</v>
      </c>
      <c r="P12" s="76">
        <f t="shared" si="5"/>
        <v>0</v>
      </c>
      <c r="Q12" s="76">
        <v>43.23</v>
      </c>
      <c r="R12" s="76">
        <f t="shared" si="0"/>
        <v>1556.28</v>
      </c>
      <c r="S12" s="164">
        <f>E12</f>
        <v>24.27</v>
      </c>
      <c r="T12" s="164">
        <f t="shared" si="6"/>
        <v>873.72</v>
      </c>
      <c r="V12" s="165"/>
      <c r="W12" s="165"/>
    </row>
    <row r="13" spans="1:23" ht="24.75" customHeight="1" x14ac:dyDescent="0.25">
      <c r="A13" s="108">
        <v>4</v>
      </c>
      <c r="B13" s="151" t="s">
        <v>346</v>
      </c>
      <c r="C13" s="108" t="s">
        <v>22</v>
      </c>
      <c r="D13" s="153">
        <v>432</v>
      </c>
      <c r="E13" s="162">
        <v>4.3099999999999996</v>
      </c>
      <c r="F13" s="163">
        <f t="shared" si="1"/>
        <v>1861.9199999999998</v>
      </c>
      <c r="G13" s="74">
        <v>0</v>
      </c>
      <c r="H13" s="76">
        <f t="shared" si="2"/>
        <v>0</v>
      </c>
      <c r="I13" s="76"/>
      <c r="J13" s="76"/>
      <c r="K13" s="76">
        <v>4.09</v>
      </c>
      <c r="L13" s="76">
        <f t="shared" si="3"/>
        <v>1766.8799999999999</v>
      </c>
      <c r="M13" s="74">
        <v>11.3</v>
      </c>
      <c r="N13" s="76">
        <f t="shared" si="4"/>
        <v>4881.6000000000004</v>
      </c>
      <c r="O13" s="74">
        <v>0</v>
      </c>
      <c r="P13" s="76">
        <f t="shared" si="5"/>
        <v>0</v>
      </c>
      <c r="Q13" s="76">
        <v>7.51</v>
      </c>
      <c r="R13" s="76">
        <f t="shared" si="0"/>
        <v>3244.3199999999997</v>
      </c>
      <c r="S13" s="164">
        <f>AVERAGE(E13,K13,M13,Q13)</f>
        <v>6.8025000000000002</v>
      </c>
      <c r="T13" s="164">
        <f t="shared" si="6"/>
        <v>2938.6800000000003</v>
      </c>
    </row>
    <row r="14" spans="1:23" ht="25.5" x14ac:dyDescent="0.25">
      <c r="A14" s="108">
        <v>5</v>
      </c>
      <c r="B14" s="152" t="s">
        <v>347</v>
      </c>
      <c r="C14" s="108" t="s">
        <v>24</v>
      </c>
      <c r="D14" s="153">
        <v>288</v>
      </c>
      <c r="E14" s="162">
        <v>4.16</v>
      </c>
      <c r="F14" s="163">
        <f t="shared" si="1"/>
        <v>1198.08</v>
      </c>
      <c r="G14" s="74">
        <v>5.2</v>
      </c>
      <c r="H14" s="76">
        <f t="shared" si="2"/>
        <v>1497.6000000000001</v>
      </c>
      <c r="I14" s="76">
        <v>20</v>
      </c>
      <c r="J14" s="76">
        <f>I14*D14</f>
        <v>5760</v>
      </c>
      <c r="K14" s="76">
        <v>2.35</v>
      </c>
      <c r="L14" s="76">
        <f t="shared" si="3"/>
        <v>676.80000000000007</v>
      </c>
      <c r="M14" s="74">
        <v>0</v>
      </c>
      <c r="N14" s="76">
        <f t="shared" si="4"/>
        <v>0</v>
      </c>
      <c r="O14" s="74">
        <v>8</v>
      </c>
      <c r="P14" s="76">
        <f t="shared" si="5"/>
        <v>2304</v>
      </c>
      <c r="Q14" s="76">
        <v>10.61</v>
      </c>
      <c r="R14" s="76">
        <f t="shared" si="0"/>
        <v>3055.68</v>
      </c>
      <c r="S14" s="164">
        <f>AVERAGE(E14,G14,O14)</f>
        <v>5.7866666666666662</v>
      </c>
      <c r="T14" s="164">
        <f>S14*D14</f>
        <v>1666.56</v>
      </c>
      <c r="V14" s="165"/>
    </row>
    <row r="15" spans="1:23" ht="38.25" x14ac:dyDescent="0.25">
      <c r="A15" s="108">
        <v>6</v>
      </c>
      <c r="B15" s="151" t="s">
        <v>348</v>
      </c>
      <c r="C15" s="108" t="s">
        <v>24</v>
      </c>
      <c r="D15" s="153">
        <v>576</v>
      </c>
      <c r="E15" s="162">
        <v>1.87</v>
      </c>
      <c r="F15" s="163">
        <f t="shared" si="1"/>
        <v>1077.1200000000001</v>
      </c>
      <c r="G15" s="74">
        <v>3.59</v>
      </c>
      <c r="H15" s="76">
        <f t="shared" si="2"/>
        <v>2067.84</v>
      </c>
      <c r="I15" s="76"/>
      <c r="J15" s="76"/>
      <c r="K15" s="76">
        <v>0.76</v>
      </c>
      <c r="L15" s="76">
        <f t="shared" si="3"/>
        <v>437.76</v>
      </c>
      <c r="M15" s="74">
        <v>0</v>
      </c>
      <c r="N15" s="76">
        <f t="shared" si="4"/>
        <v>0</v>
      </c>
      <c r="O15" s="74">
        <v>3</v>
      </c>
      <c r="P15" s="76">
        <f t="shared" si="5"/>
        <v>1728</v>
      </c>
      <c r="Q15" s="76">
        <v>6.01</v>
      </c>
      <c r="R15" s="76">
        <f t="shared" si="0"/>
        <v>3461.7599999999998</v>
      </c>
      <c r="S15" s="164">
        <f>AVERAGE(E15,G15,K15,O15)</f>
        <v>2.3049999999999997</v>
      </c>
      <c r="T15" s="164">
        <f t="shared" si="6"/>
        <v>1327.6799999999998</v>
      </c>
    </row>
    <row r="16" spans="1:23" ht="25.5" customHeight="1" x14ac:dyDescent="0.25">
      <c r="A16" s="108">
        <v>7</v>
      </c>
      <c r="B16" s="151" t="s">
        <v>349</v>
      </c>
      <c r="C16" s="108" t="s">
        <v>22</v>
      </c>
      <c r="D16" s="153">
        <v>144</v>
      </c>
      <c r="E16" s="162">
        <v>4.66</v>
      </c>
      <c r="F16" s="163">
        <f t="shared" si="1"/>
        <v>671.04</v>
      </c>
      <c r="G16" s="74">
        <v>0</v>
      </c>
      <c r="H16" s="76">
        <f t="shared" si="2"/>
        <v>0</v>
      </c>
      <c r="I16" s="76"/>
      <c r="J16" s="76"/>
      <c r="K16" s="76"/>
      <c r="L16" s="76">
        <f t="shared" si="3"/>
        <v>0</v>
      </c>
      <c r="M16" s="74">
        <v>0</v>
      </c>
      <c r="N16" s="76">
        <f t="shared" si="4"/>
        <v>0</v>
      </c>
      <c r="O16" s="74">
        <v>0</v>
      </c>
      <c r="P16" s="76">
        <f t="shared" si="5"/>
        <v>0</v>
      </c>
      <c r="Q16" s="76"/>
      <c r="R16" s="76">
        <f t="shared" ref="R16:R62" si="7">Q16*D16</f>
        <v>0</v>
      </c>
      <c r="S16" s="164">
        <f>E16</f>
        <v>4.66</v>
      </c>
      <c r="T16" s="164">
        <f t="shared" si="6"/>
        <v>671.04</v>
      </c>
    </row>
    <row r="17" spans="1:20" ht="25.5" x14ac:dyDescent="0.25">
      <c r="A17" s="108">
        <v>8</v>
      </c>
      <c r="B17" s="151" t="s">
        <v>350</v>
      </c>
      <c r="C17" s="108" t="s">
        <v>22</v>
      </c>
      <c r="D17" s="153">
        <v>24</v>
      </c>
      <c r="E17" s="162">
        <v>8.44</v>
      </c>
      <c r="F17" s="163">
        <f t="shared" si="1"/>
        <v>202.56</v>
      </c>
      <c r="G17" s="74">
        <v>0</v>
      </c>
      <c r="H17" s="76">
        <f t="shared" si="2"/>
        <v>0</v>
      </c>
      <c r="I17" s="76"/>
      <c r="J17" s="76"/>
      <c r="K17" s="76">
        <v>3.95</v>
      </c>
      <c r="L17" s="76">
        <f t="shared" si="3"/>
        <v>94.800000000000011</v>
      </c>
      <c r="M17" s="74">
        <v>0</v>
      </c>
      <c r="N17" s="76">
        <f t="shared" si="4"/>
        <v>0</v>
      </c>
      <c r="O17" s="74">
        <v>0</v>
      </c>
      <c r="P17" s="76">
        <f t="shared" si="5"/>
        <v>0</v>
      </c>
      <c r="Q17" s="76">
        <v>9.07</v>
      </c>
      <c r="R17" s="76">
        <f t="shared" si="7"/>
        <v>217.68</v>
      </c>
      <c r="S17" s="164">
        <f>AVERAGE(E17,Q17)</f>
        <v>8.754999999999999</v>
      </c>
      <c r="T17" s="164">
        <f t="shared" si="6"/>
        <v>210.11999999999998</v>
      </c>
    </row>
    <row r="18" spans="1:20" ht="25.5" x14ac:dyDescent="0.25">
      <c r="A18" s="108">
        <v>9</v>
      </c>
      <c r="B18" s="151" t="s">
        <v>351</v>
      </c>
      <c r="C18" s="108" t="s">
        <v>22</v>
      </c>
      <c r="D18" s="153">
        <v>24</v>
      </c>
      <c r="E18" s="162">
        <v>26.12</v>
      </c>
      <c r="F18" s="163">
        <f t="shared" si="1"/>
        <v>626.88</v>
      </c>
      <c r="G18" s="74">
        <v>0</v>
      </c>
      <c r="H18" s="76">
        <f t="shared" si="2"/>
        <v>0</v>
      </c>
      <c r="I18" s="76"/>
      <c r="J18" s="76"/>
      <c r="K18" s="76"/>
      <c r="L18" s="76">
        <f t="shared" si="3"/>
        <v>0</v>
      </c>
      <c r="M18" s="74">
        <v>0</v>
      </c>
      <c r="N18" s="76">
        <f t="shared" si="4"/>
        <v>0</v>
      </c>
      <c r="O18" s="74">
        <v>0</v>
      </c>
      <c r="P18" s="76">
        <f t="shared" si="5"/>
        <v>0</v>
      </c>
      <c r="Q18" s="76">
        <v>36.97</v>
      </c>
      <c r="R18" s="76">
        <f t="shared" si="7"/>
        <v>887.28</v>
      </c>
      <c r="S18" s="164">
        <f>AVERAGE(E18,Q18)</f>
        <v>31.545000000000002</v>
      </c>
      <c r="T18" s="164">
        <f t="shared" si="6"/>
        <v>757.08</v>
      </c>
    </row>
    <row r="19" spans="1:20" ht="25.5" x14ac:dyDescent="0.25">
      <c r="A19" s="108">
        <v>10</v>
      </c>
      <c r="B19" s="151" t="s">
        <v>352</v>
      </c>
      <c r="C19" s="108" t="s">
        <v>22</v>
      </c>
      <c r="D19" s="153">
        <v>24</v>
      </c>
      <c r="E19" s="162">
        <v>36.380000000000003</v>
      </c>
      <c r="F19" s="163">
        <f t="shared" si="1"/>
        <v>873.12000000000012</v>
      </c>
      <c r="G19" s="74">
        <v>0</v>
      </c>
      <c r="H19" s="76">
        <f t="shared" si="2"/>
        <v>0</v>
      </c>
      <c r="I19" s="76"/>
      <c r="J19" s="76"/>
      <c r="K19" s="76"/>
      <c r="L19" s="76">
        <f t="shared" si="3"/>
        <v>0</v>
      </c>
      <c r="M19" s="74">
        <v>0</v>
      </c>
      <c r="N19" s="76">
        <f t="shared" si="4"/>
        <v>0</v>
      </c>
      <c r="O19" s="74">
        <v>0</v>
      </c>
      <c r="P19" s="76">
        <f t="shared" si="5"/>
        <v>0</v>
      </c>
      <c r="Q19" s="76">
        <v>44.36</v>
      </c>
      <c r="R19" s="76">
        <f t="shared" si="7"/>
        <v>1064.6399999999999</v>
      </c>
      <c r="S19" s="164">
        <f>AVERAGE(E19,Q19)</f>
        <v>40.370000000000005</v>
      </c>
      <c r="T19" s="164">
        <f t="shared" si="6"/>
        <v>968.88000000000011</v>
      </c>
    </row>
    <row r="20" spans="1:20" ht="25.5" x14ac:dyDescent="0.25">
      <c r="A20" s="108">
        <v>11</v>
      </c>
      <c r="B20" s="151" t="s">
        <v>353</v>
      </c>
      <c r="C20" s="108" t="s">
        <v>22</v>
      </c>
      <c r="D20" s="153">
        <v>24</v>
      </c>
      <c r="E20" s="162">
        <v>36.380000000000003</v>
      </c>
      <c r="F20" s="163">
        <f t="shared" si="1"/>
        <v>873.12000000000012</v>
      </c>
      <c r="G20" s="74">
        <v>0</v>
      </c>
      <c r="H20" s="76">
        <f t="shared" si="2"/>
        <v>0</v>
      </c>
      <c r="I20" s="76"/>
      <c r="J20" s="76"/>
      <c r="K20" s="76"/>
      <c r="L20" s="76">
        <f t="shared" si="3"/>
        <v>0</v>
      </c>
      <c r="M20" s="74">
        <v>0</v>
      </c>
      <c r="N20" s="76">
        <f t="shared" si="4"/>
        <v>0</v>
      </c>
      <c r="O20" s="74">
        <v>0</v>
      </c>
      <c r="P20" s="76">
        <f t="shared" si="5"/>
        <v>0</v>
      </c>
      <c r="Q20" s="76">
        <v>38.4</v>
      </c>
      <c r="R20" s="76">
        <f t="shared" si="7"/>
        <v>921.59999999999991</v>
      </c>
      <c r="S20" s="164">
        <f>AVERAGE(E20,Q20)</f>
        <v>37.39</v>
      </c>
      <c r="T20" s="164">
        <f t="shared" si="6"/>
        <v>897.36</v>
      </c>
    </row>
    <row r="21" spans="1:20" ht="25.5" x14ac:dyDescent="0.25">
      <c r="A21" s="108">
        <v>12</v>
      </c>
      <c r="B21" s="151" t="s">
        <v>354</v>
      </c>
      <c r="C21" s="108" t="s">
        <v>22</v>
      </c>
      <c r="D21" s="153">
        <v>36</v>
      </c>
      <c r="E21" s="162">
        <v>46.77</v>
      </c>
      <c r="F21" s="163">
        <f t="shared" si="1"/>
        <v>1683.72</v>
      </c>
      <c r="G21" s="74">
        <v>0</v>
      </c>
      <c r="H21" s="76">
        <f t="shared" si="2"/>
        <v>0</v>
      </c>
      <c r="I21" s="76"/>
      <c r="J21" s="76"/>
      <c r="K21" s="76"/>
      <c r="L21" s="76">
        <f t="shared" si="3"/>
        <v>0</v>
      </c>
      <c r="M21" s="74">
        <v>0</v>
      </c>
      <c r="N21" s="76">
        <f t="shared" si="4"/>
        <v>0</v>
      </c>
      <c r="O21" s="74">
        <v>0</v>
      </c>
      <c r="P21" s="76">
        <f t="shared" si="5"/>
        <v>0</v>
      </c>
      <c r="Q21" s="76">
        <v>62.47</v>
      </c>
      <c r="R21" s="76">
        <f t="shared" si="7"/>
        <v>2248.92</v>
      </c>
      <c r="S21" s="164">
        <f>AVERAGE(E21,Q21)</f>
        <v>54.620000000000005</v>
      </c>
      <c r="T21" s="164">
        <f t="shared" si="6"/>
        <v>1966.3200000000002</v>
      </c>
    </row>
    <row r="22" spans="1:20" ht="178.5" x14ac:dyDescent="0.25">
      <c r="A22" s="107">
        <v>13</v>
      </c>
      <c r="B22" s="152" t="s">
        <v>437</v>
      </c>
      <c r="C22" s="107" t="s">
        <v>26</v>
      </c>
      <c r="D22" s="153">
        <v>4800</v>
      </c>
      <c r="E22" s="162">
        <v>13.51</v>
      </c>
      <c r="F22" s="163">
        <f t="shared" si="1"/>
        <v>64848</v>
      </c>
      <c r="G22" s="74">
        <v>0</v>
      </c>
      <c r="H22" s="76">
        <f t="shared" si="2"/>
        <v>0</v>
      </c>
      <c r="I22" s="76">
        <v>15</v>
      </c>
      <c r="J22" s="76">
        <f>I22*D22</f>
        <v>72000</v>
      </c>
      <c r="K22" s="76">
        <v>12.26</v>
      </c>
      <c r="L22" s="76">
        <f t="shared" si="3"/>
        <v>58848</v>
      </c>
      <c r="M22" s="74">
        <v>9.4</v>
      </c>
      <c r="N22" s="76">
        <f>M22*D22</f>
        <v>45120</v>
      </c>
      <c r="O22" s="74">
        <v>0</v>
      </c>
      <c r="P22" s="76">
        <f t="shared" si="5"/>
        <v>0</v>
      </c>
      <c r="Q22" s="76">
        <v>20.13</v>
      </c>
      <c r="R22" s="76">
        <f t="shared" si="7"/>
        <v>96624</v>
      </c>
      <c r="S22" s="164">
        <f>AVERAGE(E22,I22,K22)</f>
        <v>13.589999999999998</v>
      </c>
      <c r="T22" s="164">
        <f t="shared" si="6"/>
        <v>65231.999999999993</v>
      </c>
    </row>
    <row r="23" spans="1:20" ht="25.5" x14ac:dyDescent="0.25">
      <c r="A23" s="108">
        <v>14</v>
      </c>
      <c r="B23" s="151" t="s">
        <v>356</v>
      </c>
      <c r="C23" s="108" t="s">
        <v>22</v>
      </c>
      <c r="D23" s="153">
        <v>36</v>
      </c>
      <c r="E23" s="162">
        <v>18.71</v>
      </c>
      <c r="F23" s="163">
        <f t="shared" si="1"/>
        <v>673.56000000000006</v>
      </c>
      <c r="G23" s="74">
        <v>0</v>
      </c>
      <c r="H23" s="76">
        <f t="shared" si="2"/>
        <v>0</v>
      </c>
      <c r="I23" s="76"/>
      <c r="J23" s="76"/>
      <c r="K23" s="76"/>
      <c r="L23" s="76">
        <f t="shared" si="3"/>
        <v>0</v>
      </c>
      <c r="M23" s="74">
        <v>0</v>
      </c>
      <c r="N23" s="76">
        <f t="shared" si="4"/>
        <v>0</v>
      </c>
      <c r="O23" s="74">
        <v>0</v>
      </c>
      <c r="P23" s="76">
        <f t="shared" si="5"/>
        <v>0</v>
      </c>
      <c r="Q23" s="76"/>
      <c r="R23" s="76">
        <f t="shared" si="7"/>
        <v>0</v>
      </c>
      <c r="S23" s="164">
        <f>E23</f>
        <v>18.71</v>
      </c>
      <c r="T23" s="164">
        <f t="shared" si="6"/>
        <v>673.56000000000006</v>
      </c>
    </row>
    <row r="24" spans="1:20" ht="25.5" x14ac:dyDescent="0.25">
      <c r="A24" s="108">
        <v>15</v>
      </c>
      <c r="B24" s="151" t="s">
        <v>357</v>
      </c>
      <c r="C24" s="108" t="s">
        <v>22</v>
      </c>
      <c r="D24" s="153">
        <v>36</v>
      </c>
      <c r="E24" s="162">
        <v>36.380000000000003</v>
      </c>
      <c r="F24" s="163">
        <f t="shared" si="1"/>
        <v>1309.68</v>
      </c>
      <c r="G24" s="74">
        <v>0</v>
      </c>
      <c r="H24" s="76">
        <f t="shared" si="2"/>
        <v>0</v>
      </c>
      <c r="I24" s="76"/>
      <c r="J24" s="76"/>
      <c r="K24" s="76"/>
      <c r="L24" s="76">
        <f t="shared" si="3"/>
        <v>0</v>
      </c>
      <c r="M24" s="74">
        <v>0</v>
      </c>
      <c r="N24" s="76">
        <f t="shared" si="4"/>
        <v>0</v>
      </c>
      <c r="O24" s="74">
        <v>0</v>
      </c>
      <c r="P24" s="76">
        <f t="shared" si="5"/>
        <v>0</v>
      </c>
      <c r="Q24" s="76"/>
      <c r="R24" s="76">
        <f t="shared" si="7"/>
        <v>0</v>
      </c>
      <c r="S24" s="164">
        <f>AVERAGE(E24)</f>
        <v>36.380000000000003</v>
      </c>
      <c r="T24" s="164">
        <f t="shared" si="6"/>
        <v>1309.68</v>
      </c>
    </row>
    <row r="25" spans="1:20" ht="89.25" x14ac:dyDescent="0.25">
      <c r="A25" s="108">
        <v>16</v>
      </c>
      <c r="B25" s="151" t="s">
        <v>358</v>
      </c>
      <c r="C25" s="108" t="s">
        <v>22</v>
      </c>
      <c r="D25" s="153">
        <v>20</v>
      </c>
      <c r="E25" s="162">
        <v>311.81</v>
      </c>
      <c r="F25" s="163">
        <f t="shared" si="1"/>
        <v>6236.2</v>
      </c>
      <c r="G25" s="74">
        <v>0</v>
      </c>
      <c r="H25" s="76">
        <f t="shared" si="2"/>
        <v>0</v>
      </c>
      <c r="I25" s="76"/>
      <c r="J25" s="76"/>
      <c r="K25" s="76"/>
      <c r="L25" s="76">
        <f t="shared" si="3"/>
        <v>0</v>
      </c>
      <c r="M25" s="74">
        <v>0</v>
      </c>
      <c r="N25" s="76">
        <f t="shared" si="4"/>
        <v>0</v>
      </c>
      <c r="O25" s="74">
        <v>0</v>
      </c>
      <c r="P25" s="76">
        <f t="shared" si="5"/>
        <v>0</v>
      </c>
      <c r="Q25" s="76">
        <v>224.63</v>
      </c>
      <c r="R25" s="76">
        <f t="shared" si="7"/>
        <v>4492.6000000000004</v>
      </c>
      <c r="S25" s="164">
        <f>AVERAGE(E25,Q25)</f>
        <v>268.22000000000003</v>
      </c>
      <c r="T25" s="164">
        <f t="shared" si="6"/>
        <v>5364.4000000000005</v>
      </c>
    </row>
    <row r="26" spans="1:20" ht="38.25" x14ac:dyDescent="0.25">
      <c r="A26" s="108">
        <v>17</v>
      </c>
      <c r="B26" s="151" t="s">
        <v>359</v>
      </c>
      <c r="C26" s="108" t="s">
        <v>22</v>
      </c>
      <c r="D26" s="153">
        <v>360</v>
      </c>
      <c r="E26" s="162">
        <v>7.93</v>
      </c>
      <c r="F26" s="163">
        <f t="shared" si="1"/>
        <v>2854.7999999999997</v>
      </c>
      <c r="G26" s="74">
        <v>0</v>
      </c>
      <c r="H26" s="76">
        <f t="shared" si="2"/>
        <v>0</v>
      </c>
      <c r="I26" s="76">
        <v>5</v>
      </c>
      <c r="J26" s="76">
        <f>I26*D26</f>
        <v>1800</v>
      </c>
      <c r="K26" s="76">
        <v>3.25</v>
      </c>
      <c r="L26" s="76">
        <f t="shared" si="3"/>
        <v>1170</v>
      </c>
      <c r="M26" s="74">
        <v>9.98</v>
      </c>
      <c r="N26" s="76">
        <f t="shared" si="4"/>
        <v>3592.8</v>
      </c>
      <c r="O26" s="74">
        <v>0</v>
      </c>
      <c r="P26" s="76">
        <f t="shared" si="5"/>
        <v>0</v>
      </c>
      <c r="Q26" s="76">
        <v>6.81</v>
      </c>
      <c r="R26" s="76">
        <f t="shared" si="7"/>
        <v>2451.6</v>
      </c>
      <c r="S26" s="164">
        <f>AVERAGE(E26,K26,M26,Q26)</f>
        <v>6.9924999999999997</v>
      </c>
      <c r="T26" s="164">
        <f>S26*D26</f>
        <v>2517.2999999999997</v>
      </c>
    </row>
    <row r="27" spans="1:20" ht="25.5" x14ac:dyDescent="0.25">
      <c r="A27" s="108">
        <v>18</v>
      </c>
      <c r="B27" s="151" t="s">
        <v>360</v>
      </c>
      <c r="C27" s="108" t="s">
        <v>22</v>
      </c>
      <c r="D27" s="153">
        <v>288</v>
      </c>
      <c r="E27" s="162">
        <v>2.2999999999999998</v>
      </c>
      <c r="F27" s="163">
        <f t="shared" si="1"/>
        <v>662.4</v>
      </c>
      <c r="G27" s="74">
        <v>0</v>
      </c>
      <c r="H27" s="76">
        <f t="shared" si="2"/>
        <v>0</v>
      </c>
      <c r="I27" s="76"/>
      <c r="J27" s="76"/>
      <c r="K27" s="76"/>
      <c r="L27" s="76">
        <f t="shared" si="3"/>
        <v>0</v>
      </c>
      <c r="M27" s="74">
        <v>0</v>
      </c>
      <c r="N27" s="76">
        <f t="shared" si="4"/>
        <v>0</v>
      </c>
      <c r="O27" s="74">
        <v>0</v>
      </c>
      <c r="P27" s="76">
        <f t="shared" si="5"/>
        <v>0</v>
      </c>
      <c r="Q27" s="76"/>
      <c r="R27" s="76">
        <f t="shared" si="7"/>
        <v>0</v>
      </c>
      <c r="S27" s="164">
        <f>AVERAGE(E27)</f>
        <v>2.2999999999999998</v>
      </c>
      <c r="T27" s="164">
        <f t="shared" si="6"/>
        <v>662.4</v>
      </c>
    </row>
    <row r="28" spans="1:20" ht="25.5" x14ac:dyDescent="0.25">
      <c r="A28" s="108">
        <v>19</v>
      </c>
      <c r="B28" s="151" t="s">
        <v>361</v>
      </c>
      <c r="C28" s="108" t="s">
        <v>22</v>
      </c>
      <c r="D28" s="153">
        <v>288</v>
      </c>
      <c r="E28" s="162">
        <v>2.35</v>
      </c>
      <c r="F28" s="163">
        <f t="shared" si="1"/>
        <v>676.80000000000007</v>
      </c>
      <c r="G28" s="74">
        <v>0</v>
      </c>
      <c r="H28" s="76">
        <f t="shared" si="2"/>
        <v>0</v>
      </c>
      <c r="I28" s="76"/>
      <c r="J28" s="76"/>
      <c r="K28" s="76"/>
      <c r="L28" s="76">
        <f t="shared" si="3"/>
        <v>0</v>
      </c>
      <c r="M28" s="74">
        <v>0</v>
      </c>
      <c r="N28" s="76">
        <f t="shared" si="4"/>
        <v>0</v>
      </c>
      <c r="O28" s="74">
        <v>0</v>
      </c>
      <c r="P28" s="76">
        <f t="shared" si="5"/>
        <v>0</v>
      </c>
      <c r="Q28" s="76"/>
      <c r="R28" s="76">
        <f t="shared" si="7"/>
        <v>0</v>
      </c>
      <c r="S28" s="164">
        <f>AVERAGE(E27)</f>
        <v>2.2999999999999998</v>
      </c>
      <c r="T28" s="164">
        <f t="shared" si="6"/>
        <v>662.4</v>
      </c>
    </row>
    <row r="29" spans="1:20" ht="38.25" x14ac:dyDescent="0.25">
      <c r="A29" s="108">
        <v>20</v>
      </c>
      <c r="B29" s="151" t="s">
        <v>362</v>
      </c>
      <c r="C29" s="108" t="s">
        <v>22</v>
      </c>
      <c r="D29" s="153">
        <v>36</v>
      </c>
      <c r="E29" s="162">
        <v>14.14</v>
      </c>
      <c r="F29" s="163">
        <f t="shared" si="1"/>
        <v>509.04</v>
      </c>
      <c r="G29" s="74">
        <v>0</v>
      </c>
      <c r="H29" s="76">
        <f t="shared" si="2"/>
        <v>0</v>
      </c>
      <c r="I29" s="76"/>
      <c r="J29" s="76"/>
      <c r="K29" s="76"/>
      <c r="L29" s="76">
        <f t="shared" si="3"/>
        <v>0</v>
      </c>
      <c r="M29" s="74">
        <v>0</v>
      </c>
      <c r="N29" s="76">
        <f t="shared" si="4"/>
        <v>0</v>
      </c>
      <c r="O29" s="74">
        <v>0</v>
      </c>
      <c r="P29" s="76">
        <f t="shared" si="5"/>
        <v>0</v>
      </c>
      <c r="Q29" s="76"/>
      <c r="R29" s="76">
        <f t="shared" si="7"/>
        <v>0</v>
      </c>
      <c r="S29" s="164">
        <f>E29</f>
        <v>14.14</v>
      </c>
      <c r="T29" s="164">
        <f t="shared" si="6"/>
        <v>509.04</v>
      </c>
    </row>
    <row r="30" spans="1:20" ht="226.15" customHeight="1" x14ac:dyDescent="0.25">
      <c r="A30" s="75">
        <v>21</v>
      </c>
      <c r="B30" s="155" t="s">
        <v>363</v>
      </c>
      <c r="C30" s="108" t="s">
        <v>25</v>
      </c>
      <c r="D30" s="153">
        <v>156</v>
      </c>
      <c r="E30" s="162">
        <v>30.51</v>
      </c>
      <c r="F30" s="163">
        <f t="shared" si="1"/>
        <v>4759.5600000000004</v>
      </c>
      <c r="G30" s="74">
        <v>4.12</v>
      </c>
      <c r="H30" s="76">
        <f t="shared" si="2"/>
        <v>642.72</v>
      </c>
      <c r="I30" s="76"/>
      <c r="J30" s="76"/>
      <c r="K30" s="76"/>
      <c r="L30" s="76">
        <f t="shared" si="3"/>
        <v>0</v>
      </c>
      <c r="M30" s="74">
        <v>0</v>
      </c>
      <c r="N30" s="76">
        <f t="shared" si="4"/>
        <v>0</v>
      </c>
      <c r="O30" s="74">
        <v>0</v>
      </c>
      <c r="P30" s="76">
        <f t="shared" si="5"/>
        <v>0</v>
      </c>
      <c r="Q30" s="76">
        <v>45.12</v>
      </c>
      <c r="R30" s="76">
        <f t="shared" si="7"/>
        <v>7038.7199999999993</v>
      </c>
      <c r="S30" s="164">
        <f>AVERAGE(E30,Q30)</f>
        <v>37.814999999999998</v>
      </c>
      <c r="T30" s="164">
        <f t="shared" si="6"/>
        <v>5899.1399999999994</v>
      </c>
    </row>
    <row r="31" spans="1:20" ht="216.75" x14ac:dyDescent="0.25">
      <c r="A31" s="108">
        <v>22</v>
      </c>
      <c r="B31" s="152" t="s">
        <v>364</v>
      </c>
      <c r="C31" s="108" t="s">
        <v>25</v>
      </c>
      <c r="D31" s="153">
        <v>96</v>
      </c>
      <c r="E31" s="162">
        <v>23.91</v>
      </c>
      <c r="F31" s="163">
        <f t="shared" si="1"/>
        <v>2295.36</v>
      </c>
      <c r="G31" s="74">
        <v>0</v>
      </c>
      <c r="H31" s="76">
        <f t="shared" si="2"/>
        <v>0</v>
      </c>
      <c r="I31" s="76"/>
      <c r="J31" s="76"/>
      <c r="K31" s="76"/>
      <c r="L31" s="76">
        <f t="shared" si="3"/>
        <v>0</v>
      </c>
      <c r="M31" s="74">
        <v>0</v>
      </c>
      <c r="N31" s="76">
        <f t="shared" si="4"/>
        <v>0</v>
      </c>
      <c r="O31" s="74">
        <v>0</v>
      </c>
      <c r="P31" s="76">
        <f t="shared" si="5"/>
        <v>0</v>
      </c>
      <c r="Q31" s="76">
        <v>13.01</v>
      </c>
      <c r="R31" s="76">
        <f t="shared" si="7"/>
        <v>1248.96</v>
      </c>
      <c r="S31" s="164">
        <f>AVERAGE(Q31,E31)</f>
        <v>18.46</v>
      </c>
      <c r="T31" s="164">
        <f t="shared" si="6"/>
        <v>1772.16</v>
      </c>
    </row>
    <row r="32" spans="1:20" ht="51" x14ac:dyDescent="0.25">
      <c r="A32" s="108">
        <v>23</v>
      </c>
      <c r="B32" s="152" t="s">
        <v>365</v>
      </c>
      <c r="C32" s="108" t="s">
        <v>22</v>
      </c>
      <c r="D32" s="153">
        <v>1728</v>
      </c>
      <c r="E32" s="162">
        <v>3.12</v>
      </c>
      <c r="F32" s="163">
        <f t="shared" si="1"/>
        <v>5391.3600000000006</v>
      </c>
      <c r="G32" s="74">
        <v>0</v>
      </c>
      <c r="H32" s="76">
        <f t="shared" si="2"/>
        <v>0</v>
      </c>
      <c r="I32" s="76"/>
      <c r="J32" s="76"/>
      <c r="K32" s="76"/>
      <c r="L32" s="76">
        <f t="shared" si="3"/>
        <v>0</v>
      </c>
      <c r="M32" s="74">
        <v>0</v>
      </c>
      <c r="N32" s="76">
        <f t="shared" si="4"/>
        <v>0</v>
      </c>
      <c r="O32" s="74">
        <v>0</v>
      </c>
      <c r="P32" s="76">
        <f t="shared" si="5"/>
        <v>0</v>
      </c>
      <c r="Q32" s="76"/>
      <c r="R32" s="76">
        <f t="shared" si="7"/>
        <v>0</v>
      </c>
      <c r="S32" s="164">
        <f>AVERAGE(E32)</f>
        <v>3.12</v>
      </c>
      <c r="T32" s="164">
        <f t="shared" si="6"/>
        <v>5391.3600000000006</v>
      </c>
    </row>
    <row r="33" spans="1:21" ht="51" x14ac:dyDescent="0.25">
      <c r="A33" s="108">
        <v>24</v>
      </c>
      <c r="B33" s="151" t="s">
        <v>366</v>
      </c>
      <c r="C33" s="108" t="s">
        <v>22</v>
      </c>
      <c r="D33" s="153">
        <v>1440</v>
      </c>
      <c r="E33" s="162">
        <v>1.44</v>
      </c>
      <c r="F33" s="163">
        <f t="shared" si="1"/>
        <v>2073.6</v>
      </c>
      <c r="G33" s="74">
        <v>0</v>
      </c>
      <c r="H33" s="76">
        <f t="shared" si="2"/>
        <v>0</v>
      </c>
      <c r="I33" s="76">
        <v>3</v>
      </c>
      <c r="J33" s="76">
        <f>I33*D33</f>
        <v>4320</v>
      </c>
      <c r="K33" s="76">
        <v>0.72</v>
      </c>
      <c r="L33" s="76">
        <f t="shared" si="3"/>
        <v>1036.8</v>
      </c>
      <c r="M33" s="74">
        <v>0</v>
      </c>
      <c r="N33" s="76">
        <f t="shared" si="4"/>
        <v>0</v>
      </c>
      <c r="O33" s="74">
        <v>2</v>
      </c>
      <c r="P33" s="76">
        <f t="shared" si="5"/>
        <v>2880</v>
      </c>
      <c r="Q33" s="76">
        <v>3.02</v>
      </c>
      <c r="R33" s="76">
        <f t="shared" si="7"/>
        <v>4348.8</v>
      </c>
      <c r="S33" s="164">
        <f>AVERAGE(E33,I33,O33,Q33)</f>
        <v>2.3649999999999998</v>
      </c>
      <c r="T33" s="164">
        <f t="shared" si="6"/>
        <v>3405.5999999999995</v>
      </c>
    </row>
    <row r="34" spans="1:21" ht="76.5" x14ac:dyDescent="0.25">
      <c r="A34" s="108">
        <v>25</v>
      </c>
      <c r="B34" s="151" t="s">
        <v>367</v>
      </c>
      <c r="C34" s="108" t="s">
        <v>22</v>
      </c>
      <c r="D34" s="153">
        <v>36</v>
      </c>
      <c r="E34" s="162">
        <v>23.33</v>
      </c>
      <c r="F34" s="163">
        <f t="shared" si="1"/>
        <v>839.87999999999988</v>
      </c>
      <c r="G34" s="74">
        <v>0</v>
      </c>
      <c r="H34" s="76">
        <f t="shared" si="2"/>
        <v>0</v>
      </c>
      <c r="I34" s="76"/>
      <c r="J34" s="76"/>
      <c r="K34" s="76"/>
      <c r="L34" s="76">
        <f t="shared" si="3"/>
        <v>0</v>
      </c>
      <c r="M34" s="74">
        <v>0</v>
      </c>
      <c r="N34" s="76">
        <f t="shared" si="4"/>
        <v>0</v>
      </c>
      <c r="O34" s="74">
        <v>0</v>
      </c>
      <c r="P34" s="76">
        <f t="shared" si="5"/>
        <v>0</v>
      </c>
      <c r="Q34" s="76">
        <v>25.26</v>
      </c>
      <c r="R34" s="76">
        <f t="shared" si="7"/>
        <v>909.36</v>
      </c>
      <c r="S34" s="164">
        <f>AVERAGE(E34,Q34)</f>
        <v>24.295000000000002</v>
      </c>
      <c r="T34" s="164">
        <f t="shared" si="6"/>
        <v>874.62000000000012</v>
      </c>
    </row>
    <row r="35" spans="1:21" ht="25.5" x14ac:dyDescent="0.25">
      <c r="A35" s="108">
        <v>26</v>
      </c>
      <c r="B35" s="152" t="s">
        <v>368</v>
      </c>
      <c r="C35" s="108" t="s">
        <v>23</v>
      </c>
      <c r="D35" s="153">
        <v>48</v>
      </c>
      <c r="E35" s="162">
        <v>11.72</v>
      </c>
      <c r="F35" s="163">
        <f t="shared" si="1"/>
        <v>562.56000000000006</v>
      </c>
      <c r="G35" s="171">
        <v>1.5</v>
      </c>
      <c r="H35" s="76">
        <f t="shared" si="2"/>
        <v>72</v>
      </c>
      <c r="I35" s="76"/>
      <c r="J35" s="76"/>
      <c r="K35" s="76"/>
      <c r="L35" s="76">
        <f t="shared" si="3"/>
        <v>0</v>
      </c>
      <c r="M35" s="74">
        <v>0</v>
      </c>
      <c r="N35" s="76">
        <f t="shared" si="4"/>
        <v>0</v>
      </c>
      <c r="O35" s="171">
        <v>1.3</v>
      </c>
      <c r="P35" s="76">
        <f t="shared" si="5"/>
        <v>62.400000000000006</v>
      </c>
      <c r="Q35" s="76">
        <v>36.82</v>
      </c>
      <c r="R35" s="76">
        <f t="shared" si="7"/>
        <v>1767.3600000000001</v>
      </c>
      <c r="S35" s="164">
        <f>AVERAGE(E35)</f>
        <v>11.72</v>
      </c>
      <c r="T35" s="164">
        <f t="shared" si="6"/>
        <v>562.56000000000006</v>
      </c>
    </row>
    <row r="36" spans="1:21" ht="25.5" x14ac:dyDescent="0.25">
      <c r="A36" s="108">
        <v>27</v>
      </c>
      <c r="B36" s="151" t="s">
        <v>369</v>
      </c>
      <c r="C36" s="108" t="s">
        <v>22</v>
      </c>
      <c r="D36" s="153">
        <v>1440</v>
      </c>
      <c r="E36" s="162">
        <v>0.52</v>
      </c>
      <c r="F36" s="163">
        <f t="shared" si="1"/>
        <v>748.80000000000007</v>
      </c>
      <c r="G36" s="74">
        <v>0.76</v>
      </c>
      <c r="H36" s="76">
        <f t="shared" si="2"/>
        <v>1094.4000000000001</v>
      </c>
      <c r="I36" s="76">
        <v>2</v>
      </c>
      <c r="J36" s="76">
        <f>I36*D36</f>
        <v>2880</v>
      </c>
      <c r="K36" s="76"/>
      <c r="L36" s="76">
        <f t="shared" si="3"/>
        <v>0</v>
      </c>
      <c r="M36" s="74">
        <v>0</v>
      </c>
      <c r="N36" s="76">
        <f t="shared" si="4"/>
        <v>0</v>
      </c>
      <c r="O36" s="74">
        <v>0.3</v>
      </c>
      <c r="P36" s="76">
        <f t="shared" si="5"/>
        <v>432</v>
      </c>
      <c r="Q36" s="76">
        <v>18.68</v>
      </c>
      <c r="R36" s="76">
        <f t="shared" si="7"/>
        <v>26899.200000000001</v>
      </c>
      <c r="S36" s="164">
        <f>AVERAGE(E36,G36,O36)</f>
        <v>0.52666666666666673</v>
      </c>
      <c r="T36" s="164">
        <f t="shared" si="6"/>
        <v>758.40000000000009</v>
      </c>
    </row>
    <row r="37" spans="1:21" ht="25.5" x14ac:dyDescent="0.25">
      <c r="A37" s="108">
        <v>28</v>
      </c>
      <c r="B37" s="151" t="s">
        <v>370</v>
      </c>
      <c r="C37" s="108" t="s">
        <v>22</v>
      </c>
      <c r="D37" s="153">
        <v>60</v>
      </c>
      <c r="E37" s="162">
        <v>3.82</v>
      </c>
      <c r="F37" s="163">
        <f t="shared" si="1"/>
        <v>229.2</v>
      </c>
      <c r="G37" s="74">
        <v>0</v>
      </c>
      <c r="H37" s="76">
        <f t="shared" si="2"/>
        <v>0</v>
      </c>
      <c r="I37" s="76"/>
      <c r="J37" s="76"/>
      <c r="K37" s="76"/>
      <c r="L37" s="76">
        <f t="shared" si="3"/>
        <v>0</v>
      </c>
      <c r="M37" s="74">
        <v>0</v>
      </c>
      <c r="N37" s="76">
        <f t="shared" si="4"/>
        <v>0</v>
      </c>
      <c r="O37" s="74">
        <v>0</v>
      </c>
      <c r="P37" s="76">
        <f t="shared" si="5"/>
        <v>0</v>
      </c>
      <c r="Q37" s="76"/>
      <c r="R37" s="76">
        <f t="shared" si="7"/>
        <v>0</v>
      </c>
      <c r="S37" s="164">
        <f>AVERAGE(E37)</f>
        <v>3.82</v>
      </c>
      <c r="T37" s="164">
        <f t="shared" si="6"/>
        <v>229.2</v>
      </c>
    </row>
    <row r="38" spans="1:21" ht="25.5" x14ac:dyDescent="0.25">
      <c r="A38" s="108">
        <v>29</v>
      </c>
      <c r="B38" s="151" t="s">
        <v>371</v>
      </c>
      <c r="C38" s="108" t="s">
        <v>22</v>
      </c>
      <c r="D38" s="153">
        <v>60</v>
      </c>
      <c r="E38" s="162">
        <v>5.19</v>
      </c>
      <c r="F38" s="163">
        <f t="shared" si="1"/>
        <v>311.40000000000003</v>
      </c>
      <c r="G38" s="74">
        <v>0</v>
      </c>
      <c r="H38" s="76">
        <f t="shared" si="2"/>
        <v>0</v>
      </c>
      <c r="I38" s="76"/>
      <c r="J38" s="76"/>
      <c r="K38" s="76"/>
      <c r="L38" s="76">
        <f t="shared" si="3"/>
        <v>0</v>
      </c>
      <c r="M38" s="74">
        <v>0</v>
      </c>
      <c r="N38" s="76">
        <f t="shared" si="4"/>
        <v>0</v>
      </c>
      <c r="O38" s="74">
        <v>0</v>
      </c>
      <c r="P38" s="76">
        <f t="shared" si="5"/>
        <v>0</v>
      </c>
      <c r="Q38" s="76"/>
      <c r="R38" s="76">
        <f t="shared" si="7"/>
        <v>0</v>
      </c>
      <c r="S38" s="164">
        <f>AVERAGE(E38)</f>
        <v>5.19</v>
      </c>
      <c r="T38" s="164">
        <f t="shared" si="6"/>
        <v>311.40000000000003</v>
      </c>
    </row>
    <row r="39" spans="1:21" ht="25.5" x14ac:dyDescent="0.25">
      <c r="A39" s="108">
        <v>30</v>
      </c>
      <c r="B39" s="151" t="s">
        <v>372</v>
      </c>
      <c r="C39" s="108" t="s">
        <v>22</v>
      </c>
      <c r="D39" s="153">
        <v>60</v>
      </c>
      <c r="E39" s="162">
        <v>4.6100000000000003</v>
      </c>
      <c r="F39" s="163">
        <f t="shared" si="1"/>
        <v>276.60000000000002</v>
      </c>
      <c r="G39" s="74">
        <v>0</v>
      </c>
      <c r="H39" s="76">
        <f t="shared" si="2"/>
        <v>0</v>
      </c>
      <c r="I39" s="76"/>
      <c r="J39" s="76"/>
      <c r="K39" s="76"/>
      <c r="L39" s="76">
        <f t="shared" si="3"/>
        <v>0</v>
      </c>
      <c r="M39" s="74">
        <v>0</v>
      </c>
      <c r="N39" s="76">
        <f t="shared" si="4"/>
        <v>0</v>
      </c>
      <c r="O39" s="74">
        <v>0</v>
      </c>
      <c r="P39" s="76">
        <f t="shared" si="5"/>
        <v>0</v>
      </c>
      <c r="Q39" s="76"/>
      <c r="R39" s="76">
        <f t="shared" si="7"/>
        <v>0</v>
      </c>
      <c r="S39" s="164">
        <f>AVERAGE(E39)</f>
        <v>4.6100000000000003</v>
      </c>
      <c r="T39" s="164">
        <f t="shared" si="6"/>
        <v>276.60000000000002</v>
      </c>
    </row>
    <row r="40" spans="1:21" ht="76.5" x14ac:dyDescent="0.25">
      <c r="A40" s="107">
        <v>31</v>
      </c>
      <c r="B40" s="152" t="s">
        <v>373</v>
      </c>
      <c r="C40" s="107" t="s">
        <v>22</v>
      </c>
      <c r="D40" s="153">
        <v>48</v>
      </c>
      <c r="E40" s="162">
        <v>51.97</v>
      </c>
      <c r="F40" s="163">
        <f t="shared" si="1"/>
        <v>2494.56</v>
      </c>
      <c r="G40" s="74">
        <v>0</v>
      </c>
      <c r="H40" s="76">
        <f t="shared" si="2"/>
        <v>0</v>
      </c>
      <c r="I40" s="76"/>
      <c r="J40" s="76"/>
      <c r="K40" s="76"/>
      <c r="L40" s="76">
        <f t="shared" si="3"/>
        <v>0</v>
      </c>
      <c r="M40" s="74">
        <v>0</v>
      </c>
      <c r="N40" s="76">
        <f t="shared" si="4"/>
        <v>0</v>
      </c>
      <c r="O40" s="74">
        <v>0</v>
      </c>
      <c r="P40" s="76">
        <f t="shared" si="5"/>
        <v>0</v>
      </c>
      <c r="Q40" s="76"/>
      <c r="R40" s="76">
        <f t="shared" si="7"/>
        <v>0</v>
      </c>
      <c r="S40" s="164">
        <f>E40</f>
        <v>51.97</v>
      </c>
      <c r="T40" s="164">
        <f t="shared" si="6"/>
        <v>2494.56</v>
      </c>
    </row>
    <row r="41" spans="1:21" ht="76.5" x14ac:dyDescent="0.25">
      <c r="A41" s="107">
        <v>32</v>
      </c>
      <c r="B41" s="152" t="s">
        <v>374</v>
      </c>
      <c r="C41" s="107" t="s">
        <v>22</v>
      </c>
      <c r="D41" s="153">
        <v>96</v>
      </c>
      <c r="E41" s="162">
        <v>42.97</v>
      </c>
      <c r="F41" s="163">
        <f t="shared" si="1"/>
        <v>4125.12</v>
      </c>
      <c r="G41" s="74">
        <v>0</v>
      </c>
      <c r="H41" s="76">
        <f t="shared" si="2"/>
        <v>0</v>
      </c>
      <c r="I41" s="76"/>
      <c r="J41" s="76"/>
      <c r="K41" s="76"/>
      <c r="L41" s="76">
        <f t="shared" si="3"/>
        <v>0</v>
      </c>
      <c r="M41" s="74">
        <v>0</v>
      </c>
      <c r="N41" s="76">
        <f t="shared" si="4"/>
        <v>0</v>
      </c>
      <c r="O41" s="74">
        <v>0</v>
      </c>
      <c r="P41" s="76">
        <f t="shared" si="5"/>
        <v>0</v>
      </c>
      <c r="Q41" s="76">
        <v>44.97</v>
      </c>
      <c r="R41" s="76">
        <f t="shared" si="7"/>
        <v>4317.12</v>
      </c>
      <c r="S41" s="164">
        <f>AVERAGE(E41,Q41)</f>
        <v>43.97</v>
      </c>
      <c r="T41" s="164">
        <f t="shared" si="6"/>
        <v>4221.12</v>
      </c>
    </row>
    <row r="42" spans="1:21" ht="76.5" x14ac:dyDescent="0.25">
      <c r="A42" s="108">
        <v>33</v>
      </c>
      <c r="B42" s="151" t="s">
        <v>375</v>
      </c>
      <c r="C42" s="108" t="s">
        <v>22</v>
      </c>
      <c r="D42" s="153">
        <v>96</v>
      </c>
      <c r="E42" s="162">
        <v>33.43</v>
      </c>
      <c r="F42" s="163">
        <f t="shared" si="1"/>
        <v>3209.2799999999997</v>
      </c>
      <c r="G42" s="74">
        <v>0</v>
      </c>
      <c r="H42" s="76">
        <f t="shared" si="2"/>
        <v>0</v>
      </c>
      <c r="I42" s="76"/>
      <c r="J42" s="76"/>
      <c r="K42" s="76"/>
      <c r="L42" s="76">
        <f t="shared" si="3"/>
        <v>0</v>
      </c>
      <c r="M42" s="74">
        <v>0</v>
      </c>
      <c r="N42" s="76">
        <f t="shared" si="4"/>
        <v>0</v>
      </c>
      <c r="O42" s="74">
        <v>0</v>
      </c>
      <c r="P42" s="76">
        <f t="shared" si="5"/>
        <v>0</v>
      </c>
      <c r="Q42" s="76"/>
      <c r="R42" s="76">
        <f t="shared" si="7"/>
        <v>0</v>
      </c>
      <c r="S42" s="164">
        <f>AVERAGE(E42)</f>
        <v>33.43</v>
      </c>
      <c r="T42" s="164">
        <f t="shared" si="6"/>
        <v>3209.2799999999997</v>
      </c>
    </row>
    <row r="43" spans="1:21" ht="38.25" x14ac:dyDescent="0.25">
      <c r="A43" s="108">
        <v>34</v>
      </c>
      <c r="B43" s="151" t="s">
        <v>376</v>
      </c>
      <c r="C43" s="108" t="s">
        <v>199</v>
      </c>
      <c r="D43" s="153">
        <v>144</v>
      </c>
      <c r="E43" s="162">
        <v>1.34</v>
      </c>
      <c r="F43" s="163">
        <f t="shared" si="1"/>
        <v>192.96</v>
      </c>
      <c r="G43" s="74">
        <v>0.65</v>
      </c>
      <c r="H43" s="76">
        <f t="shared" si="2"/>
        <v>93.600000000000009</v>
      </c>
      <c r="I43" s="76"/>
      <c r="J43" s="76"/>
      <c r="K43" s="76">
        <v>1.7</v>
      </c>
      <c r="L43" s="76">
        <f t="shared" si="3"/>
        <v>244.79999999999998</v>
      </c>
      <c r="M43" s="74">
        <v>1.1299999999999999</v>
      </c>
      <c r="N43" s="76">
        <f t="shared" si="4"/>
        <v>162.71999999999997</v>
      </c>
      <c r="O43" s="74">
        <v>0</v>
      </c>
      <c r="P43" s="76">
        <f t="shared" si="5"/>
        <v>0</v>
      </c>
      <c r="Q43" s="166">
        <v>7.46</v>
      </c>
      <c r="R43" s="76">
        <f t="shared" si="7"/>
        <v>1074.24</v>
      </c>
      <c r="S43" s="164">
        <f>AVERAGE(E43,K43,M43)</f>
        <v>1.39</v>
      </c>
      <c r="T43" s="164">
        <f t="shared" si="6"/>
        <v>200.16</v>
      </c>
    </row>
    <row r="44" spans="1:21" ht="38.25" x14ac:dyDescent="0.25">
      <c r="A44" s="108">
        <v>35</v>
      </c>
      <c r="B44" s="152" t="s">
        <v>377</v>
      </c>
      <c r="C44" s="108" t="s">
        <v>22</v>
      </c>
      <c r="D44" s="153">
        <v>36</v>
      </c>
      <c r="E44" s="162">
        <v>32.68</v>
      </c>
      <c r="F44" s="163">
        <f t="shared" si="1"/>
        <v>1176.48</v>
      </c>
      <c r="G44" s="74">
        <v>0</v>
      </c>
      <c r="H44" s="76">
        <f t="shared" si="2"/>
        <v>0</v>
      </c>
      <c r="I44" s="76"/>
      <c r="J44" s="76"/>
      <c r="K44" s="76"/>
      <c r="L44" s="76">
        <f t="shared" si="3"/>
        <v>0</v>
      </c>
      <c r="M44" s="74">
        <v>0</v>
      </c>
      <c r="N44" s="76">
        <f t="shared" si="4"/>
        <v>0</v>
      </c>
      <c r="O44" s="74">
        <v>0</v>
      </c>
      <c r="P44" s="76">
        <f t="shared" si="5"/>
        <v>0</v>
      </c>
      <c r="Q44" s="76">
        <v>25.79</v>
      </c>
      <c r="R44" s="76">
        <f t="shared" si="7"/>
        <v>928.43999999999994</v>
      </c>
      <c r="S44" s="164">
        <f>AVERAGE(E44,Q44)</f>
        <v>29.234999999999999</v>
      </c>
      <c r="T44" s="164">
        <f t="shared" si="6"/>
        <v>1052.46</v>
      </c>
    </row>
    <row r="45" spans="1:21" ht="25.5" x14ac:dyDescent="0.25">
      <c r="A45" s="108">
        <v>36</v>
      </c>
      <c r="B45" s="151" t="s">
        <v>378</v>
      </c>
      <c r="C45" s="108" t="s">
        <v>22</v>
      </c>
      <c r="D45" s="153">
        <v>36</v>
      </c>
      <c r="E45" s="162">
        <v>47.52</v>
      </c>
      <c r="F45" s="163">
        <f t="shared" si="1"/>
        <v>1710.72</v>
      </c>
      <c r="G45" s="74">
        <v>0</v>
      </c>
      <c r="H45" s="76">
        <f t="shared" si="2"/>
        <v>0</v>
      </c>
      <c r="I45" s="76"/>
      <c r="J45" s="76"/>
      <c r="K45" s="76"/>
      <c r="L45" s="76">
        <f t="shared" si="3"/>
        <v>0</v>
      </c>
      <c r="M45" s="74">
        <v>0</v>
      </c>
      <c r="N45" s="76">
        <f t="shared" si="4"/>
        <v>0</v>
      </c>
      <c r="O45" s="74">
        <v>0</v>
      </c>
      <c r="P45" s="76">
        <f t="shared" si="5"/>
        <v>0</v>
      </c>
      <c r="Q45" s="76">
        <v>61.27</v>
      </c>
      <c r="R45" s="76">
        <f t="shared" si="7"/>
        <v>2205.7200000000003</v>
      </c>
      <c r="S45" s="164">
        <f>AVERAGE(E45,Q45)</f>
        <v>54.395000000000003</v>
      </c>
      <c r="T45" s="164">
        <f t="shared" si="6"/>
        <v>1958.22</v>
      </c>
    </row>
    <row r="46" spans="1:21" ht="25.5" x14ac:dyDescent="0.25">
      <c r="A46" s="107">
        <v>37</v>
      </c>
      <c r="B46" s="152" t="s">
        <v>379</v>
      </c>
      <c r="C46" s="108" t="s">
        <v>22</v>
      </c>
      <c r="D46" s="153">
        <v>288</v>
      </c>
      <c r="E46" s="162">
        <v>1.9</v>
      </c>
      <c r="F46" s="163">
        <f t="shared" si="1"/>
        <v>547.19999999999993</v>
      </c>
      <c r="G46" s="74">
        <v>0</v>
      </c>
      <c r="H46" s="76">
        <f t="shared" si="2"/>
        <v>0</v>
      </c>
      <c r="I46" s="76"/>
      <c r="J46" s="76"/>
      <c r="K46" s="76">
        <v>1.2</v>
      </c>
      <c r="L46" s="76">
        <f t="shared" si="3"/>
        <v>345.59999999999997</v>
      </c>
      <c r="M46" s="74">
        <v>0</v>
      </c>
      <c r="N46" s="76">
        <f t="shared" si="4"/>
        <v>0</v>
      </c>
      <c r="O46" s="74">
        <v>4</v>
      </c>
      <c r="P46" s="76">
        <f t="shared" si="5"/>
        <v>1152</v>
      </c>
      <c r="Q46" s="76">
        <v>7.45</v>
      </c>
      <c r="R46" s="76">
        <f t="shared" si="7"/>
        <v>2145.6</v>
      </c>
      <c r="S46" s="164">
        <f>AVERAGE(E46,K46)</f>
        <v>1.5499999999999998</v>
      </c>
      <c r="T46" s="164">
        <f t="shared" si="6"/>
        <v>446.4</v>
      </c>
      <c r="U46" s="165"/>
    </row>
    <row r="47" spans="1:21" ht="25.5" x14ac:dyDescent="0.25">
      <c r="A47" s="108">
        <v>38</v>
      </c>
      <c r="B47" s="151" t="s">
        <v>380</v>
      </c>
      <c r="C47" s="108" t="s">
        <v>22</v>
      </c>
      <c r="D47" s="153">
        <v>24</v>
      </c>
      <c r="E47" s="162">
        <v>41.43</v>
      </c>
      <c r="F47" s="163">
        <f t="shared" si="1"/>
        <v>994.31999999999994</v>
      </c>
      <c r="G47" s="74">
        <v>0</v>
      </c>
      <c r="H47" s="76">
        <f t="shared" si="2"/>
        <v>0</v>
      </c>
      <c r="I47" s="76"/>
      <c r="J47" s="76"/>
      <c r="K47" s="76"/>
      <c r="L47" s="76">
        <f t="shared" si="3"/>
        <v>0</v>
      </c>
      <c r="M47" s="74">
        <v>0</v>
      </c>
      <c r="N47" s="76">
        <f t="shared" si="4"/>
        <v>0</v>
      </c>
      <c r="O47" s="74">
        <v>0</v>
      </c>
      <c r="P47" s="76">
        <f t="shared" si="5"/>
        <v>0</v>
      </c>
      <c r="Q47" s="76">
        <v>45.56</v>
      </c>
      <c r="R47" s="76">
        <f t="shared" si="7"/>
        <v>1093.44</v>
      </c>
      <c r="S47" s="164">
        <f>AVERAGE(E47,Q47)</f>
        <v>43.495000000000005</v>
      </c>
      <c r="T47" s="164">
        <f t="shared" si="6"/>
        <v>1043.8800000000001</v>
      </c>
      <c r="U47" s="165"/>
    </row>
    <row r="48" spans="1:21" ht="25.5" x14ac:dyDescent="0.25">
      <c r="A48" s="108">
        <v>39</v>
      </c>
      <c r="B48" s="151" t="s">
        <v>381</v>
      </c>
      <c r="C48" s="108" t="s">
        <v>22</v>
      </c>
      <c r="D48" s="153">
        <v>24</v>
      </c>
      <c r="E48" s="162">
        <v>5.0599999999999996</v>
      </c>
      <c r="F48" s="163">
        <f t="shared" si="1"/>
        <v>121.44</v>
      </c>
      <c r="G48" s="74">
        <v>0</v>
      </c>
      <c r="H48" s="76">
        <f t="shared" si="2"/>
        <v>0</v>
      </c>
      <c r="I48" s="76"/>
      <c r="J48" s="76"/>
      <c r="K48" s="76"/>
      <c r="L48" s="76">
        <f t="shared" si="3"/>
        <v>0</v>
      </c>
      <c r="M48" s="74">
        <v>0</v>
      </c>
      <c r="N48" s="76">
        <f t="shared" si="4"/>
        <v>0</v>
      </c>
      <c r="O48" s="74">
        <v>0</v>
      </c>
      <c r="P48" s="76">
        <f t="shared" si="5"/>
        <v>0</v>
      </c>
      <c r="Q48" s="76">
        <v>8.51</v>
      </c>
      <c r="R48" s="76">
        <f t="shared" si="7"/>
        <v>204.24</v>
      </c>
      <c r="S48" s="164">
        <f>AVERAGE(E48,Q48)</f>
        <v>6.7850000000000001</v>
      </c>
      <c r="T48" s="164">
        <f t="shared" si="6"/>
        <v>162.84</v>
      </c>
    </row>
    <row r="49" spans="1:21" ht="38.25" x14ac:dyDescent="0.25">
      <c r="A49" s="108">
        <v>40</v>
      </c>
      <c r="B49" s="151" t="s">
        <v>382</v>
      </c>
      <c r="C49" s="108" t="s">
        <v>22</v>
      </c>
      <c r="D49" s="153">
        <v>600</v>
      </c>
      <c r="E49" s="162">
        <v>2.78</v>
      </c>
      <c r="F49" s="163">
        <f t="shared" si="1"/>
        <v>1667.9999999999998</v>
      </c>
      <c r="G49" s="74">
        <v>4.58</v>
      </c>
      <c r="H49" s="76">
        <f t="shared" si="2"/>
        <v>2748</v>
      </c>
      <c r="I49" s="76">
        <v>5</v>
      </c>
      <c r="J49" s="76">
        <f>I49*D49</f>
        <v>3000</v>
      </c>
      <c r="K49" s="76"/>
      <c r="L49" s="76">
        <f t="shared" si="3"/>
        <v>0</v>
      </c>
      <c r="M49" s="74">
        <v>0</v>
      </c>
      <c r="N49" s="76">
        <f t="shared" si="4"/>
        <v>0</v>
      </c>
      <c r="O49" s="74">
        <v>6</v>
      </c>
      <c r="P49" s="76">
        <f t="shared" si="5"/>
        <v>3600</v>
      </c>
      <c r="Q49" s="76">
        <v>5.07</v>
      </c>
      <c r="R49" s="76">
        <f t="shared" si="7"/>
        <v>3042</v>
      </c>
      <c r="S49" s="164">
        <f>AVERAGE(G49,I49,O49,Q49)</f>
        <v>5.1624999999999996</v>
      </c>
      <c r="T49" s="164">
        <f t="shared" si="6"/>
        <v>3097.5</v>
      </c>
    </row>
    <row r="50" spans="1:21" ht="76.5" x14ac:dyDescent="0.25">
      <c r="A50" s="108">
        <v>41</v>
      </c>
      <c r="B50" s="151" t="s">
        <v>383</v>
      </c>
      <c r="C50" s="108" t="s">
        <v>22</v>
      </c>
      <c r="D50" s="153">
        <v>432</v>
      </c>
      <c r="E50" s="162">
        <v>1.69</v>
      </c>
      <c r="F50" s="163">
        <f t="shared" si="1"/>
        <v>730.07999999999993</v>
      </c>
      <c r="G50" s="74">
        <v>1.93</v>
      </c>
      <c r="H50" s="76">
        <f t="shared" si="2"/>
        <v>833.76</v>
      </c>
      <c r="I50" s="76">
        <v>5</v>
      </c>
      <c r="J50" s="76">
        <f>I50*D50</f>
        <v>2160</v>
      </c>
      <c r="K50" s="76"/>
      <c r="L50" s="76">
        <f t="shared" si="3"/>
        <v>0</v>
      </c>
      <c r="M50" s="74">
        <v>0</v>
      </c>
      <c r="N50" s="76">
        <f t="shared" si="4"/>
        <v>0</v>
      </c>
      <c r="O50" s="74">
        <v>0</v>
      </c>
      <c r="P50" s="76">
        <f t="shared" si="5"/>
        <v>0</v>
      </c>
      <c r="Q50" s="76">
        <v>4.79</v>
      </c>
      <c r="R50" s="76">
        <f t="shared" si="7"/>
        <v>2069.2800000000002</v>
      </c>
      <c r="S50" s="164">
        <f>AVERAGE(E50,G50,Q50)</f>
        <v>2.8033333333333332</v>
      </c>
      <c r="T50" s="164">
        <f t="shared" si="6"/>
        <v>1211.04</v>
      </c>
    </row>
    <row r="51" spans="1:21" ht="38.25" x14ac:dyDescent="0.25">
      <c r="A51" s="108">
        <v>42</v>
      </c>
      <c r="B51" s="151" t="s">
        <v>384</v>
      </c>
      <c r="C51" s="108" t="s">
        <v>22</v>
      </c>
      <c r="D51" s="153">
        <v>480</v>
      </c>
      <c r="E51" s="162">
        <v>2.5299999999999998</v>
      </c>
      <c r="F51" s="163">
        <f t="shared" si="1"/>
        <v>1214.3999999999999</v>
      </c>
      <c r="G51" s="74">
        <v>0</v>
      </c>
      <c r="H51" s="76">
        <f t="shared" si="2"/>
        <v>0</v>
      </c>
      <c r="I51" s="76">
        <v>5</v>
      </c>
      <c r="J51" s="76">
        <f>I51*D51</f>
        <v>2400</v>
      </c>
      <c r="K51" s="76">
        <v>1.01</v>
      </c>
      <c r="L51" s="76">
        <f t="shared" si="3"/>
        <v>484.8</v>
      </c>
      <c r="M51" s="74">
        <v>1.61</v>
      </c>
      <c r="N51" s="76">
        <f t="shared" si="4"/>
        <v>772.80000000000007</v>
      </c>
      <c r="O51" s="74">
        <v>0</v>
      </c>
      <c r="P51" s="76">
        <f t="shared" si="5"/>
        <v>0</v>
      </c>
      <c r="Q51" s="76">
        <v>7.68</v>
      </c>
      <c r="R51" s="76">
        <f t="shared" si="7"/>
        <v>3686.3999999999996</v>
      </c>
      <c r="S51" s="164">
        <f>AVERAGE(E51,K51,M51)</f>
        <v>1.7166666666666668</v>
      </c>
      <c r="T51" s="164">
        <f t="shared" si="6"/>
        <v>824</v>
      </c>
    </row>
    <row r="52" spans="1:21" ht="25.5" x14ac:dyDescent="0.25">
      <c r="A52" s="108">
        <v>43</v>
      </c>
      <c r="B52" s="151" t="s">
        <v>385</v>
      </c>
      <c r="C52" s="108" t="s">
        <v>22</v>
      </c>
      <c r="D52" s="153">
        <v>24</v>
      </c>
      <c r="E52" s="162">
        <v>27.97</v>
      </c>
      <c r="F52" s="163">
        <f t="shared" si="1"/>
        <v>671.28</v>
      </c>
      <c r="G52" s="74">
        <v>0</v>
      </c>
      <c r="H52" s="76">
        <f t="shared" si="2"/>
        <v>0</v>
      </c>
      <c r="I52" s="76"/>
      <c r="J52" s="76"/>
      <c r="K52" s="76"/>
      <c r="L52" s="76">
        <f t="shared" si="3"/>
        <v>0</v>
      </c>
      <c r="M52" s="74">
        <v>0</v>
      </c>
      <c r="N52" s="76">
        <f t="shared" si="4"/>
        <v>0</v>
      </c>
      <c r="O52" s="74">
        <v>0</v>
      </c>
      <c r="P52" s="76">
        <f t="shared" si="5"/>
        <v>0</v>
      </c>
      <c r="Q52" s="76"/>
      <c r="R52" s="76">
        <f t="shared" si="7"/>
        <v>0</v>
      </c>
      <c r="S52" s="164">
        <f>AVERAGE(E52)</f>
        <v>27.97</v>
      </c>
      <c r="T52" s="164">
        <f t="shared" si="6"/>
        <v>671.28</v>
      </c>
    </row>
    <row r="53" spans="1:21" ht="30.75" customHeight="1" x14ac:dyDescent="0.25">
      <c r="A53" s="108">
        <v>44</v>
      </c>
      <c r="B53" s="151" t="s">
        <v>386</v>
      </c>
      <c r="C53" s="108" t="s">
        <v>22</v>
      </c>
      <c r="D53" s="153">
        <v>24</v>
      </c>
      <c r="E53" s="162">
        <v>6.23</v>
      </c>
      <c r="F53" s="163">
        <f t="shared" si="1"/>
        <v>149.52000000000001</v>
      </c>
      <c r="G53" s="74">
        <v>0</v>
      </c>
      <c r="H53" s="76">
        <f t="shared" si="2"/>
        <v>0</v>
      </c>
      <c r="I53" s="76"/>
      <c r="J53" s="76"/>
      <c r="K53" s="76"/>
      <c r="L53" s="76">
        <f t="shared" si="3"/>
        <v>0</v>
      </c>
      <c r="M53" s="74">
        <v>0</v>
      </c>
      <c r="N53" s="76">
        <f t="shared" si="4"/>
        <v>0</v>
      </c>
      <c r="O53" s="74">
        <v>0</v>
      </c>
      <c r="P53" s="76">
        <f t="shared" si="5"/>
        <v>0</v>
      </c>
      <c r="Q53" s="76">
        <v>8.7100000000000009</v>
      </c>
      <c r="R53" s="76">
        <f t="shared" si="7"/>
        <v>209.04000000000002</v>
      </c>
      <c r="S53" s="164">
        <f>AVERAGE(E53,Q53)</f>
        <v>7.4700000000000006</v>
      </c>
      <c r="T53" s="164">
        <f t="shared" si="6"/>
        <v>179.28000000000003</v>
      </c>
    </row>
    <row r="54" spans="1:21" ht="25.5" x14ac:dyDescent="0.25">
      <c r="A54" s="108">
        <v>45</v>
      </c>
      <c r="B54" s="151" t="s">
        <v>387</v>
      </c>
      <c r="C54" s="108" t="s">
        <v>22</v>
      </c>
      <c r="D54" s="153">
        <v>48</v>
      </c>
      <c r="E54" s="162">
        <v>4.8600000000000003</v>
      </c>
      <c r="F54" s="163">
        <f t="shared" si="1"/>
        <v>233.28000000000003</v>
      </c>
      <c r="G54" s="74">
        <v>0</v>
      </c>
      <c r="H54" s="76">
        <f t="shared" si="2"/>
        <v>0</v>
      </c>
      <c r="I54" s="76"/>
      <c r="J54" s="76"/>
      <c r="K54" s="76"/>
      <c r="L54" s="76">
        <f t="shared" si="3"/>
        <v>0</v>
      </c>
      <c r="M54" s="74">
        <v>0</v>
      </c>
      <c r="N54" s="76">
        <f t="shared" si="4"/>
        <v>0</v>
      </c>
      <c r="O54" s="74">
        <v>0</v>
      </c>
      <c r="P54" s="76">
        <f t="shared" si="5"/>
        <v>0</v>
      </c>
      <c r="Q54" s="76"/>
      <c r="R54" s="76">
        <f t="shared" si="7"/>
        <v>0</v>
      </c>
      <c r="S54" s="164">
        <f>AVERAGE(E54)</f>
        <v>4.8600000000000003</v>
      </c>
      <c r="T54" s="164">
        <f t="shared" si="6"/>
        <v>233.28000000000003</v>
      </c>
    </row>
    <row r="55" spans="1:21" ht="51" x14ac:dyDescent="0.25">
      <c r="A55" s="108">
        <v>46</v>
      </c>
      <c r="B55" s="151" t="s">
        <v>388</v>
      </c>
      <c r="C55" s="108" t="s">
        <v>22</v>
      </c>
      <c r="D55" s="153">
        <v>1200</v>
      </c>
      <c r="E55" s="162">
        <v>1.91</v>
      </c>
      <c r="F55" s="163">
        <f t="shared" si="1"/>
        <v>2292</v>
      </c>
      <c r="G55" s="74">
        <v>13.19</v>
      </c>
      <c r="H55" s="76">
        <f t="shared" si="2"/>
        <v>15828</v>
      </c>
      <c r="I55" s="76"/>
      <c r="J55" s="76"/>
      <c r="K55" s="76"/>
      <c r="L55" s="76">
        <f t="shared" si="3"/>
        <v>0</v>
      </c>
      <c r="M55" s="74">
        <v>0</v>
      </c>
      <c r="N55" s="76">
        <f t="shared" si="4"/>
        <v>0</v>
      </c>
      <c r="O55" s="74">
        <v>2</v>
      </c>
      <c r="P55" s="76">
        <f t="shared" si="5"/>
        <v>2400</v>
      </c>
      <c r="Q55" s="76">
        <v>4.0999999999999996</v>
      </c>
      <c r="R55" s="76">
        <f t="shared" si="7"/>
        <v>4920</v>
      </c>
      <c r="S55" s="164">
        <f>AVERAGE(E55,O55,Q55)</f>
        <v>2.67</v>
      </c>
      <c r="T55" s="164">
        <f t="shared" si="6"/>
        <v>3204</v>
      </c>
    </row>
    <row r="56" spans="1:21" ht="63.75" x14ac:dyDescent="0.25">
      <c r="A56" s="108">
        <v>47</v>
      </c>
      <c r="B56" s="151" t="s">
        <v>389</v>
      </c>
      <c r="C56" s="108" t="s">
        <v>199</v>
      </c>
      <c r="D56" s="153">
        <v>288</v>
      </c>
      <c r="E56" s="162">
        <v>4.0599999999999996</v>
      </c>
      <c r="F56" s="163">
        <f t="shared" si="1"/>
        <v>1169.28</v>
      </c>
      <c r="G56" s="74">
        <v>15.9</v>
      </c>
      <c r="H56" s="76">
        <f t="shared" si="2"/>
        <v>4579.2</v>
      </c>
      <c r="I56" s="76"/>
      <c r="J56" s="76"/>
      <c r="K56" s="76"/>
      <c r="L56" s="76">
        <f t="shared" si="3"/>
        <v>0</v>
      </c>
      <c r="M56" s="74">
        <v>0</v>
      </c>
      <c r="N56" s="76">
        <f>M56*D56</f>
        <v>0</v>
      </c>
      <c r="O56" s="74">
        <v>3.6</v>
      </c>
      <c r="P56" s="76">
        <f t="shared" si="5"/>
        <v>1036.8</v>
      </c>
      <c r="Q56" s="76">
        <v>13.54</v>
      </c>
      <c r="R56" s="76">
        <f t="shared" si="7"/>
        <v>3899.5199999999995</v>
      </c>
      <c r="S56" s="164">
        <f>AVERAGE(E56,O56)</f>
        <v>3.83</v>
      </c>
      <c r="T56" s="164">
        <f t="shared" si="6"/>
        <v>1103.04</v>
      </c>
    </row>
    <row r="57" spans="1:21" ht="51" x14ac:dyDescent="0.25">
      <c r="A57" s="108">
        <v>48</v>
      </c>
      <c r="B57" s="151" t="s">
        <v>390</v>
      </c>
      <c r="C57" s="108" t="s">
        <v>199</v>
      </c>
      <c r="D57" s="153">
        <v>60</v>
      </c>
      <c r="E57" s="162">
        <v>13.25</v>
      </c>
      <c r="F57" s="163">
        <f t="shared" si="1"/>
        <v>795</v>
      </c>
      <c r="G57" s="74">
        <v>20.2</v>
      </c>
      <c r="H57" s="76">
        <f t="shared" si="2"/>
        <v>1212</v>
      </c>
      <c r="I57" s="76"/>
      <c r="J57" s="76"/>
      <c r="K57" s="76">
        <v>2.0099999999999998</v>
      </c>
      <c r="L57" s="76">
        <f t="shared" si="3"/>
        <v>120.6</v>
      </c>
      <c r="M57" s="74">
        <v>0</v>
      </c>
      <c r="N57" s="76">
        <f t="shared" si="4"/>
        <v>0</v>
      </c>
      <c r="O57" s="74">
        <v>0</v>
      </c>
      <c r="P57" s="76">
        <f t="shared" si="5"/>
        <v>0</v>
      </c>
      <c r="Q57" s="76">
        <v>15.68</v>
      </c>
      <c r="R57" s="76">
        <f t="shared" si="7"/>
        <v>940.8</v>
      </c>
      <c r="S57" s="164">
        <f>AVERAGE(E57,Q57)</f>
        <v>14.465</v>
      </c>
      <c r="T57" s="164">
        <f t="shared" si="6"/>
        <v>867.9</v>
      </c>
    </row>
    <row r="58" spans="1:21" ht="24.75" customHeight="1" x14ac:dyDescent="0.25">
      <c r="A58" s="108">
        <v>49</v>
      </c>
      <c r="B58" s="151" t="s">
        <v>391</v>
      </c>
      <c r="C58" s="108" t="s">
        <v>22</v>
      </c>
      <c r="D58" s="153">
        <v>288</v>
      </c>
      <c r="E58" s="162">
        <v>3.66</v>
      </c>
      <c r="F58" s="163">
        <f t="shared" si="1"/>
        <v>1054.08</v>
      </c>
      <c r="G58" s="74">
        <v>0</v>
      </c>
      <c r="H58" s="76">
        <f t="shared" si="2"/>
        <v>0</v>
      </c>
      <c r="I58" s="76"/>
      <c r="J58" s="76"/>
      <c r="K58" s="76"/>
      <c r="L58" s="76">
        <f t="shared" si="3"/>
        <v>0</v>
      </c>
      <c r="M58" s="74">
        <v>0</v>
      </c>
      <c r="N58" s="76">
        <f t="shared" si="4"/>
        <v>0</v>
      </c>
      <c r="O58" s="74">
        <v>0</v>
      </c>
      <c r="P58" s="76">
        <f t="shared" si="5"/>
        <v>0</v>
      </c>
      <c r="Q58" s="76">
        <v>6.96</v>
      </c>
      <c r="R58" s="76">
        <f t="shared" si="7"/>
        <v>2004.48</v>
      </c>
      <c r="S58" s="164">
        <f>AVERAGE(E58,Q58)</f>
        <v>5.3100000000000005</v>
      </c>
      <c r="T58" s="164">
        <f t="shared" si="6"/>
        <v>1529.2800000000002</v>
      </c>
    </row>
    <row r="59" spans="1:21" ht="25.5" x14ac:dyDescent="0.25">
      <c r="A59" s="108">
        <v>50</v>
      </c>
      <c r="B59" s="151" t="s">
        <v>392</v>
      </c>
      <c r="C59" s="108" t="s">
        <v>22</v>
      </c>
      <c r="D59" s="153">
        <v>48</v>
      </c>
      <c r="E59" s="162">
        <v>7.21</v>
      </c>
      <c r="F59" s="163">
        <f t="shared" si="1"/>
        <v>346.08</v>
      </c>
      <c r="G59" s="74">
        <v>0</v>
      </c>
      <c r="H59" s="76">
        <f t="shared" si="2"/>
        <v>0</v>
      </c>
      <c r="I59" s="76"/>
      <c r="J59" s="76"/>
      <c r="K59" s="76"/>
      <c r="L59" s="76">
        <f t="shared" si="3"/>
        <v>0</v>
      </c>
      <c r="M59" s="74">
        <v>0</v>
      </c>
      <c r="N59" s="76">
        <f t="shared" si="4"/>
        <v>0</v>
      </c>
      <c r="O59" s="74">
        <v>0</v>
      </c>
      <c r="P59" s="76">
        <f t="shared" si="5"/>
        <v>0</v>
      </c>
      <c r="Q59" s="76">
        <v>10.14</v>
      </c>
      <c r="R59" s="76">
        <f t="shared" si="7"/>
        <v>486.72</v>
      </c>
      <c r="S59" s="164">
        <f>AVERAGE(E59,Q59)</f>
        <v>8.6750000000000007</v>
      </c>
      <c r="T59" s="164">
        <f t="shared" si="6"/>
        <v>416.40000000000003</v>
      </c>
    </row>
    <row r="60" spans="1:21" ht="38.25" x14ac:dyDescent="0.25">
      <c r="A60" s="108">
        <v>51</v>
      </c>
      <c r="B60" s="151" t="s">
        <v>393</v>
      </c>
      <c r="C60" s="108" t="s">
        <v>22</v>
      </c>
      <c r="D60" s="153">
        <v>48</v>
      </c>
      <c r="E60" s="162">
        <v>8.08</v>
      </c>
      <c r="F60" s="163">
        <f t="shared" si="1"/>
        <v>387.84000000000003</v>
      </c>
      <c r="G60" s="74">
        <v>0</v>
      </c>
      <c r="H60" s="76">
        <f t="shared" si="2"/>
        <v>0</v>
      </c>
      <c r="I60" s="76"/>
      <c r="J60" s="76"/>
      <c r="K60" s="76">
        <v>3.05</v>
      </c>
      <c r="L60" s="76">
        <f t="shared" si="3"/>
        <v>146.39999999999998</v>
      </c>
      <c r="M60" s="74">
        <v>0</v>
      </c>
      <c r="N60" s="76">
        <f t="shared" si="4"/>
        <v>0</v>
      </c>
      <c r="O60" s="74">
        <v>8</v>
      </c>
      <c r="P60" s="76">
        <f t="shared" si="5"/>
        <v>384</v>
      </c>
      <c r="Q60" s="76">
        <v>11.72</v>
      </c>
      <c r="R60" s="76">
        <f t="shared" si="7"/>
        <v>562.56000000000006</v>
      </c>
      <c r="S60" s="164">
        <f>AVERAGE(E60,O60)</f>
        <v>8.0399999999999991</v>
      </c>
      <c r="T60" s="164">
        <f t="shared" si="6"/>
        <v>385.91999999999996</v>
      </c>
      <c r="U60" s="165"/>
    </row>
    <row r="61" spans="1:21" ht="25.5" x14ac:dyDescent="0.25">
      <c r="A61" s="108">
        <v>52</v>
      </c>
      <c r="B61" s="151" t="s">
        <v>394</v>
      </c>
      <c r="C61" s="108" t="s">
        <v>22</v>
      </c>
      <c r="D61" s="153">
        <v>864</v>
      </c>
      <c r="E61" s="162">
        <v>7.97</v>
      </c>
      <c r="F61" s="163">
        <f t="shared" si="1"/>
        <v>6886.08</v>
      </c>
      <c r="G61" s="74">
        <v>0</v>
      </c>
      <c r="H61" s="76">
        <f t="shared" si="2"/>
        <v>0</v>
      </c>
      <c r="I61" s="76"/>
      <c r="J61" s="76"/>
      <c r="K61" s="76"/>
      <c r="L61" s="76">
        <f t="shared" si="3"/>
        <v>0</v>
      </c>
      <c r="M61" s="74">
        <v>0</v>
      </c>
      <c r="N61" s="76">
        <f t="shared" si="4"/>
        <v>0</v>
      </c>
      <c r="O61" s="74">
        <v>0</v>
      </c>
      <c r="P61" s="76">
        <f t="shared" si="5"/>
        <v>0</v>
      </c>
      <c r="Q61" s="76"/>
      <c r="R61" s="76">
        <f t="shared" si="7"/>
        <v>0</v>
      </c>
      <c r="S61" s="164">
        <f>AVERAGE(E61)</f>
        <v>7.97</v>
      </c>
      <c r="T61" s="164">
        <f t="shared" si="6"/>
        <v>6886.08</v>
      </c>
    </row>
    <row r="62" spans="1:21" ht="25.5" x14ac:dyDescent="0.25">
      <c r="A62" s="108">
        <v>53</v>
      </c>
      <c r="B62" s="151" t="s">
        <v>395</v>
      </c>
      <c r="C62" s="108" t="s">
        <v>22</v>
      </c>
      <c r="D62" s="153">
        <v>288</v>
      </c>
      <c r="E62" s="162">
        <v>13.63</v>
      </c>
      <c r="F62" s="163">
        <f t="shared" si="1"/>
        <v>3925.44</v>
      </c>
      <c r="G62" s="74">
        <v>0</v>
      </c>
      <c r="H62" s="76">
        <f t="shared" si="2"/>
        <v>0</v>
      </c>
      <c r="I62" s="76"/>
      <c r="J62" s="76"/>
      <c r="K62" s="76"/>
      <c r="L62" s="76">
        <f t="shared" si="3"/>
        <v>0</v>
      </c>
      <c r="M62" s="74">
        <v>0</v>
      </c>
      <c r="N62" s="76">
        <f t="shared" si="4"/>
        <v>0</v>
      </c>
      <c r="O62" s="74">
        <v>0</v>
      </c>
      <c r="P62" s="76">
        <f t="shared" si="5"/>
        <v>0</v>
      </c>
      <c r="Q62" s="76"/>
      <c r="R62" s="76">
        <f t="shared" si="7"/>
        <v>0</v>
      </c>
      <c r="S62" s="164">
        <f>AVERAGE(E62)</f>
        <v>13.63</v>
      </c>
      <c r="T62" s="164">
        <f t="shared" si="6"/>
        <v>3925.44</v>
      </c>
    </row>
    <row r="63" spans="1:21" x14ac:dyDescent="0.25">
      <c r="A63" s="358" t="s">
        <v>397</v>
      </c>
      <c r="B63" s="358"/>
      <c r="C63" s="358"/>
      <c r="D63" s="358"/>
      <c r="E63" s="358"/>
      <c r="F63" s="358"/>
      <c r="G63" s="358"/>
      <c r="H63" s="154"/>
      <c r="I63" s="154"/>
      <c r="J63" s="154"/>
      <c r="K63" s="354"/>
      <c r="L63" s="354"/>
      <c r="M63" s="354"/>
      <c r="N63" s="354"/>
      <c r="O63" s="354"/>
      <c r="P63" s="354"/>
      <c r="Q63" s="354"/>
      <c r="R63" s="354"/>
      <c r="S63" s="354">
        <f>ROUND(SUM(T10:T62),2)</f>
        <v>175296.62</v>
      </c>
      <c r="T63" s="354"/>
    </row>
    <row r="64" spans="1:21" x14ac:dyDescent="0.25">
      <c r="A64" s="358" t="s">
        <v>398</v>
      </c>
      <c r="B64" s="358"/>
      <c r="C64" s="358"/>
      <c r="D64" s="358"/>
      <c r="E64" s="358"/>
      <c r="F64" s="358"/>
      <c r="G64" s="358"/>
      <c r="H64" s="154"/>
      <c r="I64" s="154"/>
      <c r="J64" s="154"/>
      <c r="K64" s="354"/>
      <c r="L64" s="354"/>
      <c r="M64" s="354"/>
      <c r="N64" s="354"/>
      <c r="O64" s="354"/>
      <c r="P64" s="354"/>
      <c r="Q64" s="354"/>
      <c r="R64" s="354"/>
      <c r="S64" s="354">
        <f t="shared" ref="S64" si="8">S63/12</f>
        <v>14608.051666666666</v>
      </c>
      <c r="T64" s="354"/>
    </row>
  </sheetData>
  <mergeCells count="32">
    <mergeCell ref="A6:T6"/>
    <mergeCell ref="A4:T4"/>
    <mergeCell ref="A3:T3"/>
    <mergeCell ref="A2:T2"/>
    <mergeCell ref="A1:T1"/>
    <mergeCell ref="K64:L64"/>
    <mergeCell ref="A63:G63"/>
    <mergeCell ref="A64:G64"/>
    <mergeCell ref="G8:H8"/>
    <mergeCell ref="A8:A9"/>
    <mergeCell ref="B8:B9"/>
    <mergeCell ref="C8:C9"/>
    <mergeCell ref="D8:D9"/>
    <mergeCell ref="E8:F9"/>
    <mergeCell ref="I8:J8"/>
    <mergeCell ref="K8:L8"/>
    <mergeCell ref="G7:P7"/>
    <mergeCell ref="M64:N64"/>
    <mergeCell ref="O64:P64"/>
    <mergeCell ref="A7:F7"/>
    <mergeCell ref="A5:T5"/>
    <mergeCell ref="Q63:R63"/>
    <mergeCell ref="S63:T63"/>
    <mergeCell ref="Q64:R64"/>
    <mergeCell ref="S64:T64"/>
    <mergeCell ref="Q7:R8"/>
    <mergeCell ref="S7:T8"/>
    <mergeCell ref="M63:N63"/>
    <mergeCell ref="O63:P63"/>
    <mergeCell ref="O8:P8"/>
    <mergeCell ref="M8:N8"/>
    <mergeCell ref="K63:L63"/>
  </mergeCells>
  <pageMargins left="0.511811024" right="0.511811024" top="0.78740157499999996" bottom="0.78740157499999996" header="0.31496062000000002" footer="0.31496062000000002"/>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9"/>
  <sheetViews>
    <sheetView topLeftCell="A7" zoomScale="130" zoomScaleNormal="130" workbookViewId="0">
      <selection activeCell="A19" sqref="A19:L19"/>
    </sheetView>
  </sheetViews>
  <sheetFormatPr defaultRowHeight="15" x14ac:dyDescent="0.25"/>
  <cols>
    <col min="1" max="1" width="6" customWidth="1"/>
    <col min="2" max="2" width="14.140625" customWidth="1"/>
    <col min="3" max="3" width="6.140625" customWidth="1"/>
    <col min="4" max="4" width="9.42578125" customWidth="1"/>
    <col min="5" max="6" width="10.28515625" customWidth="1"/>
    <col min="7" max="7" width="9.85546875" customWidth="1"/>
    <col min="8" max="8" width="11.5703125" customWidth="1"/>
    <col min="9" max="9" width="10.5703125" customWidth="1"/>
    <col min="10" max="10" width="11.5703125" customWidth="1"/>
    <col min="11" max="11" width="9.7109375" customWidth="1"/>
    <col min="12" max="12" width="10.42578125" customWidth="1"/>
  </cols>
  <sheetData>
    <row r="1" spans="1:12" ht="15.75" x14ac:dyDescent="0.25">
      <c r="A1" s="386" t="s">
        <v>0</v>
      </c>
      <c r="B1" s="386"/>
      <c r="C1" s="386"/>
      <c r="D1" s="386"/>
      <c r="E1" s="386"/>
      <c r="F1" s="386"/>
      <c r="G1" s="386"/>
      <c r="H1" s="2"/>
      <c r="I1" s="2"/>
      <c r="J1" s="2"/>
      <c r="K1" s="2"/>
    </row>
    <row r="2" spans="1:12" ht="15.75" x14ac:dyDescent="0.25">
      <c r="A2" s="78" t="s">
        <v>1</v>
      </c>
      <c r="B2" s="78"/>
      <c r="C2" s="78"/>
      <c r="D2" s="78"/>
      <c r="E2" s="78"/>
      <c r="F2" s="78"/>
      <c r="G2" s="78"/>
      <c r="H2" s="2"/>
      <c r="I2" s="2"/>
      <c r="J2" s="2"/>
      <c r="K2" s="2"/>
    </row>
    <row r="3" spans="1:12" ht="15.75" x14ac:dyDescent="0.25">
      <c r="A3" s="387" t="s">
        <v>2</v>
      </c>
      <c r="B3" s="387"/>
      <c r="C3" s="387"/>
      <c r="D3" s="387"/>
      <c r="E3" s="387"/>
      <c r="F3" s="387"/>
      <c r="G3" s="387"/>
      <c r="H3" s="2"/>
      <c r="I3" s="2"/>
      <c r="J3" s="2"/>
      <c r="K3" s="2"/>
    </row>
    <row r="4" spans="1:12" ht="15.75" x14ac:dyDescent="0.25">
      <c r="A4" s="388" t="s">
        <v>3</v>
      </c>
      <c r="B4" s="388"/>
      <c r="C4" s="388"/>
      <c r="D4" s="388"/>
      <c r="E4" s="388"/>
      <c r="F4" s="388"/>
      <c r="G4" s="388"/>
      <c r="H4" s="2"/>
      <c r="I4" s="2"/>
      <c r="J4" s="2"/>
      <c r="K4" s="2"/>
    </row>
    <row r="5" spans="1:12" ht="15.75" x14ac:dyDescent="0.25">
      <c r="A5" s="388" t="s">
        <v>4</v>
      </c>
      <c r="B5" s="388"/>
      <c r="C5" s="388"/>
      <c r="D5" s="388"/>
      <c r="E5" s="388"/>
      <c r="F5" s="388"/>
      <c r="G5" s="388"/>
      <c r="H5" s="2"/>
      <c r="I5" s="2"/>
      <c r="J5" s="2"/>
      <c r="K5" s="2"/>
    </row>
    <row r="6" spans="1:12" x14ac:dyDescent="0.25">
      <c r="A6" s="370"/>
      <c r="B6" s="370"/>
      <c r="C6" s="370"/>
      <c r="D6" s="370"/>
      <c r="E6" s="370"/>
      <c r="F6" s="370"/>
      <c r="G6" s="370"/>
      <c r="H6" s="370"/>
      <c r="I6" s="370"/>
      <c r="J6" s="370"/>
      <c r="K6" s="370"/>
      <c r="L6" s="370"/>
    </row>
    <row r="7" spans="1:12" ht="42.75" customHeight="1" x14ac:dyDescent="0.25">
      <c r="A7" s="371" t="s">
        <v>198</v>
      </c>
      <c r="B7" s="371"/>
      <c r="C7" s="371"/>
      <c r="D7" s="371"/>
      <c r="E7" s="371"/>
      <c r="F7" s="371"/>
      <c r="G7" s="371"/>
      <c r="H7" s="371"/>
      <c r="I7" s="371"/>
      <c r="J7" s="371"/>
      <c r="K7" s="371"/>
      <c r="L7" s="371"/>
    </row>
    <row r="8" spans="1:12" x14ac:dyDescent="0.25">
      <c r="A8" s="372"/>
      <c r="B8" s="372"/>
      <c r="C8" s="372"/>
      <c r="D8" s="372"/>
      <c r="E8" s="372"/>
      <c r="F8" s="372"/>
      <c r="G8" s="372"/>
      <c r="H8" s="372"/>
      <c r="I8" s="372"/>
      <c r="J8" s="372"/>
      <c r="K8" s="372"/>
      <c r="L8" s="373"/>
    </row>
    <row r="9" spans="1:12" ht="14.45" customHeight="1" x14ac:dyDescent="0.25">
      <c r="A9" s="374" t="s">
        <v>5</v>
      </c>
      <c r="B9" s="374" t="s">
        <v>193</v>
      </c>
      <c r="C9" s="374" t="s">
        <v>194</v>
      </c>
      <c r="D9" s="377" t="s">
        <v>340</v>
      </c>
      <c r="E9" s="391" t="s">
        <v>195</v>
      </c>
      <c r="F9" s="392"/>
      <c r="G9" s="392"/>
      <c r="H9" s="392"/>
      <c r="I9" s="392"/>
      <c r="J9" s="392"/>
      <c r="K9" s="392"/>
      <c r="L9" s="393"/>
    </row>
    <row r="10" spans="1:12" ht="41.25" customHeight="1" x14ac:dyDescent="0.25">
      <c r="A10" s="375"/>
      <c r="B10" s="375"/>
      <c r="C10" s="375"/>
      <c r="D10" s="378"/>
      <c r="E10" s="390" t="s">
        <v>411</v>
      </c>
      <c r="F10" s="390"/>
      <c r="G10" s="380" t="s">
        <v>403</v>
      </c>
      <c r="H10" s="381"/>
      <c r="I10" s="382" t="s">
        <v>406</v>
      </c>
      <c r="J10" s="383"/>
      <c r="K10" s="384" t="s">
        <v>408</v>
      </c>
      <c r="L10" s="385"/>
    </row>
    <row r="11" spans="1:12" ht="51" x14ac:dyDescent="0.25">
      <c r="A11" s="376"/>
      <c r="B11" s="376"/>
      <c r="C11" s="376"/>
      <c r="D11" s="379"/>
      <c r="E11" s="139" t="s">
        <v>196</v>
      </c>
      <c r="F11" s="140" t="s">
        <v>341</v>
      </c>
      <c r="G11" s="137" t="s">
        <v>196</v>
      </c>
      <c r="H11" s="79" t="s">
        <v>341</v>
      </c>
      <c r="I11" s="80" t="s">
        <v>196</v>
      </c>
      <c r="J11" s="80" t="s">
        <v>341</v>
      </c>
      <c r="K11" s="145" t="s">
        <v>196</v>
      </c>
      <c r="L11" s="146" t="s">
        <v>341</v>
      </c>
    </row>
    <row r="12" spans="1:12" x14ac:dyDescent="0.25">
      <c r="A12" s="81" t="s">
        <v>173</v>
      </c>
      <c r="B12" s="70" t="str">
        <f>'Resumo Geral (MO+MAT.)'!B16</f>
        <v>Encarregado</v>
      </c>
      <c r="C12" s="138" t="s">
        <v>194</v>
      </c>
      <c r="D12" s="159">
        <f>Encarregado!G157</f>
        <v>10102.48</v>
      </c>
      <c r="E12" s="141">
        <v>6844.72</v>
      </c>
      <c r="F12" s="142">
        <f>(E12-D12)/D12</f>
        <v>-0.32247131397439038</v>
      </c>
      <c r="G12" s="143">
        <v>6732.33</v>
      </c>
      <c r="H12" s="84">
        <f>(G12-D12)/D12</f>
        <v>-0.33359630506568683</v>
      </c>
      <c r="I12" s="144">
        <v>4678.3500000000004</v>
      </c>
      <c r="J12" s="85">
        <f>(I12-D12)/D12</f>
        <v>-0.53691073874929718</v>
      </c>
      <c r="K12" s="147">
        <v>0</v>
      </c>
      <c r="L12" s="148"/>
    </row>
    <row r="13" spans="1:12" x14ac:dyDescent="0.25">
      <c r="A13" s="81" t="s">
        <v>174</v>
      </c>
      <c r="B13" s="70" t="str">
        <f>'Resumo Geral (MO+MAT.)'!B17</f>
        <v>Copeira</v>
      </c>
      <c r="C13" s="138" t="s">
        <v>194</v>
      </c>
      <c r="D13" s="159">
        <f>Copeira!G157</f>
        <v>5094.75</v>
      </c>
      <c r="E13" s="141">
        <v>4272.09</v>
      </c>
      <c r="F13" s="142">
        <f>(E13-D13)/D13</f>
        <v>-0.16147210363609596</v>
      </c>
      <c r="G13" s="143">
        <v>5633.23</v>
      </c>
      <c r="H13" s="84">
        <f>(G13-D13)/D13</f>
        <v>0.1056931154619951</v>
      </c>
      <c r="I13" s="144">
        <v>3607.49</v>
      </c>
      <c r="J13" s="85">
        <f>(I13-D13)/D13</f>
        <v>-0.29192011384268124</v>
      </c>
      <c r="K13" s="147">
        <v>4530.16</v>
      </c>
      <c r="L13" s="148">
        <f>(K13-D13)/D13</f>
        <v>-0.11081799892045736</v>
      </c>
    </row>
    <row r="14" spans="1:12" x14ac:dyDescent="0.25">
      <c r="A14" s="81" t="s">
        <v>190</v>
      </c>
      <c r="B14" s="70" t="str">
        <f>'Resumo Geral (MO+MAT.)'!B18</f>
        <v>Garçom</v>
      </c>
      <c r="C14" s="138" t="s">
        <v>194</v>
      </c>
      <c r="D14" s="159">
        <f>Garçom!G157</f>
        <v>6772.1</v>
      </c>
      <c r="E14" s="141">
        <v>5531.73</v>
      </c>
      <c r="F14" s="142">
        <f>(E14-D14)/D14</f>
        <v>-0.18315884289954382</v>
      </c>
      <c r="G14" s="143">
        <v>5373.15</v>
      </c>
      <c r="H14" s="84">
        <f>(G14-D14)/D14</f>
        <v>-0.20657550833567145</v>
      </c>
      <c r="I14" s="144">
        <v>3429.84</v>
      </c>
      <c r="J14" s="85">
        <f>(I14-D14)/D14</f>
        <v>-0.49353376352977657</v>
      </c>
      <c r="K14" s="147">
        <v>0</v>
      </c>
      <c r="L14" s="148"/>
    </row>
    <row r="15" spans="1:12" x14ac:dyDescent="0.25">
      <c r="A15" s="81" t="s">
        <v>191</v>
      </c>
      <c r="B15" s="70" t="str">
        <f>'Resumo Geral (MO+MAT.)'!B19</f>
        <v>Garçonete</v>
      </c>
      <c r="C15" s="138" t="s">
        <v>194</v>
      </c>
      <c r="D15" s="159">
        <f>Garçonete!G157</f>
        <v>6746.74</v>
      </c>
      <c r="E15" s="141">
        <v>5536.67</v>
      </c>
      <c r="F15" s="142">
        <f>(E15-D15)/D15</f>
        <v>-0.17935625205654876</v>
      </c>
      <c r="G15" s="143"/>
      <c r="H15" s="84"/>
      <c r="I15" s="144"/>
      <c r="J15" s="83"/>
      <c r="K15" s="147"/>
      <c r="L15" s="149"/>
    </row>
    <row r="16" spans="1:12" ht="13.9" customHeight="1" x14ac:dyDescent="0.25">
      <c r="A16" s="81" t="s">
        <v>192</v>
      </c>
      <c r="B16" s="70" t="str">
        <f>'Resumo Geral (MO+MAT.)'!B20</f>
        <v xml:space="preserve">Auxiliar </v>
      </c>
      <c r="C16" s="138" t="s">
        <v>194</v>
      </c>
      <c r="D16" s="159">
        <f>'Auxiliar '!G157</f>
        <v>5113.04</v>
      </c>
      <c r="E16" s="141">
        <v>4259.0600000000004</v>
      </c>
      <c r="F16" s="142">
        <f>(E16-D16)/D16</f>
        <v>-0.16702001157823909</v>
      </c>
      <c r="G16" s="143">
        <v>4052.01</v>
      </c>
      <c r="H16" s="84">
        <f>(G16-D16)/D16</f>
        <v>-0.20751451191463391</v>
      </c>
      <c r="I16" s="144"/>
      <c r="J16" s="82"/>
      <c r="K16" s="147"/>
      <c r="L16" s="149"/>
    </row>
    <row r="17" spans="1:12" x14ac:dyDescent="0.25">
      <c r="A17" s="389"/>
      <c r="B17" s="389"/>
      <c r="C17" s="389"/>
      <c r="D17" s="389"/>
      <c r="E17" s="389"/>
      <c r="F17" s="389"/>
      <c r="G17" s="389"/>
      <c r="H17" s="389"/>
      <c r="I17" s="389"/>
      <c r="J17" s="389"/>
      <c r="K17" s="389"/>
      <c r="L17" s="389"/>
    </row>
    <row r="18" spans="1:12" x14ac:dyDescent="0.25">
      <c r="A18" s="369" t="s">
        <v>197</v>
      </c>
      <c r="B18" s="369"/>
      <c r="C18" s="369"/>
      <c r="D18" s="369"/>
      <c r="E18" s="369"/>
      <c r="F18" s="369"/>
      <c r="G18" s="369"/>
      <c r="H18" s="369"/>
      <c r="I18" s="369"/>
      <c r="J18" s="369"/>
      <c r="K18" s="369"/>
      <c r="L18" s="369"/>
    </row>
    <row r="19" spans="1:12" ht="74.45" customHeight="1" x14ac:dyDescent="0.25">
      <c r="A19" s="366" t="s">
        <v>434</v>
      </c>
      <c r="B19" s="367"/>
      <c r="C19" s="367"/>
      <c r="D19" s="367"/>
      <c r="E19" s="367"/>
      <c r="F19" s="367"/>
      <c r="G19" s="367"/>
      <c r="H19" s="367"/>
      <c r="I19" s="367"/>
      <c r="J19" s="367"/>
      <c r="K19" s="367"/>
      <c r="L19" s="368"/>
    </row>
  </sheetData>
  <mergeCells count="19">
    <mergeCell ref="A1:G1"/>
    <mergeCell ref="A3:G3"/>
    <mergeCell ref="A4:G4"/>
    <mergeCell ref="A5:G5"/>
    <mergeCell ref="A17:L17"/>
    <mergeCell ref="E10:F10"/>
    <mergeCell ref="E9:L9"/>
    <mergeCell ref="A19:L19"/>
    <mergeCell ref="A18:L18"/>
    <mergeCell ref="A6:L6"/>
    <mergeCell ref="A7:L7"/>
    <mergeCell ref="A8:L8"/>
    <mergeCell ref="A9:A11"/>
    <mergeCell ref="B9:B11"/>
    <mergeCell ref="C9:C11"/>
    <mergeCell ref="D9:D11"/>
    <mergeCell ref="G10:H10"/>
    <mergeCell ref="I10:J10"/>
    <mergeCell ref="K10:L10"/>
  </mergeCells>
  <pageMargins left="0.59055118110236227" right="0.59055118110236227" top="0.78740157480314965" bottom="0.78740157480314965" header="0.31496062992125984" footer="0.31496062992125984"/>
  <pageSetup paperSize="9" scale="9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Encarregado</vt:lpstr>
      <vt:lpstr>Copeira</vt:lpstr>
      <vt:lpstr>Garçom</vt:lpstr>
      <vt:lpstr>Garçonete</vt:lpstr>
      <vt:lpstr>Auxiliar </vt:lpstr>
      <vt:lpstr>Uniformes Total</vt:lpstr>
      <vt:lpstr>Uniformes Por Categoria</vt:lpstr>
      <vt:lpstr> Material Consumo</vt:lpstr>
      <vt:lpstr>Pesquisa Preços O. Públicos</vt:lpstr>
      <vt:lpstr>Resumo Geral (MO+MAT.)</vt:lpstr>
      <vt:lpstr>Objeto</vt:lpstr>
      <vt:lpstr>% Valor Total_MO e MAT </vt:lpstr>
      <vt:lpstr>Relógio de ponto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Alvanir da Silva Carvalho</dc:creator>
  <cp:lastModifiedBy>Tayna Lima Martins</cp:lastModifiedBy>
  <cp:lastPrinted>2020-06-21T18:10:04Z</cp:lastPrinted>
  <dcterms:created xsi:type="dcterms:W3CDTF">2020-06-17T10:05:11Z</dcterms:created>
  <dcterms:modified xsi:type="dcterms:W3CDTF">2024-04-02T13:09:33Z</dcterms:modified>
</cp:coreProperties>
</file>