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\SAA\CGL\COPLI\DILIC\2024\4 - Processos em Andamento\1 - Pregão\PE nº 90004-2024 - Brigada\1. EDITAL\"/>
    </mc:Choice>
  </mc:AlternateContent>
  <xr:revisionPtr revIDLastSave="0" documentId="8_{5973856E-F917-4B2E-9C0A-C02B92F93FCE}" xr6:coauthVersionLast="47" xr6:coauthVersionMax="47" xr10:uidLastSave="{00000000-0000-0000-0000-000000000000}"/>
  <bookViews>
    <workbookView xWindow="-120" yWindow="-120" windowWidth="29040" windowHeight="15840" firstSheet="2" activeTab="5" xr2:uid="{922FF9A6-F50F-4EF2-89D0-9E2B82DEAB23}"/>
  </bookViews>
  <sheets>
    <sheet name="Resumo" sheetId="6" r:id="rId1"/>
    <sheet name="Chefe de Brigada (Líder)" sheetId="1" r:id="rId2"/>
    <sheet name="Brigadista Particular - Diurno" sheetId="2" r:id="rId3"/>
    <sheet name="Brigadista Particular - Noturno" sheetId="3" r:id="rId4"/>
    <sheet name="Uniformes" sheetId="8" r:id="rId5"/>
    <sheet name="Materiais de consumo" sheetId="7" r:id="rId6"/>
    <sheet name="Materiais permanentes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2" l="1"/>
  <c r="D85" i="3"/>
  <c r="D85" i="1"/>
  <c r="C50" i="11"/>
  <c r="D84" i="2"/>
  <c r="D84" i="3"/>
  <c r="D84" i="1"/>
  <c r="C26" i="7"/>
  <c r="C25" i="7"/>
  <c r="C24" i="7"/>
  <c r="C23" i="7"/>
  <c r="D83" i="2"/>
  <c r="D83" i="3"/>
  <c r="D83" i="1"/>
  <c r="C14" i="8"/>
  <c r="C13" i="8"/>
  <c r="AD10" i="8" l="1"/>
  <c r="AC10" i="8"/>
  <c r="AD9" i="8"/>
  <c r="AC9" i="8"/>
  <c r="AD8" i="8"/>
  <c r="AC8" i="8"/>
  <c r="AD7" i="8"/>
  <c r="AC7" i="8"/>
  <c r="AD6" i="8"/>
  <c r="AC6" i="8"/>
  <c r="AD5" i="8"/>
  <c r="AC5" i="8"/>
  <c r="AD4" i="8"/>
  <c r="AC4" i="8"/>
  <c r="AF42" i="11"/>
  <c r="AE42" i="11"/>
  <c r="AF41" i="11"/>
  <c r="AE41" i="11"/>
  <c r="AF40" i="11"/>
  <c r="AE40" i="11"/>
  <c r="AF39" i="11"/>
  <c r="AE39" i="11"/>
  <c r="AF38" i="11"/>
  <c r="AE38" i="11"/>
  <c r="AF37" i="11"/>
  <c r="AE37" i="11"/>
  <c r="AF36" i="11"/>
  <c r="AE36" i="11"/>
  <c r="AF35" i="11"/>
  <c r="AE35" i="11"/>
  <c r="AF34" i="11"/>
  <c r="AE34" i="11"/>
  <c r="AF31" i="11"/>
  <c r="AE31" i="11"/>
  <c r="AF30" i="11"/>
  <c r="AE30" i="11"/>
  <c r="AF28" i="11"/>
  <c r="AE28" i="11"/>
  <c r="AF27" i="11"/>
  <c r="AE27" i="11"/>
  <c r="AF26" i="11"/>
  <c r="AE26" i="11"/>
  <c r="AF25" i="11"/>
  <c r="AE25" i="11"/>
  <c r="AF24" i="11"/>
  <c r="AE24" i="11"/>
  <c r="AF21" i="11"/>
  <c r="AE21" i="11"/>
  <c r="AF19" i="11"/>
  <c r="AE19" i="11"/>
  <c r="AF18" i="11"/>
  <c r="AE18" i="11"/>
  <c r="AF17" i="11"/>
  <c r="AE17" i="11"/>
  <c r="AF16" i="11"/>
  <c r="AE16" i="11"/>
  <c r="AF15" i="11"/>
  <c r="AE15" i="11"/>
  <c r="AF14" i="11"/>
  <c r="AE14" i="11"/>
  <c r="AF13" i="11"/>
  <c r="AE13" i="11"/>
  <c r="AF12" i="11"/>
  <c r="AE12" i="11"/>
  <c r="AF11" i="11"/>
  <c r="AE11" i="11"/>
  <c r="AF10" i="11"/>
  <c r="AE10" i="11"/>
  <c r="AF7" i="11"/>
  <c r="AE7" i="11"/>
  <c r="AF6" i="11"/>
  <c r="AE6" i="11"/>
  <c r="AF18" i="7"/>
  <c r="AE18" i="7"/>
  <c r="AF17" i="7"/>
  <c r="AE17" i="7"/>
  <c r="AF16" i="7"/>
  <c r="AE16" i="7"/>
  <c r="AF15" i="7"/>
  <c r="AE15" i="7"/>
  <c r="AF14" i="7"/>
  <c r="AE14" i="7"/>
  <c r="AF13" i="7"/>
  <c r="AE13" i="7"/>
  <c r="AF10" i="7"/>
  <c r="AE10" i="7"/>
  <c r="AF5" i="7"/>
  <c r="AE5" i="7"/>
  <c r="R20" i="7"/>
  <c r="Q20" i="7"/>
  <c r="AF20" i="7" s="1"/>
  <c r="R6" i="7"/>
  <c r="Q6" i="7"/>
  <c r="R4" i="7"/>
  <c r="AF4" i="7" s="1"/>
  <c r="Q4" i="7"/>
  <c r="R33" i="11"/>
  <c r="AF33" i="11" s="1"/>
  <c r="Q33" i="11"/>
  <c r="R29" i="11"/>
  <c r="AF29" i="11" s="1"/>
  <c r="Q29" i="11"/>
  <c r="Q24" i="11"/>
  <c r="R9" i="11"/>
  <c r="Q9" i="11"/>
  <c r="AF9" i="11" s="1"/>
  <c r="R8" i="11"/>
  <c r="AE29" i="11" l="1"/>
  <c r="AE9" i="11"/>
  <c r="AE33" i="11"/>
  <c r="AE20" i="7"/>
  <c r="AE4" i="7"/>
  <c r="Q8" i="11"/>
  <c r="AF8" i="11" l="1"/>
  <c r="AE8" i="11"/>
  <c r="Q4" i="11"/>
  <c r="Q5" i="11"/>
  <c r="P19" i="7"/>
  <c r="P6" i="7"/>
  <c r="AF4" i="11" l="1"/>
  <c r="AE4" i="11"/>
  <c r="AF5" i="11"/>
  <c r="AE5" i="11"/>
  <c r="AF6" i="7"/>
  <c r="AE6" i="7"/>
  <c r="AE19" i="7"/>
  <c r="AF19" i="7"/>
  <c r="N9" i="7"/>
  <c r="N8" i="7"/>
  <c r="N7" i="7"/>
  <c r="AE7" i="7" l="1"/>
  <c r="AF7" i="7"/>
  <c r="AF8" i="7"/>
  <c r="AE8" i="7"/>
  <c r="AF9" i="7"/>
  <c r="AE9" i="7"/>
  <c r="K11" i="7"/>
  <c r="K12" i="7"/>
  <c r="AF12" i="7" l="1"/>
  <c r="AE12" i="7"/>
  <c r="M11" i="7"/>
  <c r="AE11" i="7" l="1"/>
  <c r="AF11" i="7"/>
  <c r="K17" i="7"/>
  <c r="I32" i="11" l="1"/>
  <c r="H22" i="11" l="1"/>
  <c r="H17" i="7"/>
  <c r="G23" i="11"/>
  <c r="G22" i="11"/>
  <c r="AF22" i="11" l="1"/>
  <c r="AE22" i="11"/>
  <c r="AF23" i="11"/>
  <c r="AE23" i="11"/>
  <c r="F20" i="11"/>
  <c r="F23" i="11"/>
  <c r="F22" i="11"/>
  <c r="AF20" i="11" l="1"/>
  <c r="AE20" i="11"/>
  <c r="E32" i="11"/>
  <c r="C62" i="1"/>
  <c r="C62" i="3"/>
  <c r="C62" i="2"/>
  <c r="D49" i="2"/>
  <c r="D49" i="3"/>
  <c r="D49" i="1"/>
  <c r="D34" i="2"/>
  <c r="D34" i="3"/>
  <c r="D34" i="1"/>
  <c r="D32" i="2"/>
  <c r="D32" i="3"/>
  <c r="D32" i="1"/>
  <c r="D14" i="2"/>
  <c r="D14" i="3"/>
  <c r="D14" i="1"/>
  <c r="D13" i="2"/>
  <c r="D13" i="3"/>
  <c r="D13" i="1"/>
  <c r="D12" i="2"/>
  <c r="D12" i="3"/>
  <c r="D12" i="1"/>
  <c r="D7" i="2"/>
  <c r="D7" i="3"/>
  <c r="D7" i="1"/>
  <c r="AF32" i="11" l="1"/>
  <c r="AE32" i="11"/>
  <c r="D4" i="3"/>
  <c r="D4" i="2"/>
  <c r="D4" i="1"/>
  <c r="D5" i="3" l="1"/>
  <c r="AL42" i="11" l="1"/>
  <c r="AA42" i="11"/>
  <c r="Z42" i="11"/>
  <c r="AL41" i="11"/>
  <c r="AA41" i="11"/>
  <c r="Z41" i="11"/>
  <c r="AL40" i="11"/>
  <c r="AA40" i="11"/>
  <c r="AB40" i="11" s="1"/>
  <c r="Z40" i="11"/>
  <c r="AL39" i="11"/>
  <c r="AA39" i="11"/>
  <c r="Z39" i="11"/>
  <c r="AL38" i="11"/>
  <c r="AA38" i="11"/>
  <c r="Z38" i="11"/>
  <c r="AL37" i="11"/>
  <c r="AA37" i="11"/>
  <c r="Z37" i="11"/>
  <c r="AL36" i="11"/>
  <c r="AA36" i="11"/>
  <c r="Z36" i="11"/>
  <c r="AL35" i="11"/>
  <c r="AA35" i="11"/>
  <c r="Z35" i="11"/>
  <c r="AL34" i="11"/>
  <c r="AA34" i="11"/>
  <c r="Z34" i="11"/>
  <c r="AL33" i="11"/>
  <c r="AA33" i="11"/>
  <c r="Z33" i="11"/>
  <c r="AL32" i="11"/>
  <c r="AA32" i="11"/>
  <c r="Z32" i="11"/>
  <c r="AL31" i="11"/>
  <c r="AA31" i="11"/>
  <c r="AB31" i="11" s="1"/>
  <c r="Z31" i="11"/>
  <c r="AL30" i="11"/>
  <c r="AA30" i="11"/>
  <c r="Z30" i="11"/>
  <c r="AL29" i="11"/>
  <c r="AA29" i="11"/>
  <c r="Z29" i="11"/>
  <c r="AL28" i="11"/>
  <c r="AA28" i="11"/>
  <c r="Z28" i="11"/>
  <c r="AL27" i="11"/>
  <c r="AA27" i="11"/>
  <c r="Z27" i="11"/>
  <c r="AL26" i="11"/>
  <c r="AA26" i="11"/>
  <c r="Z26" i="11"/>
  <c r="AL25" i="11"/>
  <c r="AA25" i="11"/>
  <c r="Z25" i="11"/>
  <c r="AL24" i="11"/>
  <c r="AA24" i="11"/>
  <c r="Z24" i="11"/>
  <c r="AL23" i="11"/>
  <c r="AA23" i="11"/>
  <c r="Z23" i="11"/>
  <c r="AL22" i="11"/>
  <c r="AA22" i="11"/>
  <c r="Z22" i="11"/>
  <c r="AL21" i="11"/>
  <c r="AA21" i="11"/>
  <c r="Z21" i="11"/>
  <c r="AL20" i="11"/>
  <c r="AA20" i="11"/>
  <c r="Z20" i="11"/>
  <c r="AL19" i="11"/>
  <c r="AA19" i="11"/>
  <c r="Z19" i="11"/>
  <c r="AL18" i="11"/>
  <c r="AA18" i="11"/>
  <c r="Z18" i="11"/>
  <c r="AL17" i="11"/>
  <c r="AA17" i="11"/>
  <c r="Z17" i="11"/>
  <c r="AL16" i="11"/>
  <c r="AA16" i="11"/>
  <c r="AB16" i="11" s="1"/>
  <c r="Z16" i="11"/>
  <c r="AL15" i="11"/>
  <c r="AA15" i="11"/>
  <c r="Z15" i="11"/>
  <c r="AL14" i="11"/>
  <c r="AA14" i="11"/>
  <c r="AB14" i="11" s="1"/>
  <c r="Z14" i="11"/>
  <c r="AL13" i="11"/>
  <c r="AA13" i="11"/>
  <c r="Z13" i="11"/>
  <c r="AL12" i="11"/>
  <c r="AA12" i="11"/>
  <c r="Z12" i="11"/>
  <c r="AL11" i="11"/>
  <c r="AA11" i="11"/>
  <c r="Z11" i="11"/>
  <c r="AL10" i="11"/>
  <c r="AA10" i="11"/>
  <c r="Z10" i="11"/>
  <c r="AL9" i="11"/>
  <c r="AA9" i="11"/>
  <c r="Z9" i="11"/>
  <c r="AL8" i="11"/>
  <c r="AA8" i="11"/>
  <c r="Z8" i="11"/>
  <c r="AL7" i="11"/>
  <c r="AA7" i="11"/>
  <c r="Z7" i="11"/>
  <c r="AL6" i="11"/>
  <c r="AA6" i="11"/>
  <c r="Z6" i="11"/>
  <c r="AL5" i="11"/>
  <c r="AA5" i="11"/>
  <c r="Z5" i="11"/>
  <c r="AL4" i="11"/>
  <c r="AA4" i="11"/>
  <c r="Z4" i="11"/>
  <c r="AJ9" i="8"/>
  <c r="Y9" i="8"/>
  <c r="X9" i="8"/>
  <c r="AB15" i="11" l="1"/>
  <c r="AC26" i="11"/>
  <c r="AC29" i="11"/>
  <c r="AB8" i="11"/>
  <c r="AC14" i="11"/>
  <c r="AC33" i="11"/>
  <c r="AC15" i="11"/>
  <c r="AM15" i="11" s="1"/>
  <c r="AB12" i="11"/>
  <c r="AC5" i="11"/>
  <c r="AC40" i="11"/>
  <c r="AC4" i="11"/>
  <c r="AB17" i="11"/>
  <c r="AB35" i="11"/>
  <c r="AC41" i="11"/>
  <c r="AC34" i="11"/>
  <c r="AC27" i="11"/>
  <c r="AC30" i="11"/>
  <c r="AC25" i="11"/>
  <c r="AB33" i="11"/>
  <c r="AC28" i="11"/>
  <c r="AC20" i="11"/>
  <c r="AB19" i="11"/>
  <c r="AC13" i="11"/>
  <c r="AC37" i="11"/>
  <c r="AC18" i="11"/>
  <c r="AC36" i="11"/>
  <c r="AB42" i="11"/>
  <c r="AC11" i="11"/>
  <c r="AC12" i="11"/>
  <c r="AD12" i="11" s="1"/>
  <c r="AG12" i="11" s="1"/>
  <c r="Z9" i="8"/>
  <c r="AB29" i="11"/>
  <c r="AM29" i="11" s="1"/>
  <c r="AB10" i="11"/>
  <c r="AM10" i="11" s="1"/>
  <c r="AC22" i="11"/>
  <c r="AC39" i="11"/>
  <c r="AC10" i="11"/>
  <c r="AC17" i="11"/>
  <c r="AB13" i="11"/>
  <c r="AB6" i="11"/>
  <c r="AC23" i="11"/>
  <c r="AB27" i="11"/>
  <c r="AB30" i="11"/>
  <c r="AC7" i="11"/>
  <c r="AB11" i="11"/>
  <c r="AB24" i="11"/>
  <c r="AC31" i="11"/>
  <c r="AC24" i="11"/>
  <c r="AB36" i="11"/>
  <c r="AB32" i="11"/>
  <c r="AB4" i="11"/>
  <c r="AC8" i="11"/>
  <c r="AM8" i="11" s="1"/>
  <c r="AB20" i="11"/>
  <c r="AB28" i="11"/>
  <c r="AD28" i="11" s="1"/>
  <c r="AG28" i="11" s="1"/>
  <c r="AC42" i="11"/>
  <c r="AC9" i="11"/>
  <c r="AC21" i="11"/>
  <c r="AB26" i="11"/>
  <c r="AM26" i="11" s="1"/>
  <c r="AC38" i="11"/>
  <c r="AD40" i="11"/>
  <c r="AG40" i="11" s="1"/>
  <c r="AM40" i="11"/>
  <c r="AD14" i="11"/>
  <c r="AG14" i="11" s="1"/>
  <c r="AH14" i="11" s="1"/>
  <c r="AI14" i="11" s="1"/>
  <c r="AJ14" i="11" s="1"/>
  <c r="AM14" i="11"/>
  <c r="AC6" i="11"/>
  <c r="AC19" i="11"/>
  <c r="AB22" i="11"/>
  <c r="AC35" i="11"/>
  <c r="AB38" i="11"/>
  <c r="AC32" i="11"/>
  <c r="AB9" i="11"/>
  <c r="AB25" i="11"/>
  <c r="AB41" i="11"/>
  <c r="AB5" i="11"/>
  <c r="AC16" i="11"/>
  <c r="AM16" i="11" s="1"/>
  <c r="AB18" i="11"/>
  <c r="AB34" i="11"/>
  <c r="AB21" i="11"/>
  <c r="AB37" i="11"/>
  <c r="AB7" i="11"/>
  <c r="AB23" i="11"/>
  <c r="AB39" i="11"/>
  <c r="AA9" i="8"/>
  <c r="AH40" i="11" l="1"/>
  <c r="AI40" i="11" s="1"/>
  <c r="AJ40" i="11" s="1"/>
  <c r="AM12" i="11"/>
  <c r="AH12" i="11"/>
  <c r="AI12" i="11" s="1"/>
  <c r="AJ12" i="11" s="1"/>
  <c r="AD20" i="11"/>
  <c r="AG20" i="11" s="1"/>
  <c r="AM28" i="11"/>
  <c r="AH28" i="11"/>
  <c r="AI28" i="11" s="1"/>
  <c r="AJ28" i="11" s="1"/>
  <c r="AD8" i="11"/>
  <c r="AG8" i="11" s="1"/>
  <c r="AH8" i="11" s="1"/>
  <c r="AM35" i="11"/>
  <c r="AM33" i="11"/>
  <c r="AD15" i="11"/>
  <c r="AG15" i="11" s="1"/>
  <c r="AH15" i="11"/>
  <c r="AM31" i="11"/>
  <c r="AM19" i="11"/>
  <c r="AM6" i="11"/>
  <c r="AM13" i="11"/>
  <c r="AM17" i="11"/>
  <c r="AD17" i="11"/>
  <c r="AD42" i="11"/>
  <c r="AG42" i="11" s="1"/>
  <c r="AD29" i="11"/>
  <c r="AG29" i="11" s="1"/>
  <c r="AH29" i="11"/>
  <c r="AD31" i="11"/>
  <c r="AB9" i="8"/>
  <c r="AE9" i="8" s="1"/>
  <c r="AF9" i="8" s="1"/>
  <c r="AG9" i="8" s="1"/>
  <c r="AH9" i="8" s="1"/>
  <c r="AH10" i="11"/>
  <c r="AD33" i="11"/>
  <c r="AG33" i="11" s="1"/>
  <c r="AH33" i="11" s="1"/>
  <c r="AD13" i="11"/>
  <c r="AG13" i="11" s="1"/>
  <c r="AH13" i="11" s="1"/>
  <c r="AD36" i="11"/>
  <c r="AG36" i="11" s="1"/>
  <c r="AH36" i="11" s="1"/>
  <c r="AH20" i="11"/>
  <c r="AI20" i="11" s="1"/>
  <c r="AJ20" i="11" s="1"/>
  <c r="AM20" i="11"/>
  <c r="AD10" i="11"/>
  <c r="AG10" i="11" s="1"/>
  <c r="AM36" i="11"/>
  <c r="AH42" i="11"/>
  <c r="AI42" i="11" s="1"/>
  <c r="AJ42" i="11" s="1"/>
  <c r="AD32" i="11"/>
  <c r="AG32" i="11" s="1"/>
  <c r="AH32" i="11" s="1"/>
  <c r="AK9" i="8"/>
  <c r="AM11" i="11"/>
  <c r="AD11" i="11"/>
  <c r="AG11" i="11" s="1"/>
  <c r="AH11" i="11" s="1"/>
  <c r="AI11" i="11" s="1"/>
  <c r="AJ11" i="11" s="1"/>
  <c r="AM27" i="11"/>
  <c r="AD27" i="11"/>
  <c r="AG27" i="11" s="1"/>
  <c r="AH27" i="11" s="1"/>
  <c r="AI27" i="11" s="1"/>
  <c r="AJ27" i="11" s="1"/>
  <c r="AM24" i="11"/>
  <c r="AM42" i="11"/>
  <c r="AD24" i="11"/>
  <c r="AG24" i="11" s="1"/>
  <c r="AH24" i="11" s="1"/>
  <c r="AI24" i="11" s="1"/>
  <c r="AJ24" i="11" s="1"/>
  <c r="AD4" i="11"/>
  <c r="AG4" i="11" s="1"/>
  <c r="AH4" i="11" s="1"/>
  <c r="AD26" i="11"/>
  <c r="AM30" i="11"/>
  <c r="AD30" i="11"/>
  <c r="AG30" i="11" s="1"/>
  <c r="AH30" i="11" s="1"/>
  <c r="AM4" i="11"/>
  <c r="AM32" i="11"/>
  <c r="AD19" i="11"/>
  <c r="AG19" i="11" s="1"/>
  <c r="AH19" i="11" s="1"/>
  <c r="AM34" i="11"/>
  <c r="AD34" i="11"/>
  <c r="AG34" i="11" s="1"/>
  <c r="AH34" i="11" s="1"/>
  <c r="AI34" i="11" s="1"/>
  <c r="AJ34" i="11" s="1"/>
  <c r="AM22" i="11"/>
  <c r="AH22" i="11"/>
  <c r="AI22" i="11" s="1"/>
  <c r="AJ22" i="11" s="1"/>
  <c r="AD22" i="11"/>
  <c r="AG22" i="11" s="1"/>
  <c r="AM18" i="11"/>
  <c r="AH18" i="11"/>
  <c r="AI18" i="11" s="1"/>
  <c r="AJ18" i="11" s="1"/>
  <c r="AD18" i="11"/>
  <c r="AG18" i="11" s="1"/>
  <c r="AM5" i="11"/>
  <c r="AD5" i="11"/>
  <c r="AG5" i="11" s="1"/>
  <c r="AH5" i="11" s="1"/>
  <c r="AI5" i="11" s="1"/>
  <c r="AJ5" i="11" s="1"/>
  <c r="AD6" i="11"/>
  <c r="AG6" i="11" s="1"/>
  <c r="AD21" i="11"/>
  <c r="AG21" i="11" s="1"/>
  <c r="AH21" i="11" s="1"/>
  <c r="AI21" i="11" s="1"/>
  <c r="AJ21" i="11" s="1"/>
  <c r="AM21" i="11"/>
  <c r="AM41" i="11"/>
  <c r="AD41" i="11"/>
  <c r="AG41" i="11" s="1"/>
  <c r="AH41" i="11" s="1"/>
  <c r="AI41" i="11" s="1"/>
  <c r="AJ41" i="11" s="1"/>
  <c r="AH6" i="11"/>
  <c r="AI6" i="11" s="1"/>
  <c r="AJ6" i="11" s="1"/>
  <c r="AD39" i="11"/>
  <c r="AG39" i="11" s="1"/>
  <c r="AH39" i="11"/>
  <c r="AI39" i="11" s="1"/>
  <c r="AJ39" i="11" s="1"/>
  <c r="AM39" i="11"/>
  <c r="AD35" i="11"/>
  <c r="AG35" i="11" s="1"/>
  <c r="AH35" i="11" s="1"/>
  <c r="AI35" i="11" s="1"/>
  <c r="AJ35" i="11" s="1"/>
  <c r="AM25" i="11"/>
  <c r="AD25" i="11"/>
  <c r="AG25" i="11" s="1"/>
  <c r="AH25" i="11" s="1"/>
  <c r="AI25" i="11" s="1"/>
  <c r="AJ25" i="11" s="1"/>
  <c r="AM23" i="11"/>
  <c r="AD23" i="11"/>
  <c r="AG23" i="11" s="1"/>
  <c r="AH23" i="11" s="1"/>
  <c r="AI23" i="11" s="1"/>
  <c r="AJ23" i="11" s="1"/>
  <c r="AD16" i="11"/>
  <c r="AG16" i="11" s="1"/>
  <c r="AM9" i="11"/>
  <c r="AD9" i="11"/>
  <c r="AG9" i="11" s="1"/>
  <c r="AH9" i="11" s="1"/>
  <c r="AI9" i="11" s="1"/>
  <c r="AJ9" i="11" s="1"/>
  <c r="AH16" i="11"/>
  <c r="AD7" i="11"/>
  <c r="AG7" i="11" s="1"/>
  <c r="AH7" i="11"/>
  <c r="AI7" i="11" s="1"/>
  <c r="AJ7" i="11" s="1"/>
  <c r="AM7" i="11"/>
  <c r="AH37" i="11"/>
  <c r="AI37" i="11" s="1"/>
  <c r="AJ37" i="11" s="1"/>
  <c r="AD37" i="11"/>
  <c r="AG37" i="11" s="1"/>
  <c r="AM37" i="11"/>
  <c r="AM38" i="11"/>
  <c r="AD38" i="11"/>
  <c r="AG38" i="11" s="1"/>
  <c r="AH38" i="11" s="1"/>
  <c r="AI38" i="11" s="1"/>
  <c r="AJ38" i="11" s="1"/>
  <c r="AG31" i="11" l="1"/>
  <c r="AH31" i="11" s="1"/>
  <c r="AI31" i="11" s="1"/>
  <c r="AJ31" i="11" s="1"/>
  <c r="AG26" i="11"/>
  <c r="AH26" i="11" s="1"/>
  <c r="AI26" i="11" s="1"/>
  <c r="AJ26" i="11" s="1"/>
  <c r="AG17" i="11"/>
  <c r="AH17" i="11" s="1"/>
  <c r="AI17" i="11" s="1"/>
  <c r="AJ17" i="11" s="1"/>
  <c r="AI33" i="11"/>
  <c r="AJ33" i="11" s="1"/>
  <c r="AI8" i="11"/>
  <c r="AJ8" i="11" s="1"/>
  <c r="AI15" i="11"/>
  <c r="AJ15" i="11" s="1"/>
  <c r="AI4" i="11"/>
  <c r="AJ4" i="11" s="1"/>
  <c r="AI29" i="11"/>
  <c r="AJ29" i="11" s="1"/>
  <c r="AI30" i="11"/>
  <c r="AJ30" i="11" s="1"/>
  <c r="AI10" i="11"/>
  <c r="AJ10" i="11" s="1"/>
  <c r="AI32" i="11"/>
  <c r="AJ32" i="11" s="1"/>
  <c r="AI36" i="11"/>
  <c r="AJ36" i="11" s="1"/>
  <c r="AI19" i="11"/>
  <c r="AJ19" i="11" s="1"/>
  <c r="AI16" i="11"/>
  <c r="AJ16" i="11" s="1"/>
  <c r="AI13" i="11"/>
  <c r="AJ13" i="11" s="1"/>
  <c r="AO5" i="11"/>
  <c r="AO6" i="11"/>
  <c r="AO4" i="11"/>
  <c r="C45" i="11" l="1"/>
  <c r="X5" i="8"/>
  <c r="Y5" i="8"/>
  <c r="AJ5" i="8"/>
  <c r="X6" i="8"/>
  <c r="Y6" i="8"/>
  <c r="AJ6" i="8"/>
  <c r="X7" i="8"/>
  <c r="Y7" i="8"/>
  <c r="AJ7" i="8"/>
  <c r="X8" i="8"/>
  <c r="Y8" i="8"/>
  <c r="AJ8" i="8"/>
  <c r="X10" i="8"/>
  <c r="Y10" i="8"/>
  <c r="AJ10" i="8"/>
  <c r="AJ4" i="8"/>
  <c r="Y4" i="8"/>
  <c r="X4" i="8"/>
  <c r="Z19" i="7"/>
  <c r="AA19" i="7"/>
  <c r="AL19" i="7"/>
  <c r="Z20" i="7"/>
  <c r="AA20" i="7"/>
  <c r="AL20" i="7"/>
  <c r="AL18" i="7"/>
  <c r="AA18" i="7"/>
  <c r="Z18" i="7"/>
  <c r="Z5" i="7"/>
  <c r="AA5" i="7"/>
  <c r="AL5" i="7"/>
  <c r="Z6" i="7"/>
  <c r="AA6" i="7"/>
  <c r="AL6" i="7"/>
  <c r="Z7" i="7"/>
  <c r="AA7" i="7"/>
  <c r="AL7" i="7"/>
  <c r="Z8" i="7"/>
  <c r="AA8" i="7"/>
  <c r="AL8" i="7"/>
  <c r="Z9" i="7"/>
  <c r="AA9" i="7"/>
  <c r="AL9" i="7"/>
  <c r="Z10" i="7"/>
  <c r="AA10" i="7"/>
  <c r="AL10" i="7"/>
  <c r="Z11" i="7"/>
  <c r="AA11" i="7"/>
  <c r="AL11" i="7"/>
  <c r="Z12" i="7"/>
  <c r="AA12" i="7"/>
  <c r="AL12" i="7"/>
  <c r="Z13" i="7"/>
  <c r="AA13" i="7"/>
  <c r="AL13" i="7"/>
  <c r="Z14" i="7"/>
  <c r="AA14" i="7"/>
  <c r="AL14" i="7"/>
  <c r="Z15" i="7"/>
  <c r="AA15" i="7"/>
  <c r="AL15" i="7"/>
  <c r="Z16" i="7"/>
  <c r="AA16" i="7"/>
  <c r="AL16" i="7"/>
  <c r="Z17" i="7"/>
  <c r="AA17" i="7"/>
  <c r="AL17" i="7"/>
  <c r="AL4" i="7"/>
  <c r="AA4" i="7"/>
  <c r="Z4" i="7"/>
  <c r="C46" i="11" l="1"/>
  <c r="C47" i="11" s="1"/>
  <c r="C49" i="11" s="1"/>
  <c r="C51" i="11" s="1"/>
  <c r="AB20" i="7"/>
  <c r="AC20" i="7"/>
  <c r="AB6" i="7"/>
  <c r="Z6" i="8"/>
  <c r="AB19" i="7"/>
  <c r="AB13" i="7"/>
  <c r="AC10" i="7"/>
  <c r="AB17" i="7"/>
  <c r="AB12" i="7"/>
  <c r="AC15" i="7"/>
  <c r="AC12" i="7"/>
  <c r="AB8" i="7"/>
  <c r="AC4" i="7"/>
  <c r="Z5" i="8"/>
  <c r="AB15" i="7"/>
  <c r="AC13" i="7"/>
  <c r="AC8" i="7"/>
  <c r="AC17" i="7"/>
  <c r="AB7" i="7"/>
  <c r="AB14" i="7"/>
  <c r="AC6" i="7"/>
  <c r="AB16" i="7"/>
  <c r="AB11" i="7"/>
  <c r="AB10" i="7"/>
  <c r="AB5" i="7"/>
  <c r="AC18" i="7"/>
  <c r="AB9" i="7"/>
  <c r="AA10" i="8"/>
  <c r="Z7" i="8"/>
  <c r="Z8" i="8"/>
  <c r="AA4" i="8"/>
  <c r="Z10" i="8"/>
  <c r="AA8" i="8"/>
  <c r="AA6" i="8"/>
  <c r="AA7" i="8"/>
  <c r="AA5" i="8"/>
  <c r="Z4" i="8"/>
  <c r="AC19" i="7"/>
  <c r="AB18" i="7"/>
  <c r="AC7" i="7"/>
  <c r="AC14" i="7"/>
  <c r="AC9" i="7"/>
  <c r="AC5" i="7"/>
  <c r="AC16" i="7"/>
  <c r="AC11" i="7"/>
  <c r="AB4" i="7"/>
  <c r="AD20" i="7" l="1"/>
  <c r="AG20" i="7" s="1"/>
  <c r="AM19" i="7"/>
  <c r="AM13" i="7"/>
  <c r="AD15" i="7"/>
  <c r="AG15" i="7" s="1"/>
  <c r="AH15" i="7" s="1"/>
  <c r="AD11" i="7"/>
  <c r="AG11" i="7" s="1"/>
  <c r="AH11" i="7" s="1"/>
  <c r="AI11" i="7" s="1"/>
  <c r="AJ11" i="7" s="1"/>
  <c r="AD10" i="7"/>
  <c r="AG10" i="7" s="1"/>
  <c r="AH10" i="7" s="1"/>
  <c r="AD13" i="7"/>
  <c r="AG13" i="7" s="1"/>
  <c r="AM12" i="7"/>
  <c r="AM11" i="7"/>
  <c r="AM10" i="7"/>
  <c r="AD8" i="7"/>
  <c r="AG8" i="7" s="1"/>
  <c r="AH8" i="7" s="1"/>
  <c r="AI8" i="7" s="1"/>
  <c r="AJ8" i="7" s="1"/>
  <c r="AH7" i="7"/>
  <c r="AI7" i="7" s="1"/>
  <c r="AJ7" i="7" s="1"/>
  <c r="AM9" i="7"/>
  <c r="AD16" i="7"/>
  <c r="AG16" i="7" s="1"/>
  <c r="AM17" i="7"/>
  <c r="AD17" i="7"/>
  <c r="AG17" i="7" s="1"/>
  <c r="AH17" i="7" s="1"/>
  <c r="AD12" i="7"/>
  <c r="AG12" i="7" s="1"/>
  <c r="AH12" i="7" s="1"/>
  <c r="AI12" i="7" s="1"/>
  <c r="AJ12" i="7" s="1"/>
  <c r="AB10" i="8"/>
  <c r="AE10" i="8" s="1"/>
  <c r="AF10" i="8" s="1"/>
  <c r="AG10" i="8" s="1"/>
  <c r="AH10" i="8" s="1"/>
  <c r="AM8" i="7"/>
  <c r="AM20" i="7"/>
  <c r="AM15" i="7"/>
  <c r="AH13" i="7"/>
  <c r="AI13" i="7" s="1"/>
  <c r="AJ13" i="7" s="1"/>
  <c r="AM14" i="7"/>
  <c r="AD6" i="7"/>
  <c r="AG6" i="7" s="1"/>
  <c r="AH6" i="7" s="1"/>
  <c r="AM6" i="7"/>
  <c r="AD5" i="7"/>
  <c r="AG5" i="7" s="1"/>
  <c r="AH5" i="7" s="1"/>
  <c r="AI5" i="7" s="1"/>
  <c r="AJ5" i="7" s="1"/>
  <c r="AB8" i="8"/>
  <c r="AE8" i="8" s="1"/>
  <c r="AF8" i="8" s="1"/>
  <c r="AG8" i="8" s="1"/>
  <c r="AH8" i="8" s="1"/>
  <c r="AK7" i="8"/>
  <c r="AM5" i="7"/>
  <c r="AH20" i="7"/>
  <c r="AI20" i="7" s="1"/>
  <c r="AJ20" i="7" s="1"/>
  <c r="AK4" i="8"/>
  <c r="AB4" i="8"/>
  <c r="AE4" i="8" s="1"/>
  <c r="AF4" i="8" s="1"/>
  <c r="AK8" i="8"/>
  <c r="AB5" i="8"/>
  <c r="AE5" i="8" s="1"/>
  <c r="AF5" i="8" s="1"/>
  <c r="AK10" i="8"/>
  <c r="AB6" i="8"/>
  <c r="AE6" i="8" s="1"/>
  <c r="AF6" i="8" s="1"/>
  <c r="AK6" i="8"/>
  <c r="AB7" i="8"/>
  <c r="AE7" i="8" s="1"/>
  <c r="AF7" i="8" s="1"/>
  <c r="AG7" i="8" s="1"/>
  <c r="AH7" i="8" s="1"/>
  <c r="AK5" i="8"/>
  <c r="AD19" i="7"/>
  <c r="AG19" i="7" s="1"/>
  <c r="AH19" i="7" s="1"/>
  <c r="AI19" i="7" s="1"/>
  <c r="AJ19" i="7" s="1"/>
  <c r="AM18" i="7"/>
  <c r="AD18" i="7"/>
  <c r="AG18" i="7" s="1"/>
  <c r="AH18" i="7" s="1"/>
  <c r="AI18" i="7" s="1"/>
  <c r="AJ18" i="7" s="1"/>
  <c r="AD14" i="7"/>
  <c r="AG14" i="7" s="1"/>
  <c r="AH14" i="7" s="1"/>
  <c r="AI14" i="7" s="1"/>
  <c r="AJ14" i="7" s="1"/>
  <c r="AM7" i="7"/>
  <c r="AD7" i="7"/>
  <c r="AG7" i="7" s="1"/>
  <c r="AM16" i="7"/>
  <c r="AH16" i="7"/>
  <c r="AI16" i="7" s="1"/>
  <c r="AJ16" i="7" s="1"/>
  <c r="AD9" i="7"/>
  <c r="AG9" i="7" s="1"/>
  <c r="AH9" i="7" s="1"/>
  <c r="AM4" i="7"/>
  <c r="AD4" i="7"/>
  <c r="AG4" i="7" s="1"/>
  <c r="AH4" i="7" s="1"/>
  <c r="AI4" i="7" s="1"/>
  <c r="AJ4" i="7" s="1"/>
  <c r="AI6" i="7" l="1"/>
  <c r="AJ6" i="7" s="1"/>
  <c r="AI15" i="7"/>
  <c r="AJ15" i="7" s="1"/>
  <c r="AI17" i="7"/>
  <c r="AJ17" i="7" s="1"/>
  <c r="AO5" i="7"/>
  <c r="AO6" i="7"/>
  <c r="AO4" i="7"/>
  <c r="AM5" i="8"/>
  <c r="AM6" i="8"/>
  <c r="AM4" i="8"/>
  <c r="AI10" i="7"/>
  <c r="AJ10" i="7" s="1"/>
  <c r="AG6" i="8"/>
  <c r="AH6" i="8" s="1"/>
  <c r="AI9" i="7"/>
  <c r="AJ9" i="7" s="1"/>
  <c r="AG5" i="8"/>
  <c r="AH5" i="8" s="1"/>
  <c r="AG4" i="8"/>
  <c r="AH4" i="8" s="1"/>
  <c r="I7" i="6"/>
  <c r="C61" i="2" l="1"/>
  <c r="C61" i="3"/>
  <c r="C61" i="1"/>
  <c r="C60" i="2"/>
  <c r="C60" i="3"/>
  <c r="C60" i="1"/>
  <c r="C100" i="3" l="1"/>
  <c r="C94" i="3"/>
  <c r="C90" i="3"/>
  <c r="D87" i="3"/>
  <c r="D106" i="3" s="1"/>
  <c r="C81" i="3"/>
  <c r="C74" i="3"/>
  <c r="D71" i="3"/>
  <c r="D77" i="3" s="1"/>
  <c r="C68" i="3"/>
  <c r="C63" i="3"/>
  <c r="C57" i="3"/>
  <c r="C51" i="3"/>
  <c r="C49" i="3"/>
  <c r="C47" i="3"/>
  <c r="C39" i="3"/>
  <c r="C30" i="3"/>
  <c r="C27" i="3"/>
  <c r="C52" i="3" s="1"/>
  <c r="C17" i="3"/>
  <c r="C12" i="3"/>
  <c r="C14" i="3" s="1"/>
  <c r="C10" i="3"/>
  <c r="C100" i="2"/>
  <c r="C94" i="2"/>
  <c r="C90" i="2"/>
  <c r="D87" i="2"/>
  <c r="D106" i="2" s="1"/>
  <c r="C81" i="2"/>
  <c r="C74" i="2"/>
  <c r="D71" i="2"/>
  <c r="D77" i="2" s="1"/>
  <c r="C68" i="2"/>
  <c r="C63" i="2"/>
  <c r="C57" i="2"/>
  <c r="C51" i="2"/>
  <c r="C49" i="2"/>
  <c r="C47" i="2"/>
  <c r="C39" i="2"/>
  <c r="C30" i="2"/>
  <c r="C27" i="2"/>
  <c r="C52" i="2" s="1"/>
  <c r="C17" i="2"/>
  <c r="C12" i="2"/>
  <c r="C14" i="2" s="1"/>
  <c r="C10" i="2"/>
  <c r="C100" i="1"/>
  <c r="C94" i="1"/>
  <c r="C90" i="1"/>
  <c r="D87" i="1"/>
  <c r="D106" i="1" s="1"/>
  <c r="C81" i="1"/>
  <c r="C74" i="1"/>
  <c r="D71" i="1"/>
  <c r="D77" i="1" s="1"/>
  <c r="C68" i="1"/>
  <c r="C63" i="1"/>
  <c r="C57" i="1"/>
  <c r="C51" i="1"/>
  <c r="C49" i="1"/>
  <c r="C47" i="1"/>
  <c r="C39" i="1"/>
  <c r="C30" i="1"/>
  <c r="C27" i="1"/>
  <c r="C52" i="1" s="1"/>
  <c r="C17" i="1"/>
  <c r="C12" i="1"/>
  <c r="C14" i="1" s="1"/>
  <c r="C10" i="1"/>
  <c r="D36" i="2" l="1"/>
  <c r="D43" i="2" s="1"/>
  <c r="D36" i="1"/>
  <c r="D43" i="1" s="1"/>
  <c r="D51" i="3"/>
  <c r="D52" i="3" s="1"/>
  <c r="D102" i="3"/>
  <c r="D53" i="3"/>
  <c r="D36" i="3"/>
  <c r="D43" i="3" s="1"/>
  <c r="D51" i="1"/>
  <c r="D52" i="1" s="1"/>
  <c r="D25" i="3" l="1"/>
  <c r="D50" i="3"/>
  <c r="D54" i="3" s="1"/>
  <c r="D104" i="3" s="1"/>
  <c r="D102" i="2"/>
  <c r="D53" i="2"/>
  <c r="D51" i="2"/>
  <c r="D52" i="2" s="1"/>
  <c r="D102" i="1"/>
  <c r="D53" i="1"/>
  <c r="D41" i="3" l="1"/>
  <c r="D19" i="3"/>
  <c r="D23" i="3"/>
  <c r="D26" i="3"/>
  <c r="D24" i="3"/>
  <c r="D21" i="3"/>
  <c r="D20" i="3"/>
  <c r="D22" i="3"/>
  <c r="D50" i="2"/>
  <c r="D54" i="2" s="1"/>
  <c r="D104" i="2" s="1"/>
  <c r="D50" i="1"/>
  <c r="D54" i="1" s="1"/>
  <c r="D104" i="1" s="1"/>
  <c r="D20" i="1"/>
  <c r="D21" i="1"/>
  <c r="D19" i="1"/>
  <c r="D41" i="1"/>
  <c r="D22" i="1"/>
  <c r="D26" i="1"/>
  <c r="D25" i="1"/>
  <c r="D23" i="1"/>
  <c r="D24" i="1"/>
  <c r="D27" i="3" l="1"/>
  <c r="D42" i="3" s="1"/>
  <c r="D44" i="3" s="1"/>
  <c r="D103" i="3" s="1"/>
  <c r="D27" i="1"/>
  <c r="D42" i="1" s="1"/>
  <c r="D44" i="1" s="1"/>
  <c r="D103" i="1" s="1"/>
  <c r="D20" i="2"/>
  <c r="D19" i="2"/>
  <c r="D23" i="2"/>
  <c r="D41" i="2"/>
  <c r="D24" i="2"/>
  <c r="D22" i="2"/>
  <c r="D26" i="2"/>
  <c r="D25" i="2"/>
  <c r="D21" i="2"/>
  <c r="D63" i="3" l="1"/>
  <c r="D62" i="3"/>
  <c r="D61" i="3"/>
  <c r="D60" i="3"/>
  <c r="D59" i="3"/>
  <c r="D63" i="1"/>
  <c r="D64" i="1"/>
  <c r="D59" i="1"/>
  <c r="D64" i="3"/>
  <c r="D61" i="1"/>
  <c r="D60" i="1"/>
  <c r="D62" i="1"/>
  <c r="D27" i="2"/>
  <c r="D42" i="2" s="1"/>
  <c r="D44" i="2" s="1"/>
  <c r="D103" i="2" s="1"/>
  <c r="D65" i="3" l="1"/>
  <c r="D76" i="3" s="1"/>
  <c r="D78" i="3" s="1"/>
  <c r="D105" i="3" s="1"/>
  <c r="D107" i="3" s="1"/>
  <c r="D92" i="3" s="1"/>
  <c r="D93" i="3" s="1"/>
  <c r="D65" i="1"/>
  <c r="D76" i="1" s="1"/>
  <c r="D78" i="1" s="1"/>
  <c r="D105" i="1" s="1"/>
  <c r="D107" i="1" s="1"/>
  <c r="D92" i="1" s="1"/>
  <c r="D93" i="1" s="1"/>
  <c r="D64" i="2"/>
  <c r="D62" i="2"/>
  <c r="D63" i="2"/>
  <c r="D61" i="2"/>
  <c r="D59" i="2"/>
  <c r="D60" i="2"/>
  <c r="D109" i="3" l="1"/>
  <c r="C6" i="6" s="1"/>
  <c r="G6" i="6" s="1"/>
  <c r="K6" i="6" s="1"/>
  <c r="D109" i="1"/>
  <c r="C102" i="1" s="1"/>
  <c r="D65" i="2"/>
  <c r="D76" i="2" s="1"/>
  <c r="D78" i="2" s="1"/>
  <c r="D105" i="2" s="1"/>
  <c r="D107" i="2" s="1"/>
  <c r="D97" i="3"/>
  <c r="D97" i="1"/>
  <c r="C106" i="1" l="1"/>
  <c r="D96" i="1"/>
  <c r="D95" i="1"/>
  <c r="C4" i="6"/>
  <c r="G4" i="6" s="1"/>
  <c r="K4" i="6" s="1"/>
  <c r="D96" i="3"/>
  <c r="C105" i="3"/>
  <c r="C104" i="3"/>
  <c r="C106" i="3"/>
  <c r="C103" i="3"/>
  <c r="C102" i="3"/>
  <c r="D95" i="3"/>
  <c r="C105" i="1"/>
  <c r="C103" i="1"/>
  <c r="C104" i="1"/>
  <c r="D92" i="2"/>
  <c r="D93" i="2" s="1"/>
  <c r="D94" i="1"/>
  <c r="D98" i="1" s="1"/>
  <c r="D108" i="1" s="1"/>
  <c r="C108" i="1" s="1"/>
  <c r="D94" i="3" l="1"/>
  <c r="D98" i="3" s="1"/>
  <c r="D108" i="3" s="1"/>
  <c r="C108" i="3" s="1"/>
  <c r="C109" i="3" s="1"/>
  <c r="C109" i="1"/>
  <c r="D109" i="2"/>
  <c r="C5" i="6" s="1"/>
  <c r="G5" i="6" s="1"/>
  <c r="K5" i="6" s="1"/>
  <c r="K7" i="6" s="1"/>
  <c r="K8" i="6" s="1"/>
  <c r="K9" i="6" s="1"/>
  <c r="C105" i="2" l="1"/>
  <c r="C103" i="2"/>
  <c r="C102" i="2"/>
  <c r="C106" i="2"/>
  <c r="C104" i="2"/>
  <c r="D95" i="2"/>
  <c r="D96" i="2"/>
  <c r="D97" i="2"/>
  <c r="D94" i="2" l="1"/>
  <c r="D98" i="2" s="1"/>
  <c r="D108" i="2" s="1"/>
  <c r="C108" i="2" s="1"/>
  <c r="C109" i="2" s="1"/>
</calcChain>
</file>

<file path=xl/sharedStrings.xml><?xml version="1.0" encoding="utf-8"?>
<sst xmlns="http://schemas.openxmlformats.org/spreadsheetml/2006/main" count="847" uniqueCount="256">
  <si>
    <t>Módulo 1 - Composição da Remuneração</t>
  </si>
  <si>
    <t>Composição da Remuneração</t>
  </si>
  <si>
    <t>(R$)</t>
  </si>
  <si>
    <t>A</t>
  </si>
  <si>
    <t>Salário Base</t>
  </si>
  <si>
    <t>B</t>
  </si>
  <si>
    <t>C</t>
  </si>
  <si>
    <t>Outros (especificar)</t>
  </si>
  <si>
    <t>Total:</t>
  </si>
  <si>
    <t>Submódulo 2.1 - Encargos e Benefícios Anuais, Mensais e Diários</t>
  </si>
  <si>
    <t>2.1</t>
  </si>
  <si>
    <t>13º salário e adicional de férias</t>
  </si>
  <si>
    <t>(%)</t>
  </si>
  <si>
    <t>13º (décimo terceiro) Salário</t>
  </si>
  <si>
    <t xml:space="preserve"> - Conforme Lei nº 4.090/1962 e Art. 7º, inciso VIII da Constituição Federal de 1988. Percentual de provisão mensal: 1/12 = 8,33%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</si>
  <si>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</si>
  <si>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</si>
  <si>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</si>
  <si>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</si>
  <si>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 xml:space="preserve"> - 20%, conforme art. 22, inciso I, da Lei 8.212/91.</t>
  </si>
  <si>
    <t>Salário Educação</t>
  </si>
  <si>
    <t xml:space="preserve"> - 2,50%, conforme art. 15, da Lei nº 9.424/96; do art. 2º do Decreto nº 3.142/99; e art. 212, § 5º da CF.</t>
  </si>
  <si>
    <t>SAT</t>
  </si>
  <si>
    <t xml:space="preserve"> - O SAT a depender do grau de risco do serviço irá variar entre 1%, para risco leve, de 2%, para risco médio, e de 3% de risco grave. Além disso, o SAT pode ser multiplicado por um índice (FAP) que varia entre 0,5 e 2, fazendo com que este item da planilha possa varia entre 0,5 e 6,00%. Para fins de elaboração de preço de referência, usou-se o percentual intermediário de 3,00%. </t>
  </si>
  <si>
    <t>D</t>
  </si>
  <si>
    <t>SESC ou SESI</t>
  </si>
  <si>
    <t xml:space="preserve"> - 1,50%, conforme art. 30 da Lei nº 8.036/90.</t>
  </si>
  <si>
    <t>E</t>
  </si>
  <si>
    <t>SENAI - SENAC</t>
  </si>
  <si>
    <t xml:space="preserve"> - 1,00%, conforme Decreto-Lei nº 2.318/86.</t>
  </si>
  <si>
    <t>F</t>
  </si>
  <si>
    <t>SEBRAE</t>
  </si>
  <si>
    <t xml:space="preserve"> - 0,60%, conforme Lei nº 8.029/90.</t>
  </si>
  <si>
    <t>G</t>
  </si>
  <si>
    <t>INCRA</t>
  </si>
  <si>
    <t xml:space="preserve"> - 0,20%, conf. art. 1º e 2º do Decreto-Lei nº 1.146/70.</t>
  </si>
  <si>
    <t>H</t>
  </si>
  <si>
    <t>FGTS</t>
  </si>
  <si>
    <t xml:space="preserve"> - 8,00%. O tributo está previsto no art. 7º, Inciso III, da Constituição Federal, tendo sido regulamentado pela Lei nº 8.030/90, art. 15.</t>
  </si>
  <si>
    <t>Submódulo 2.3 - Benefícios Mensais e Diários</t>
  </si>
  <si>
    <t>2.3</t>
  </si>
  <si>
    <t>Benefícios Mensais e Diários</t>
  </si>
  <si>
    <t>Valor do Bilhete</t>
  </si>
  <si>
    <t>Transporte</t>
  </si>
  <si>
    <t>Auxílio-Refeição/Alimentação</t>
  </si>
  <si>
    <t>Valor do Ticket</t>
  </si>
  <si>
    <t>Quadro Resumo do Módulo 2 - Encargos e Benefícios Anuais, Mensais e Diários</t>
  </si>
  <si>
    <t>13º (décimo terceiro) Salário, Férias e Adicional de Férias</t>
  </si>
  <si>
    <t>Módulo 3  - Provisão para Rescisão</t>
  </si>
  <si>
    <t>Provisão para Rescisão</t>
  </si>
  <si>
    <t>Aviso prévio indenizado</t>
  </si>
  <si>
    <t xml:space="preserve"> - Percentual AVI = ((1 / 12) x 5,55%) = 0,46%. Onde: 5,55% = percentual de empregados demitidos que não trabalham durante o aviso prévio, conforme referência do Acórdão TCU nº 1.904/2007.</t>
  </si>
  <si>
    <t>Incidência do FGTS sobre Aviso prévio indenizado</t>
  </si>
  <si>
    <t>Aviso prévio trabalhado</t>
  </si>
  <si>
    <t xml:space="preserve"> - Percentual AVT = [(7/30)/12] = 1,944%. Conforme Acórdão TCU 3006/2010–Plenário.</t>
  </si>
  <si>
    <t>Incidência de GPS, FGTS sobre o Aviso Prévio Trabalhado</t>
  </si>
  <si>
    <t>Multa do FGTS sobre o Aviso Prévio Trabalhado e Indenizado</t>
  </si>
  <si>
    <t xml:space="preserve"> - Foi adotado o percentual de 4%, considerando o total constante da recomendação da SEGES, decorrente da extinção da cobrança da contribuição social de 10% (dez por cento) devida pelos empregadores em caso de despedida sem justa causa.</t>
  </si>
  <si>
    <t>Submódulo 4.1 - Custo de Reposição do Profissional Ausente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</si>
  <si>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</si>
  <si>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</si>
  <si>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</si>
  <si>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</si>
  <si>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</si>
  <si>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</si>
  <si>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</si>
  <si>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 xml:space="preserve"> - O cálculo do afastamento maternidade é: 50%*(4/12)*1,5%*(8,33%+11,11%)=0,05%. Onde: 50%= percentual de mulheres nos postos; 4=nº de meses da licença e 1,5% é a taxa de fecundidade no DF, conforme Anuário Estatístico da CODEPLAN</t>
  </si>
  <si>
    <t>Substituto na cobertura de Outras ausências (especificar)</t>
  </si>
  <si>
    <t>Submódulo 4.2 - Substituto na Intrajornada</t>
  </si>
  <si>
    <t>4.2</t>
  </si>
  <si>
    <t>Substituto na Intrajornada</t>
  </si>
  <si>
    <t>Substituto na cobertura de Intervalo para repouso ou alimentação</t>
  </si>
  <si>
    <t>Quadro Resumo do Módulo 4 - Custo de Reposição do Profissional Ausente</t>
  </si>
  <si>
    <t>Custo de Reposição do Profissional Ausente</t>
  </si>
  <si>
    <t>Substituto nas Ausências Legais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</si>
  <si>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</si>
  <si>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</si>
  <si>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</si>
  <si>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</si>
  <si>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</si>
  <si>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</si>
  <si>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CITL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</si>
  <si>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</si>
  <si>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</si>
  <si>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</si>
  <si>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</si>
  <si>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</si>
  <si>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</si>
  <si>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</si>
  <si>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</si>
  <si>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</si>
  <si>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 xml:space="preserve"> - Lei Complementar 116/2003. ISS = 5%</t>
  </si>
  <si>
    <t>Quadro Resumo do custo por empregado</t>
  </si>
  <si>
    <t>Valor por empregado</t>
  </si>
  <si>
    <t>Módulo 1 – Composição da Remuneração</t>
  </si>
  <si>
    <t>Módulo 2 – Encargos e Benefícios Anuais, Mensais e Diários</t>
  </si>
  <si>
    <t>Módulo 3 – Provisão para rescisão</t>
  </si>
  <si>
    <t>Módulo 4 – Custo de Reposição do profissional ausente</t>
  </si>
  <si>
    <t>Módulo 5 – Insumos Diversos</t>
  </si>
  <si>
    <t>Subtotal ( A + B + C + D + E)</t>
  </si>
  <si>
    <t>Valor total por empregado</t>
  </si>
  <si>
    <t>QUADRO DEMONSTRATIVO DO VALOR GLOBAL DA PROPOSTA</t>
  </si>
  <si>
    <t>Tipo de Serviço
(A)</t>
  </si>
  <si>
    <t>Valor Proposto por Empregado 
(B)</t>
  </si>
  <si>
    <t>Qtde. de Empregados por Posto
(C)</t>
  </si>
  <si>
    <t>Valor Proposto por Posto 
(D) = (B x C)</t>
  </si>
  <si>
    <t>Qtde. de Postos 
(E)</t>
  </si>
  <si>
    <t>Valor Total do Serviço
(F) = (D x E)</t>
  </si>
  <si>
    <t>I</t>
  </si>
  <si>
    <t>Valor Mensal dos Serviços</t>
  </si>
  <si>
    <t>Valor Anual (12 meses)</t>
  </si>
  <si>
    <t xml:space="preserve"> - Conforme Art. 7º, inciso XVII da Constituição Federal de 1988. Percentual de provisão mensal conforme Anexo XII da IN 05/17: 1/11 = 9,09% ≅ 9,075%</t>
  </si>
  <si>
    <t xml:space="preserve"> - Conforme metodologia adotada pela SEGES são 5,96 dias/ano. Cálculo: (5,96/30) x (1/12) = 0,0166 = 1,66%</t>
  </si>
  <si>
    <t xml:space="preserve"> - De acordo com o Anuário Estatístico da Codeplan (2019), a taxa de fecundidade no Distrito Federal é de aproximadamente 1,5%. Dessa forma a provisão para este item corresponde a :((5/30)/12) x 0,015 = 0,02%. </t>
  </si>
  <si>
    <t xml:space="preserve"> - De acordo com o Boletim Estatístico da Previdência Social (BEPS de Dez/2019), o percentual de frequência anual estimada de acidentes de trabalho é de aproximadamente 2,16%. Dessa forma o cálculo corresponde a: [(15 / 360) x 2,16%)], onde 15 = nº de dias da licença</t>
  </si>
  <si>
    <t xml:space="preserve"> - Nota Técnica nº 1/2007/SCI - STF e Manual de Preenchimento de Planilhas de Custos do STJ</t>
  </si>
  <si>
    <t xml:space="preserve"> - Conforme Art. 7º, inciso XVII da Constituição Federal de 1988. Percentual de provisão mensal conforme Anexo XII da IN 05/17: (1/3)/11 = 3,03% ≅ 3,025%</t>
  </si>
  <si>
    <t>Valor 60 meses</t>
  </si>
  <si>
    <t>II</t>
  </si>
  <si>
    <t>III</t>
  </si>
  <si>
    <t xml:space="preserve"> - Os Tributos adotados na precificação refletem o maior cenário, tendo por base o Lucro Real, cuja alíquota para o PIS é 1,65%</t>
  </si>
  <si>
    <t xml:space="preserve"> - Os Tributos adotados na precificação refletem o maior cenário, tendo por base o Lucro Real, cuja alíquota para o COFINS é 7,60%</t>
  </si>
  <si>
    <t>Quantidade</t>
  </si>
  <si>
    <t>Quantidade Anual</t>
  </si>
  <si>
    <t>Descrição</t>
  </si>
  <si>
    <t>Unidade</t>
  </si>
  <si>
    <t>Unid.</t>
  </si>
  <si>
    <t>Par</t>
  </si>
  <si>
    <t>Resultado 1</t>
  </si>
  <si>
    <t>Média - Desvio Padrão (limite inferior)</t>
  </si>
  <si>
    <t>Média + Desvio Padrão (limite superior)</t>
  </si>
  <si>
    <t>Média Exequíveis (Valor Unitário)</t>
  </si>
  <si>
    <t>Mediana Exequíveis (Valor Unitário)</t>
  </si>
  <si>
    <t>Desvio Padrão (só resultado exequíveis)</t>
  </si>
  <si>
    <t>Coeficiente de Variação (só resultados exequíveis)</t>
  </si>
  <si>
    <t>Critério a ser adotado</t>
  </si>
  <si>
    <t>Valor Unitário Final</t>
  </si>
  <si>
    <t>Valor Total</t>
  </si>
  <si>
    <t>Contagem de Resultados</t>
  </si>
  <si>
    <t>Contagem de Resultados Exequíveis</t>
  </si>
  <si>
    <t>Média (todos os resultados)</t>
  </si>
  <si>
    <t>Desvio Padrão (todos os resultados)</t>
  </si>
  <si>
    <t>Resultado 2</t>
  </si>
  <si>
    <t>Resultado 3</t>
  </si>
  <si>
    <t>Resultado 4</t>
  </si>
  <si>
    <t>Resultado 5</t>
  </si>
  <si>
    <t>Resultado 6</t>
  </si>
  <si>
    <t>Resultado 7</t>
  </si>
  <si>
    <t>Resultado 8</t>
  </si>
  <si>
    <t>Resultado 9</t>
  </si>
  <si>
    <t>Resultado 10</t>
  </si>
  <si>
    <t>Resultado 11</t>
  </si>
  <si>
    <t>Resultado 12</t>
  </si>
  <si>
    <t>Resultado 13</t>
  </si>
  <si>
    <t>Resultado 14</t>
  </si>
  <si>
    <t>Resultado 15</t>
  </si>
  <si>
    <t>Resultado 16</t>
  </si>
  <si>
    <t>Resultado 17</t>
  </si>
  <si>
    <t>Resultado 18</t>
  </si>
  <si>
    <t>Resultado 19</t>
  </si>
  <si>
    <t>Resultado 20</t>
  </si>
  <si>
    <t>Resultado 21</t>
  </si>
  <si>
    <t>Quantidade de itens</t>
  </si>
  <si>
    <t>3 ou mais resultados válidos</t>
  </si>
  <si>
    <t>Menos de 3 resultados válidos</t>
  </si>
  <si>
    <t>Chefe de Brigada (Líder)</t>
  </si>
  <si>
    <t>Brigadista Particular - Diurno</t>
  </si>
  <si>
    <t>Brigadista Particular - Noturno</t>
  </si>
  <si>
    <t>Conjunto de uniforme (Masculino/Feminino)</t>
  </si>
  <si>
    <t>Blusa com manga longa, (gandola) tecido rip stop </t>
  </si>
  <si>
    <t>Camiseta de malha com logotipo da empresa estampada ou bordada</t>
  </si>
  <si>
    <t>Calça comprida, tecido rip stop </t>
  </si>
  <si>
    <t>Cinto padrão</t>
  </si>
  <si>
    <t>Coturno preto cabedal em couro hidrofugado resistente à agua, espessura de 2mm, dublado com tecido de poliéster e colarinho de couro pelica; forração interna de acrílico automotivo, com isolamento térmico em EVA; reforço interno de material termoplástico leve e resistente, no bico e calcanhar; solado de borracha maciço, vulcanizado ao cabedal, resistente a corrente elétrica; Vedação resistente a água ou 100% impermeável. Modelo de referência: Guartelá Attack II Dry Impermeável OU SIMILAR</t>
  </si>
  <si>
    <t>Blusa de frio (tipo japona)</t>
  </si>
  <si>
    <t>Par de meias com aproximadamente ( 78% algodão, 21 % poliamida, 1% outras fibras)</t>
  </si>
  <si>
    <t>Água oxigenada 100ml</t>
  </si>
  <si>
    <t>Álcool comum 70 % 1000ml</t>
  </si>
  <si>
    <t>Algodão hidrófilo não estéril 500g</t>
  </si>
  <si>
    <t>Ataduras de crepe (10cm de largura)</t>
  </si>
  <si>
    <t>Ataduras de crepe (15cm de largura)</t>
  </si>
  <si>
    <t>Ataduras de crepe (20cm de largura)</t>
  </si>
  <si>
    <t>Bandagem triangular (142cm x 100cm x 100cm)</t>
  </si>
  <si>
    <t>Compressas de gaze 8 dobras (7,50cm x 7,50cm)</t>
  </si>
  <si>
    <t>Compressas de gaze esterilizadas (10cm x 15cm)</t>
  </si>
  <si>
    <t>Fita adesiva (crepe)</t>
  </si>
  <si>
    <t>Fita Esparadrapo 10mm x 4,5m</t>
  </si>
  <si>
    <t>Fita zebrada plástica utilizada para isolamento em áreas de acidente nas cores amarela e preta, rolo com dimensões de 7cm X200m</t>
  </si>
  <si>
    <t>Frasco de soro fisiológico de 250ml</t>
  </si>
  <si>
    <t>Luvas de procedimento (caixa com 100 unidades)</t>
  </si>
  <si>
    <t>Máscara descartável (caixa com 50 unidades)</t>
  </si>
  <si>
    <t>Plástico protetor de queimaduras e eviscerações (1m x 1m) Esterelizado</t>
  </si>
  <si>
    <t>Pomada de uso tópico tipo gelol ou massageol - OU SIMILAR</t>
  </si>
  <si>
    <t>Insumos</t>
  </si>
  <si>
    <t>Materiais permanentes</t>
  </si>
  <si>
    <t>Bouldrier tipo escalador, regulável para resgate.</t>
  </si>
  <si>
    <t>Cabos solteiros (cabo da vida) 4m de comprimento, de 8mm de espessura.</t>
  </si>
  <si>
    <t>Cadeira de rodas com largura mínima de 80cm, capaz de atender pessoas acima de 110kg.</t>
  </si>
  <si>
    <t>Capacete tipo III, classe A, de polipropileno injetado, para trabalho em alturas.</t>
  </si>
  <si>
    <t>Corda Poliamida(nylon) 6.6 em sua alma e poliéster na capa 100 metros 10mm</t>
  </si>
  <si>
    <t>Desfibrilador externo automático.</t>
  </si>
  <si>
    <t>Escada dobrável de 10 degraus</t>
  </si>
  <si>
    <t>Lanterna de mão tipo farolete, com capacidade  de luminosidade de 500.000 velas, com recarregador  e transformador bivolt automático.</t>
  </si>
  <si>
    <t>Luvas para trabalhos em alta tensão.</t>
  </si>
  <si>
    <t>Megafone com potência regulável, alcance de 500m em zona rural e 300m em zona urbana, autonomia de 15h.</t>
  </si>
  <si>
    <t>Mosquetão HMS, fabricado em duralumínio, com trava de rosca, tensão mínima de ruptura de 32KN, para ser usado em sistemas de ancoragem.</t>
  </si>
  <si>
    <t>Mosquetão tipo Delta (assimétrico), fabricado em duralumínio, com trava de rosca, tensão mínima de ruptura de 22KN, para uso em sistema descensor.</t>
  </si>
  <si>
    <t>Óculos de proteção individual para operações de trabalho sujeitas a partículas e poeiras.</t>
  </si>
  <si>
    <t>Rádio de comunicação tipo ptt (push to talk) com carregador de base.</t>
  </si>
  <si>
    <t>Alavanca para arrombamento, tipo pé-de-cabra, oitavado</t>
  </si>
  <si>
    <t>Alicate universal de 9” com cabo isolado</t>
  </si>
  <si>
    <t>Arco de serra com 2 (duas) lâminas</t>
  </si>
  <si>
    <t>Caixa para ferramentas de ferro</t>
  </si>
  <si>
    <t>Jogo de chaves de fenda, 1/8 x 4”, 3/16 x 4” e 1,4 x 5”</t>
  </si>
  <si>
    <t>Jogo de chaves philips 1/4 x 4”, 1/4 x 6”, 1/8 x 3”</t>
  </si>
  <si>
    <t>Machado arrombador de bombeiro, forjado em peça única de aço com cabo anatômico em madeira envernizado.</t>
  </si>
  <si>
    <t>Marreta de 5kg</t>
  </si>
  <si>
    <t>Martelo</t>
  </si>
  <si>
    <t>Par de luvas de raspa ou de vaqueta</t>
  </si>
  <si>
    <t>Tesoura corta vergalhão</t>
  </si>
  <si>
    <t>Trena de 15m</t>
  </si>
  <si>
    <t>Aferidor de Pressão Arterial braquial digital</t>
  </si>
  <si>
    <t>Capa para chuva impermeável com manga e capuz - CA28449 Tamanho G</t>
  </si>
  <si>
    <t>Colar cervical REGULÁVEL</t>
  </si>
  <si>
    <t>Imobilizador de Cabeça (Coxim) completo</t>
  </si>
  <si>
    <t>Mochila de Primeiros Socorros tamanho M</t>
  </si>
  <si>
    <t>Oxímetro digital de dedo, medidor portátil de saturação de oxigênio no sangue</t>
  </si>
  <si>
    <t xml:space="preserve">Prancha longa de polietinelo com cinto ou material de similar resistência (190cm x 45cm) </t>
  </si>
  <si>
    <t>Ressuscitador manual (ambu) ou máscara de ressuscitação</t>
  </si>
  <si>
    <t>Tala moldável grande (86cm x 10cm x 2cm)</t>
  </si>
  <si>
    <t>Tala moldável média (63cm x 9cm x 2cm)</t>
  </si>
  <si>
    <t>Tala moldável pequena (30cm x 8cm x 2cm)</t>
  </si>
  <si>
    <t>Termômetro Digital (pistola)</t>
  </si>
  <si>
    <t>Tesoura de ponta romba</t>
  </si>
  <si>
    <t>Caixa</t>
  </si>
  <si>
    <t xml:space="preserve"> - Conforme piso salarial estabelecido na cláusula quinta da CCT DF000184/2024.</t>
  </si>
  <si>
    <t>Adicional de periculosidade</t>
  </si>
  <si>
    <t>Adicional de hora noturna</t>
  </si>
  <si>
    <t xml:space="preserve"> - Art. 6º, inciso III da Lei nº 11.901/2009.</t>
  </si>
  <si>
    <t xml:space="preserve"> - CLT (arts. 8º, §2º, 59-A, §1º e 73, §§ 1º ao 5º) e Cláusula quadragésima terceira da CCT DF000184/2024.</t>
  </si>
  <si>
    <t xml:space="preserve"> - Conforme Cláusula décima segunda da CCT DF000184/2024.</t>
  </si>
  <si>
    <t xml:space="preserve"> - Foi considerado o valor da passagem de R$ 5,50, definido no inciso III do Art. 3º do Decreto nº 40.381/2020 do Distrito Federal. O valor não foi incorporado na planilha pois o desconto legal de 6% supera o valor do benefício.</t>
  </si>
  <si>
    <t>Adicional de Férias</t>
  </si>
  <si>
    <t>Resumo</t>
  </si>
  <si>
    <t>Total anual por funcionário</t>
  </si>
  <si>
    <t>Valor mensal por funcionário</t>
  </si>
  <si>
    <t>Total anual</t>
  </si>
  <si>
    <t>Total mensal</t>
  </si>
  <si>
    <t>Quantidade de trabalhadores</t>
  </si>
  <si>
    <t>Custo mensal por trabalhador</t>
  </si>
  <si>
    <t>Valor total</t>
  </si>
  <si>
    <t>Valor residual (10%)</t>
  </si>
  <si>
    <t>Valor depreciável</t>
  </si>
  <si>
    <t>Vida útil (meses)</t>
  </si>
  <si>
    <t>Custo mensal da depreciação</t>
  </si>
  <si>
    <t>Custo mensal da depreciação por trabalhador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</si>
</sst>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-&quot;R$&quot;* #,##0.00_-;&quot;-R$&quot;* #,##0.00_-;_-&quot;R$&quot;* \-??_-;_-@_-"/>
    <numFmt numFmtId="165" formatCode="0.0%"/>
    <numFmt numFmtId="166" formatCode="[$R$-416]\ #,##0.00;[Red]\-[$R$-416]\ #,##0.00"/>
    <numFmt numFmtId="167" formatCode="0.000%"/>
    <numFmt numFmtId="168" formatCode="&quot;R$&quot;\ #,##0.0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D9D9D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9" fontId="1" fillId="0" borderId="0" applyBorder="0" applyProtection="0"/>
    <xf numFmtId="0" fontId="1" fillId="2" borderId="0" applyBorder="0" applyProtection="0"/>
  </cellStyleXfs>
  <cellXfs count="74">
    <xf numFmtId="0" fontId="0" fillId="0" borderId="0" xfId="0"/>
    <xf numFmtId="0" fontId="2" fillId="2" borderId="1" xfId="3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 applyProtection="1"/>
    <xf numFmtId="164" fontId="0" fillId="0" borderId="1" xfId="1" applyFont="1" applyBorder="1" applyProtection="1"/>
    <xf numFmtId="164" fontId="2" fillId="0" borderId="1" xfId="1" applyFont="1" applyBorder="1" applyProtection="1"/>
    <xf numFmtId="10" fontId="0" fillId="0" borderId="1" xfId="2" applyNumberFormat="1" applyFont="1" applyBorder="1" applyAlignment="1" applyProtection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1" xfId="2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 wrapText="1"/>
    </xf>
    <xf numFmtId="166" fontId="0" fillId="0" borderId="1" xfId="2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2" applyNumberFormat="1" applyFont="1" applyBorder="1" applyAlignment="1" applyProtection="1">
      <alignment horizontal="center" wrapText="1"/>
    </xf>
    <xf numFmtId="164" fontId="0" fillId="0" borderId="1" xfId="0" applyNumberFormat="1" applyBorder="1" applyAlignment="1">
      <alignment horizontal="center"/>
    </xf>
    <xf numFmtId="166" fontId="2" fillId="0" borderId="1" xfId="1" applyNumberFormat="1" applyFont="1" applyBorder="1" applyProtection="1"/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2" fillId="0" borderId="0" xfId="1" applyFont="1" applyBorder="1" applyProtection="1"/>
    <xf numFmtId="9" fontId="0" fillId="0" borderId="1" xfId="2" applyFont="1" applyBorder="1" applyAlignment="1" applyProtection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9" fontId="1" fillId="0" borderId="0" xfId="2" applyProtection="1"/>
    <xf numFmtId="0" fontId="3" fillId="0" borderId="1" xfId="0" applyFont="1" applyBorder="1" applyAlignment="1">
      <alignment wrapText="1"/>
    </xf>
    <xf numFmtId="44" fontId="0" fillId="0" borderId="0" xfId="0" applyNumberFormat="1"/>
    <xf numFmtId="167" fontId="0" fillId="0" borderId="1" xfId="2" applyNumberFormat="1" applyFont="1" applyBorder="1" applyAlignment="1" applyProtection="1">
      <alignment horizontal="center"/>
    </xf>
    <xf numFmtId="0" fontId="3" fillId="0" borderId="0" xfId="0" applyFont="1"/>
    <xf numFmtId="166" fontId="3" fillId="0" borderId="1" xfId="2" applyNumberFormat="1" applyFont="1" applyBorder="1" applyAlignment="1" applyProtection="1">
      <alignment horizontal="center"/>
    </xf>
    <xf numFmtId="0" fontId="2" fillId="2" borderId="2" xfId="3" applyFont="1" applyBorder="1" applyAlignment="1" applyProtection="1">
      <alignment horizontal="left" vertical="center" wrapText="1"/>
    </xf>
    <xf numFmtId="0" fontId="2" fillId="2" borderId="2" xfId="3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8" fontId="1" fillId="0" borderId="1" xfId="1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2" borderId="3" xfId="3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168" fontId="1" fillId="0" borderId="3" xfId="1" applyNumberFormat="1" applyBorder="1" applyAlignment="1">
      <alignment horizontal="center" vertical="center"/>
    </xf>
    <xf numFmtId="9" fontId="1" fillId="0" borderId="3" xfId="2" applyBorder="1" applyAlignment="1">
      <alignment horizontal="center" vertical="center"/>
    </xf>
    <xf numFmtId="0" fontId="1" fillId="0" borderId="3" xfId="1" applyNumberFormat="1" applyBorder="1" applyAlignment="1">
      <alignment horizontal="center" vertical="center"/>
    </xf>
    <xf numFmtId="0" fontId="1" fillId="0" borderId="1" xfId="1" applyNumberForma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9" fontId="0" fillId="0" borderId="3" xfId="2" applyFont="1" applyBorder="1" applyProtection="1"/>
    <xf numFmtId="164" fontId="0" fillId="0" borderId="3" xfId="1" applyFont="1" applyBorder="1" applyProtection="1"/>
    <xf numFmtId="10" fontId="3" fillId="0" borderId="1" xfId="2" applyNumberFormat="1" applyFont="1" applyBorder="1" applyAlignment="1" applyProtection="1">
      <alignment horizontal="center"/>
    </xf>
    <xf numFmtId="168" fontId="7" fillId="0" borderId="3" xfId="1" applyNumberFormat="1" applyFont="1" applyBorder="1" applyAlignment="1">
      <alignment horizontal="center" vertical="center"/>
    </xf>
    <xf numFmtId="0" fontId="2" fillId="2" borderId="4" xfId="3" applyFont="1" applyBorder="1" applyAlignment="1" applyProtection="1">
      <alignment horizontal="centerContinuous" vertical="center" wrapText="1"/>
    </xf>
    <xf numFmtId="0" fontId="2" fillId="2" borderId="5" xfId="3" applyFont="1" applyBorder="1" applyAlignment="1" applyProtection="1">
      <alignment horizontal="centerContinuous" vertical="center" wrapText="1"/>
    </xf>
    <xf numFmtId="0" fontId="2" fillId="2" borderId="6" xfId="3" applyFont="1" applyBorder="1" applyAlignment="1" applyProtection="1">
      <alignment horizontal="centerContinuous" vertical="center" wrapText="1"/>
    </xf>
    <xf numFmtId="0" fontId="2" fillId="2" borderId="3" xfId="3" applyFont="1" applyBorder="1" applyAlignment="1" applyProtection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168" fontId="1" fillId="0" borderId="4" xfId="1" applyNumberFormat="1" applyBorder="1" applyAlignment="1">
      <alignment horizontal="centerContinuous" vertical="center"/>
    </xf>
    <xf numFmtId="0" fontId="1" fillId="0" borderId="6" xfId="1" applyNumberForma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 wrapText="1"/>
    </xf>
    <xf numFmtId="3" fontId="0" fillId="0" borderId="6" xfId="0" applyNumberFormat="1" applyBorder="1" applyAlignment="1">
      <alignment horizontal="centerContinuous" vertical="center"/>
    </xf>
    <xf numFmtId="168" fontId="4" fillId="0" borderId="4" xfId="0" applyNumberFormat="1" applyFont="1" applyBorder="1" applyAlignment="1">
      <alignment horizontal="centerContinuous" vertical="center" wrapText="1"/>
    </xf>
    <xf numFmtId="0" fontId="5" fillId="0" borderId="4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3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2" borderId="1" xfId="3" applyFont="1" applyBorder="1" applyAlignment="1" applyProtection="1">
      <alignment horizontal="center" vertic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Texto Explicativo" xfId="3" builtinId="53"/>
  </cellStyles>
  <dxfs count="132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527F-F20D-48E3-ABC1-72187A91E932}">
  <dimension ref="A1:L11"/>
  <sheetViews>
    <sheetView showGridLines="0" zoomScaleNormal="100" workbookViewId="0">
      <selection activeCell="B15" sqref="B15"/>
    </sheetView>
  </sheetViews>
  <sheetFormatPr defaultRowHeight="15" x14ac:dyDescent="0.25"/>
  <cols>
    <col min="1" max="1" width="12.28515625" customWidth="1"/>
    <col min="2" max="2" width="54.85546875" customWidth="1"/>
    <col min="3" max="3" width="13.7109375" customWidth="1"/>
    <col min="4" max="4" width="17.7109375" customWidth="1"/>
    <col min="5" max="5" width="13.7109375" customWidth="1"/>
    <col min="6" max="6" width="17.7109375" customWidth="1"/>
    <col min="7" max="7" width="13.7109375" customWidth="1"/>
    <col min="8" max="8" width="17.7109375" customWidth="1"/>
    <col min="9" max="9" width="13.7109375" customWidth="1"/>
    <col min="10" max="10" width="17.7109375" customWidth="1"/>
    <col min="11" max="11" width="13.7109375" customWidth="1"/>
    <col min="12" max="12" width="17.7109375" customWidth="1"/>
    <col min="13" max="13" width="13.7109375" customWidth="1"/>
    <col min="14" max="14" width="17.7109375" customWidth="1"/>
    <col min="15" max="15" width="13.7109375" customWidth="1"/>
    <col min="16" max="16" width="17.7109375" customWidth="1"/>
    <col min="17" max="17" width="13.7109375" customWidth="1"/>
    <col min="18" max="18" width="17.7109375" customWidth="1"/>
    <col min="19" max="19" width="13.7109375" customWidth="1"/>
    <col min="20" max="20" width="17.7109375" customWidth="1"/>
    <col min="21" max="27" width="8.7109375" customWidth="1"/>
    <col min="29" max="1023" width="8.7109375" customWidth="1"/>
  </cols>
  <sheetData>
    <row r="1" spans="1:12" x14ac:dyDescent="0.25">
      <c r="D1" s="23"/>
    </row>
    <row r="2" spans="1:12" ht="15" customHeight="1" x14ac:dyDescent="0.25">
      <c r="A2" s="69" t="s">
        <v>101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39.950000000000003" customHeight="1" x14ac:dyDescent="0.25">
      <c r="A3" s="69" t="s">
        <v>102</v>
      </c>
      <c r="B3" s="69"/>
      <c r="C3" s="69" t="s">
        <v>103</v>
      </c>
      <c r="D3" s="69"/>
      <c r="E3" s="69" t="s">
        <v>104</v>
      </c>
      <c r="F3" s="69"/>
      <c r="G3" s="69" t="s">
        <v>105</v>
      </c>
      <c r="H3" s="69"/>
      <c r="I3" s="69" t="s">
        <v>106</v>
      </c>
      <c r="J3" s="69"/>
      <c r="K3" s="69" t="s">
        <v>107</v>
      </c>
      <c r="L3" s="69"/>
    </row>
    <row r="4" spans="1:12" x14ac:dyDescent="0.25">
      <c r="A4" s="2" t="s">
        <v>108</v>
      </c>
      <c r="B4" s="24" t="s">
        <v>165</v>
      </c>
      <c r="C4" s="68">
        <f>'Chefe de Brigada (Líder)'!D109</f>
        <v>15038.13</v>
      </c>
      <c r="D4" s="68"/>
      <c r="E4" s="67">
        <v>2</v>
      </c>
      <c r="F4" s="67"/>
      <c r="G4" s="68">
        <f t="shared" ref="G4" si="0">(C4*E4)</f>
        <v>30076.26</v>
      </c>
      <c r="H4" s="68"/>
      <c r="I4" s="67">
        <v>2</v>
      </c>
      <c r="J4" s="67"/>
      <c r="K4" s="68">
        <f t="shared" ref="K4" si="1">G4*I4</f>
        <v>60152.52</v>
      </c>
      <c r="L4" s="68"/>
    </row>
    <row r="5" spans="1:12" x14ac:dyDescent="0.25">
      <c r="A5" s="2" t="s">
        <v>118</v>
      </c>
      <c r="B5" s="24" t="s">
        <v>166</v>
      </c>
      <c r="C5" s="68">
        <f>'Brigadista Particular - Diurno'!D109</f>
        <v>12319.41</v>
      </c>
      <c r="D5" s="68"/>
      <c r="E5" s="67">
        <v>2</v>
      </c>
      <c r="F5" s="67"/>
      <c r="G5" s="68">
        <f t="shared" ref="G5:G6" si="2">(C5*E5)</f>
        <v>24638.82</v>
      </c>
      <c r="H5" s="68"/>
      <c r="I5" s="67">
        <v>8</v>
      </c>
      <c r="J5" s="67"/>
      <c r="K5" s="68">
        <f t="shared" ref="K5:K6" si="3">G5*I5</f>
        <v>197110.56</v>
      </c>
      <c r="L5" s="68"/>
    </row>
    <row r="6" spans="1:12" x14ac:dyDescent="0.25">
      <c r="A6" s="2" t="s">
        <v>119</v>
      </c>
      <c r="B6" s="24" t="s">
        <v>167</v>
      </c>
      <c r="C6" s="68">
        <f>'Brigadista Particular - Noturno'!D109</f>
        <v>13612.03</v>
      </c>
      <c r="D6" s="68"/>
      <c r="E6" s="67">
        <v>2</v>
      </c>
      <c r="F6" s="67"/>
      <c r="G6" s="68">
        <f t="shared" si="2"/>
        <v>27224.06</v>
      </c>
      <c r="H6" s="68"/>
      <c r="I6" s="67">
        <v>4</v>
      </c>
      <c r="J6" s="67"/>
      <c r="K6" s="68">
        <f t="shared" si="3"/>
        <v>108896.24</v>
      </c>
      <c r="L6" s="68"/>
    </row>
    <row r="7" spans="1:12" x14ac:dyDescent="0.25">
      <c r="A7" s="64" t="s">
        <v>109</v>
      </c>
      <c r="B7" s="64"/>
      <c r="C7" s="65"/>
      <c r="D7" s="65"/>
      <c r="E7" s="65"/>
      <c r="F7" s="65"/>
      <c r="G7" s="65"/>
      <c r="H7" s="65"/>
      <c r="I7" s="67">
        <f>SUM(I4:J6)</f>
        <v>14</v>
      </c>
      <c r="J7" s="67"/>
      <c r="K7" s="66">
        <f>SUM(K4:L6)</f>
        <v>366159.32</v>
      </c>
      <c r="L7" s="66"/>
    </row>
    <row r="8" spans="1:12" x14ac:dyDescent="0.25">
      <c r="A8" s="64" t="s">
        <v>110</v>
      </c>
      <c r="B8" s="64"/>
      <c r="C8" s="65"/>
      <c r="D8" s="65"/>
      <c r="E8" s="65"/>
      <c r="F8" s="65"/>
      <c r="G8" s="65"/>
      <c r="H8" s="65"/>
      <c r="I8" s="65"/>
      <c r="J8" s="65"/>
      <c r="K8" s="66">
        <f>K7*12</f>
        <v>4393911.84</v>
      </c>
      <c r="L8" s="66"/>
    </row>
    <row r="9" spans="1:12" x14ac:dyDescent="0.25">
      <c r="A9" s="64" t="s">
        <v>117</v>
      </c>
      <c r="B9" s="64"/>
      <c r="C9" s="65"/>
      <c r="D9" s="65"/>
      <c r="E9" s="65"/>
      <c r="F9" s="65"/>
      <c r="G9" s="65"/>
      <c r="H9" s="65"/>
      <c r="I9" s="65"/>
      <c r="J9" s="65"/>
      <c r="K9" s="66">
        <f>K8*5</f>
        <v>21969559.199999999</v>
      </c>
      <c r="L9" s="66"/>
    </row>
    <row r="10" spans="1:12" x14ac:dyDescent="0.25">
      <c r="F10" s="25"/>
    </row>
    <row r="11" spans="1:12" x14ac:dyDescent="0.25">
      <c r="L11" s="25"/>
    </row>
  </sheetData>
  <mergeCells count="32">
    <mergeCell ref="C4:D4"/>
    <mergeCell ref="E4:F4"/>
    <mergeCell ref="G4:H4"/>
    <mergeCell ref="I4:J4"/>
    <mergeCell ref="K4:L4"/>
    <mergeCell ref="A2:L2"/>
    <mergeCell ref="A3:B3"/>
    <mergeCell ref="C3:D3"/>
    <mergeCell ref="E3:F3"/>
    <mergeCell ref="G3:H3"/>
    <mergeCell ref="I3:J3"/>
    <mergeCell ref="K3:L3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5:D5"/>
    <mergeCell ref="A7:B7"/>
    <mergeCell ref="A9:B9"/>
    <mergeCell ref="C9:J9"/>
    <mergeCell ref="K9:L9"/>
    <mergeCell ref="A8:B8"/>
    <mergeCell ref="C8:J8"/>
    <mergeCell ref="K8:L8"/>
    <mergeCell ref="C7:H7"/>
    <mergeCell ref="I7:J7"/>
    <mergeCell ref="K7:L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8E7A8-1E55-4BD3-B7A4-CA7F8E904EBC}">
  <dimension ref="A1:F113"/>
  <sheetViews>
    <sheetView showGridLines="0" zoomScaleNormal="100" workbookViewId="0">
      <selection activeCell="D32" sqref="D32"/>
    </sheetView>
  </sheetViews>
  <sheetFormatPr defaultRowHeight="15" x14ac:dyDescent="0.25"/>
  <cols>
    <col min="1" max="1" width="12.28515625" customWidth="1"/>
    <col min="2" max="2" width="54.85546875" customWidth="1"/>
    <col min="3" max="3" width="13.7109375" customWidth="1"/>
    <col min="4" max="4" width="17.7109375" customWidth="1"/>
    <col min="5" max="5" width="13.7109375" customWidth="1"/>
    <col min="6" max="6" width="17.7109375" customWidth="1"/>
    <col min="7" max="7" width="13.7109375" customWidth="1"/>
    <col min="8" max="8" width="17.7109375" customWidth="1"/>
    <col min="9" max="9" width="13.7109375" customWidth="1"/>
    <col min="10" max="10" width="17.7109375" customWidth="1"/>
    <col min="11" max="11" width="13.7109375" customWidth="1"/>
    <col min="12" max="12" width="17.7109375" customWidth="1"/>
    <col min="13" max="13" width="13.7109375" customWidth="1"/>
    <col min="14" max="14" width="17.7109375" customWidth="1"/>
    <col min="15" max="15" width="13.7109375" customWidth="1"/>
    <col min="16" max="16" width="17.7109375" customWidth="1"/>
    <col min="17" max="17" width="13.7109375" customWidth="1"/>
    <col min="18" max="18" width="17.7109375" customWidth="1"/>
    <col min="19" max="19" width="13.7109375" customWidth="1"/>
    <col min="20" max="20" width="17.7109375" customWidth="1"/>
    <col min="21" max="27" width="8.7109375" customWidth="1"/>
    <col min="29" max="1023" width="8.7109375" customWidth="1"/>
  </cols>
  <sheetData>
    <row r="1" spans="1:5" ht="39.950000000000003" customHeight="1" x14ac:dyDescent="0.25">
      <c r="A1" s="71" t="s">
        <v>0</v>
      </c>
      <c r="B1" s="71"/>
      <c r="C1" s="69" t="s">
        <v>165</v>
      </c>
      <c r="D1" s="69"/>
    </row>
    <row r="2" spans="1:5" x14ac:dyDescent="0.25">
      <c r="A2" s="2">
        <v>1</v>
      </c>
      <c r="B2" s="2" t="s">
        <v>1</v>
      </c>
      <c r="C2" s="2"/>
      <c r="D2" s="2" t="s">
        <v>2</v>
      </c>
    </row>
    <row r="3" spans="1:5" x14ac:dyDescent="0.25">
      <c r="A3" s="2" t="s">
        <v>3</v>
      </c>
      <c r="B3" s="3" t="s">
        <v>4</v>
      </c>
      <c r="C3" s="4"/>
      <c r="D3" s="5">
        <v>4547.13</v>
      </c>
      <c r="E3" s="27" t="s">
        <v>235</v>
      </c>
    </row>
    <row r="4" spans="1:5" x14ac:dyDescent="0.25">
      <c r="A4" s="45" t="s">
        <v>5</v>
      </c>
      <c r="B4" s="46" t="s">
        <v>236</v>
      </c>
      <c r="C4" s="47"/>
      <c r="D4" s="48">
        <f>D3*30%</f>
        <v>1364.1389999999999</v>
      </c>
      <c r="E4" s="27" t="s">
        <v>238</v>
      </c>
    </row>
    <row r="5" spans="1:5" x14ac:dyDescent="0.25">
      <c r="A5" s="2" t="s">
        <v>6</v>
      </c>
      <c r="B5" s="3" t="s">
        <v>237</v>
      </c>
      <c r="C5" s="4"/>
      <c r="D5" s="5"/>
    </row>
    <row r="6" spans="1:5" x14ac:dyDescent="0.25">
      <c r="A6" s="2" t="s">
        <v>24</v>
      </c>
      <c r="B6" s="3" t="s">
        <v>7</v>
      </c>
      <c r="C6" s="4"/>
      <c r="D6" s="5"/>
    </row>
    <row r="7" spans="1:5" x14ac:dyDescent="0.25">
      <c r="A7" s="72" t="s">
        <v>8</v>
      </c>
      <c r="B7" s="72"/>
      <c r="C7" s="3"/>
      <c r="D7" s="6">
        <f>ROUND(SUM(D3:D6),2)</f>
        <v>5911.27</v>
      </c>
    </row>
    <row r="10" spans="1:5" ht="39.950000000000003" customHeight="1" x14ac:dyDescent="0.25">
      <c r="A10" s="71" t="s">
        <v>9</v>
      </c>
      <c r="B10" s="71"/>
      <c r="C10" s="69" t="str">
        <f>$C$1</f>
        <v>Chefe de Brigada (Líder)</v>
      </c>
      <c r="D10" s="69"/>
    </row>
    <row r="11" spans="1:5" x14ac:dyDescent="0.25">
      <c r="A11" s="2" t="s">
        <v>10</v>
      </c>
      <c r="B11" s="2" t="s">
        <v>11</v>
      </c>
      <c r="C11" s="2" t="s">
        <v>12</v>
      </c>
      <c r="D11" s="2" t="s">
        <v>2</v>
      </c>
    </row>
    <row r="12" spans="1:5" x14ac:dyDescent="0.25">
      <c r="A12" s="2" t="s">
        <v>3</v>
      </c>
      <c r="B12" s="3" t="s">
        <v>13</v>
      </c>
      <c r="C12" s="7">
        <f>1/12</f>
        <v>8.3333333333333329E-2</v>
      </c>
      <c r="D12" s="5">
        <f>C12*D7</f>
        <v>492.60583333333335</v>
      </c>
      <c r="E12" t="s">
        <v>14</v>
      </c>
    </row>
    <row r="13" spans="1:5" x14ac:dyDescent="0.25">
      <c r="A13" s="2" t="s">
        <v>5</v>
      </c>
      <c r="B13" s="3" t="s">
        <v>242</v>
      </c>
      <c r="C13" s="26">
        <v>3.0249999999999999E-2</v>
      </c>
      <c r="D13" s="5">
        <f>C13*D7</f>
        <v>178.81591750000001</v>
      </c>
      <c r="E13" t="s">
        <v>116</v>
      </c>
    </row>
    <row r="14" spans="1:5" x14ac:dyDescent="0.25">
      <c r="A14" s="72" t="s">
        <v>8</v>
      </c>
      <c r="B14" s="72"/>
      <c r="C14" s="8">
        <f t="shared" ref="C14" si="0">SUM(C12:C13)</f>
        <v>0.11358333333333333</v>
      </c>
      <c r="D14" s="6">
        <f>ROUND(SUM(D12:D13),2)</f>
        <v>671.42</v>
      </c>
    </row>
    <row r="17" spans="1:5" ht="39.950000000000003" customHeight="1" x14ac:dyDescent="0.25">
      <c r="A17" s="69" t="s">
        <v>15</v>
      </c>
      <c r="B17" s="69"/>
      <c r="C17" s="69" t="str">
        <f>$C$1</f>
        <v>Chefe de Brigada (Líder)</v>
      </c>
      <c r="D17" s="69"/>
    </row>
    <row r="18" spans="1:5" x14ac:dyDescent="0.25">
      <c r="A18" s="2" t="s">
        <v>16</v>
      </c>
      <c r="B18" s="2" t="s">
        <v>17</v>
      </c>
      <c r="C18" s="2" t="s">
        <v>12</v>
      </c>
      <c r="D18" s="2" t="s">
        <v>2</v>
      </c>
    </row>
    <row r="19" spans="1:5" x14ac:dyDescent="0.25">
      <c r="A19" s="2" t="s">
        <v>3</v>
      </c>
      <c r="B19" s="3" t="s">
        <v>18</v>
      </c>
      <c r="C19" s="9">
        <v>0.2</v>
      </c>
      <c r="D19" s="5">
        <f t="shared" ref="D19:D26" si="1">(C19*($D$14+$D$7))</f>
        <v>1316.5380000000002</v>
      </c>
      <c r="E19" t="s">
        <v>19</v>
      </c>
    </row>
    <row r="20" spans="1:5" x14ac:dyDescent="0.25">
      <c r="A20" s="2" t="s">
        <v>5</v>
      </c>
      <c r="B20" s="3" t="s">
        <v>20</v>
      </c>
      <c r="C20" s="9">
        <v>2.5000000000000001E-2</v>
      </c>
      <c r="D20" s="5">
        <f t="shared" si="1"/>
        <v>164.56725000000003</v>
      </c>
      <c r="E20" t="s">
        <v>21</v>
      </c>
    </row>
    <row r="21" spans="1:5" x14ac:dyDescent="0.25">
      <c r="A21" s="2" t="s">
        <v>6</v>
      </c>
      <c r="B21" s="3" t="s">
        <v>22</v>
      </c>
      <c r="C21" s="9">
        <v>0.03</v>
      </c>
      <c r="D21" s="5">
        <f t="shared" si="1"/>
        <v>197.48070000000001</v>
      </c>
      <c r="E21" t="s">
        <v>23</v>
      </c>
    </row>
    <row r="22" spans="1:5" x14ac:dyDescent="0.25">
      <c r="A22" s="2" t="s">
        <v>24</v>
      </c>
      <c r="B22" s="3" t="s">
        <v>25</v>
      </c>
      <c r="C22" s="9">
        <v>1.4999999999999999E-2</v>
      </c>
      <c r="D22" s="5">
        <f t="shared" si="1"/>
        <v>98.740350000000007</v>
      </c>
      <c r="E22" t="s">
        <v>26</v>
      </c>
    </row>
    <row r="23" spans="1:5" x14ac:dyDescent="0.25">
      <c r="A23" s="2" t="s">
        <v>27</v>
      </c>
      <c r="B23" s="3" t="s">
        <v>28</v>
      </c>
      <c r="C23" s="9">
        <v>0.01</v>
      </c>
      <c r="D23" s="5">
        <f t="shared" si="1"/>
        <v>65.826900000000009</v>
      </c>
      <c r="E23" t="s">
        <v>29</v>
      </c>
    </row>
    <row r="24" spans="1:5" x14ac:dyDescent="0.25">
      <c r="A24" s="2" t="s">
        <v>30</v>
      </c>
      <c r="B24" s="3" t="s">
        <v>31</v>
      </c>
      <c r="C24" s="9">
        <v>6.0000000000000001E-3</v>
      </c>
      <c r="D24" s="5">
        <f t="shared" si="1"/>
        <v>39.496140000000004</v>
      </c>
      <c r="E24" t="s">
        <v>32</v>
      </c>
    </row>
    <row r="25" spans="1:5" x14ac:dyDescent="0.25">
      <c r="A25" s="2" t="s">
        <v>33</v>
      </c>
      <c r="B25" s="3" t="s">
        <v>34</v>
      </c>
      <c r="C25" s="9">
        <v>2E-3</v>
      </c>
      <c r="D25" s="5">
        <f t="shared" si="1"/>
        <v>13.165380000000001</v>
      </c>
      <c r="E25" t="s">
        <v>35</v>
      </c>
    </row>
    <row r="26" spans="1:5" x14ac:dyDescent="0.25">
      <c r="A26" s="2" t="s">
        <v>36</v>
      </c>
      <c r="B26" s="3" t="s">
        <v>37</v>
      </c>
      <c r="C26" s="9">
        <v>0.08</v>
      </c>
      <c r="D26" s="5">
        <f t="shared" si="1"/>
        <v>526.61520000000007</v>
      </c>
      <c r="E26" t="s">
        <v>38</v>
      </c>
    </row>
    <row r="27" spans="1:5" x14ac:dyDescent="0.25">
      <c r="A27" s="72" t="s">
        <v>8</v>
      </c>
      <c r="B27" s="72"/>
      <c r="C27" s="9">
        <f>SUM(C19:C26)</f>
        <v>0.36800000000000005</v>
      </c>
      <c r="D27" s="6">
        <f>(ROUND(SUM(D19:D26),2))</f>
        <v>2422.4299999999998</v>
      </c>
    </row>
    <row r="30" spans="1:5" ht="39.950000000000003" customHeight="1" x14ac:dyDescent="0.25">
      <c r="A30" s="69" t="s">
        <v>39</v>
      </c>
      <c r="B30" s="69"/>
      <c r="C30" s="69" t="str">
        <f>$C$1</f>
        <v>Chefe de Brigada (Líder)</v>
      </c>
      <c r="D30" s="69"/>
    </row>
    <row r="31" spans="1:5" ht="30" x14ac:dyDescent="0.25">
      <c r="A31" s="2" t="s">
        <v>40</v>
      </c>
      <c r="B31" s="2" t="s">
        <v>41</v>
      </c>
      <c r="C31" s="10" t="s">
        <v>42</v>
      </c>
      <c r="D31" s="2" t="s">
        <v>2</v>
      </c>
    </row>
    <row r="32" spans="1:5" x14ac:dyDescent="0.25">
      <c r="A32" s="2" t="s">
        <v>3</v>
      </c>
      <c r="B32" s="3" t="s">
        <v>43</v>
      </c>
      <c r="C32" s="11">
        <v>5.5</v>
      </c>
      <c r="D32" s="5">
        <f>ROUND(IF((C32*2*13)-(D3*6%)&gt;=0,(C32*2*13)-(D3*6%),0),2)</f>
        <v>0</v>
      </c>
      <c r="E32" t="s">
        <v>241</v>
      </c>
    </row>
    <row r="33" spans="1:5" ht="30" x14ac:dyDescent="0.25">
      <c r="A33" s="65" t="s">
        <v>5</v>
      </c>
      <c r="B33" s="70" t="s">
        <v>44</v>
      </c>
      <c r="C33" s="13" t="s">
        <v>45</v>
      </c>
      <c r="D33" s="5"/>
    </row>
    <row r="34" spans="1:5" x14ac:dyDescent="0.25">
      <c r="A34" s="65"/>
      <c r="B34" s="70"/>
      <c r="C34" s="28">
        <v>45.23</v>
      </c>
      <c r="D34" s="5">
        <f>(C34*13)</f>
        <v>587.99</v>
      </c>
      <c r="E34" s="27" t="s">
        <v>240</v>
      </c>
    </row>
    <row r="35" spans="1:5" x14ac:dyDescent="0.25">
      <c r="A35" s="2" t="s">
        <v>6</v>
      </c>
      <c r="B35" s="3" t="s">
        <v>7</v>
      </c>
      <c r="C35" s="9"/>
      <c r="D35" s="2"/>
    </row>
    <row r="36" spans="1:5" x14ac:dyDescent="0.25">
      <c r="A36" s="72" t="s">
        <v>8</v>
      </c>
      <c r="B36" s="72"/>
      <c r="C36" s="3"/>
      <c r="D36" s="6">
        <f>ROUND(SUM(D32:D35),2)</f>
        <v>587.99</v>
      </c>
    </row>
    <row r="39" spans="1:5" ht="39.950000000000003" customHeight="1" x14ac:dyDescent="0.25">
      <c r="A39" s="69" t="s">
        <v>46</v>
      </c>
      <c r="B39" s="69"/>
      <c r="C39" s="69" t="str">
        <f>$C$1</f>
        <v>Chefe de Brigada (Líder)</v>
      </c>
      <c r="D39" s="69"/>
    </row>
    <row r="40" spans="1:5" x14ac:dyDescent="0.25">
      <c r="A40" s="2">
        <v>2</v>
      </c>
      <c r="B40" s="2" t="s">
        <v>41</v>
      </c>
      <c r="C40" s="2"/>
      <c r="D40" s="2" t="s">
        <v>2</v>
      </c>
    </row>
    <row r="41" spans="1:5" x14ac:dyDescent="0.25">
      <c r="A41" s="2" t="s">
        <v>10</v>
      </c>
      <c r="B41" s="3" t="s">
        <v>47</v>
      </c>
      <c r="C41" s="9"/>
      <c r="D41" s="5">
        <f>D14</f>
        <v>671.42</v>
      </c>
    </row>
    <row r="42" spans="1:5" x14ac:dyDescent="0.25">
      <c r="A42" s="2" t="s">
        <v>16</v>
      </c>
      <c r="B42" s="3" t="s">
        <v>17</v>
      </c>
      <c r="C42" s="9"/>
      <c r="D42" s="14">
        <f>D27</f>
        <v>2422.4299999999998</v>
      </c>
    </row>
    <row r="43" spans="1:5" x14ac:dyDescent="0.25">
      <c r="A43" s="2" t="s">
        <v>40</v>
      </c>
      <c r="B43" s="3" t="s">
        <v>41</v>
      </c>
      <c r="C43" s="9"/>
      <c r="D43" s="14">
        <f>D36</f>
        <v>587.99</v>
      </c>
    </row>
    <row r="44" spans="1:5" x14ac:dyDescent="0.25">
      <c r="A44" s="72" t="s">
        <v>8</v>
      </c>
      <c r="B44" s="72"/>
      <c r="C44" s="3"/>
      <c r="D44" s="15">
        <f>SUM(D41:D43)</f>
        <v>3681.84</v>
      </c>
    </row>
    <row r="47" spans="1:5" ht="39.950000000000003" customHeight="1" x14ac:dyDescent="0.25">
      <c r="A47" s="69" t="s">
        <v>48</v>
      </c>
      <c r="B47" s="69"/>
      <c r="C47" s="69" t="str">
        <f>$C$1</f>
        <v>Chefe de Brigada (Líder)</v>
      </c>
      <c r="D47" s="69"/>
    </row>
    <row r="48" spans="1:5" x14ac:dyDescent="0.25">
      <c r="A48" s="2">
        <v>3</v>
      </c>
      <c r="B48" s="2" t="s">
        <v>49</v>
      </c>
      <c r="C48" s="2" t="s">
        <v>12</v>
      </c>
      <c r="D48" s="2" t="s">
        <v>2</v>
      </c>
    </row>
    <row r="49" spans="1:5" x14ac:dyDescent="0.25">
      <c r="A49" s="2" t="s">
        <v>3</v>
      </c>
      <c r="B49" s="3" t="s">
        <v>50</v>
      </c>
      <c r="C49" s="7">
        <f>(1/12*5.55%)</f>
        <v>4.6249999999999998E-3</v>
      </c>
      <c r="D49" s="5">
        <f>C49*D7</f>
        <v>27.339623750000001</v>
      </c>
      <c r="E49" t="s">
        <v>51</v>
      </c>
    </row>
    <row r="50" spans="1:5" x14ac:dyDescent="0.25">
      <c r="A50" s="2" t="s">
        <v>5</v>
      </c>
      <c r="B50" s="3" t="s">
        <v>52</v>
      </c>
      <c r="C50" s="7">
        <v>0.08</v>
      </c>
      <c r="D50" s="5">
        <f>C50*D49</f>
        <v>2.1871699000000002</v>
      </c>
    </row>
    <row r="51" spans="1:5" x14ac:dyDescent="0.25">
      <c r="A51" s="2" t="s">
        <v>6</v>
      </c>
      <c r="B51" s="3" t="s">
        <v>53</v>
      </c>
      <c r="C51" s="7">
        <f>(7/30)/12</f>
        <v>1.9444444444444445E-2</v>
      </c>
      <c r="D51" s="5">
        <f>C51*D7</f>
        <v>114.94136111111112</v>
      </c>
      <c r="E51" t="s">
        <v>54</v>
      </c>
    </row>
    <row r="52" spans="1:5" x14ac:dyDescent="0.25">
      <c r="A52" s="12" t="s">
        <v>24</v>
      </c>
      <c r="B52" s="16" t="s">
        <v>55</v>
      </c>
      <c r="C52" s="7">
        <f>C27</f>
        <v>0.36800000000000005</v>
      </c>
      <c r="D52" s="5">
        <f>C52*D51</f>
        <v>42.298420888888899</v>
      </c>
    </row>
    <row r="53" spans="1:5" x14ac:dyDescent="0.25">
      <c r="A53" s="2" t="s">
        <v>27</v>
      </c>
      <c r="B53" s="3" t="s">
        <v>56</v>
      </c>
      <c r="C53" s="7">
        <v>0.04</v>
      </c>
      <c r="D53" s="5">
        <f>C53*D7</f>
        <v>236.45080000000002</v>
      </c>
      <c r="E53" t="s">
        <v>57</v>
      </c>
    </row>
    <row r="54" spans="1:5" x14ac:dyDescent="0.25">
      <c r="A54" s="72" t="s">
        <v>8</v>
      </c>
      <c r="B54" s="72"/>
      <c r="C54" s="3"/>
      <c r="D54" s="6">
        <f>ROUND(SUM(D49:D53),2)</f>
        <v>423.22</v>
      </c>
    </row>
    <row r="57" spans="1:5" ht="39.950000000000003" customHeight="1" x14ac:dyDescent="0.25">
      <c r="A57" s="69" t="s">
        <v>58</v>
      </c>
      <c r="B57" s="69"/>
      <c r="C57" s="69" t="str">
        <f>$C$1</f>
        <v>Chefe de Brigada (Líder)</v>
      </c>
      <c r="D57" s="69"/>
    </row>
    <row r="58" spans="1:5" x14ac:dyDescent="0.25">
      <c r="A58" s="2" t="s">
        <v>59</v>
      </c>
      <c r="B58" s="2" t="s">
        <v>60</v>
      </c>
      <c r="C58" s="2" t="s">
        <v>12</v>
      </c>
      <c r="D58" s="2" t="s">
        <v>2</v>
      </c>
    </row>
    <row r="59" spans="1:5" x14ac:dyDescent="0.25">
      <c r="A59" s="2" t="s">
        <v>3</v>
      </c>
      <c r="B59" s="3" t="s">
        <v>61</v>
      </c>
      <c r="C59" s="26">
        <v>9.0749999999999997E-2</v>
      </c>
      <c r="D59" s="5">
        <f t="shared" ref="D59:D64" si="2">C59*($D$7+$D$41+$D$42+$D$54)</f>
        <v>855.62185499999998</v>
      </c>
      <c r="E59" t="s">
        <v>111</v>
      </c>
    </row>
    <row r="60" spans="1:5" x14ac:dyDescent="0.25">
      <c r="A60" s="2" t="s">
        <v>5</v>
      </c>
      <c r="B60" s="3" t="s">
        <v>62</v>
      </c>
      <c r="C60" s="7">
        <f>(5.96/30)/12</f>
        <v>1.6555555555555556E-2</v>
      </c>
      <c r="D60" s="5">
        <f t="shared" si="2"/>
        <v>156.09140666666667</v>
      </c>
      <c r="E60" t="s">
        <v>112</v>
      </c>
    </row>
    <row r="61" spans="1:5" x14ac:dyDescent="0.25">
      <c r="A61" s="2" t="s">
        <v>6</v>
      </c>
      <c r="B61" s="3" t="s">
        <v>63</v>
      </c>
      <c r="C61" s="7">
        <f>((5/30)/12)*0.015</f>
        <v>2.0833333333333332E-4</v>
      </c>
      <c r="D61" s="5">
        <f t="shared" si="2"/>
        <v>1.9642374999999999</v>
      </c>
      <c r="E61" t="s">
        <v>113</v>
      </c>
    </row>
    <row r="62" spans="1:5" ht="15" customHeight="1" x14ac:dyDescent="0.25">
      <c r="A62" s="12" t="s">
        <v>24</v>
      </c>
      <c r="B62" s="16" t="s">
        <v>64</v>
      </c>
      <c r="C62" s="49">
        <f>(15/360)*2.16%</f>
        <v>8.9999999999999998E-4</v>
      </c>
      <c r="D62" s="5">
        <f t="shared" si="2"/>
        <v>8.4855059999999991</v>
      </c>
      <c r="E62" s="27" t="s">
        <v>114</v>
      </c>
    </row>
    <row r="63" spans="1:5" x14ac:dyDescent="0.25">
      <c r="A63" s="12" t="s">
        <v>27</v>
      </c>
      <c r="B63" s="16" t="s">
        <v>65</v>
      </c>
      <c r="C63" s="7">
        <f>50%*(4/12)*1.5%*(8.33%+11.11%)</f>
        <v>4.8599999999999989E-4</v>
      </c>
      <c r="D63" s="5">
        <f t="shared" si="2"/>
        <v>4.5821732399999986</v>
      </c>
      <c r="E63" t="s">
        <v>66</v>
      </c>
    </row>
    <row r="64" spans="1:5" x14ac:dyDescent="0.25">
      <c r="A64" s="2" t="s">
        <v>30</v>
      </c>
      <c r="B64" s="3" t="s">
        <v>67</v>
      </c>
      <c r="C64" s="9"/>
      <c r="D64" s="5">
        <f t="shared" si="2"/>
        <v>0</v>
      </c>
    </row>
    <row r="65" spans="1:4" x14ac:dyDescent="0.25">
      <c r="A65" s="72" t="s">
        <v>8</v>
      </c>
      <c r="B65" s="72"/>
      <c r="C65" s="3"/>
      <c r="D65" s="6">
        <f>ROUND(SUM(D59:D64),2)</f>
        <v>1026.75</v>
      </c>
    </row>
    <row r="68" spans="1:4" ht="39.950000000000003" customHeight="1" x14ac:dyDescent="0.25">
      <c r="A68" s="69" t="s">
        <v>68</v>
      </c>
      <c r="B68" s="69"/>
      <c r="C68" s="69" t="str">
        <f>$C$1</f>
        <v>Chefe de Brigada (Líder)</v>
      </c>
      <c r="D68" s="69"/>
    </row>
    <row r="69" spans="1:4" x14ac:dyDescent="0.25">
      <c r="A69" s="2" t="s">
        <v>69</v>
      </c>
      <c r="B69" s="2" t="s">
        <v>70</v>
      </c>
      <c r="C69" s="2"/>
      <c r="D69" s="2" t="s">
        <v>2</v>
      </c>
    </row>
    <row r="70" spans="1:4" ht="30" x14ac:dyDescent="0.25">
      <c r="A70" s="2" t="s">
        <v>3</v>
      </c>
      <c r="B70" s="16" t="s">
        <v>71</v>
      </c>
      <c r="C70" s="13"/>
      <c r="D70" s="5">
        <v>0</v>
      </c>
    </row>
    <row r="71" spans="1:4" x14ac:dyDescent="0.25">
      <c r="A71" s="72" t="s">
        <v>8</v>
      </c>
      <c r="B71" s="72"/>
      <c r="C71" s="3"/>
      <c r="D71" s="6">
        <f>SUM(D70:D70)</f>
        <v>0</v>
      </c>
    </row>
    <row r="74" spans="1:4" ht="39.950000000000003" customHeight="1" x14ac:dyDescent="0.25">
      <c r="A74" s="69" t="s">
        <v>72</v>
      </c>
      <c r="B74" s="69"/>
      <c r="C74" s="69" t="str">
        <f>$C$1</f>
        <v>Chefe de Brigada (Líder)</v>
      </c>
      <c r="D74" s="69"/>
    </row>
    <row r="75" spans="1:4" x14ac:dyDescent="0.25">
      <c r="A75" s="2">
        <v>4</v>
      </c>
      <c r="B75" s="2" t="s">
        <v>73</v>
      </c>
      <c r="C75" s="2"/>
      <c r="D75" s="2" t="s">
        <v>2</v>
      </c>
    </row>
    <row r="76" spans="1:4" x14ac:dyDescent="0.25">
      <c r="A76" s="2" t="s">
        <v>59</v>
      </c>
      <c r="B76" s="3" t="s">
        <v>74</v>
      </c>
      <c r="C76" s="9"/>
      <c r="D76" s="14">
        <f>D65</f>
        <v>1026.75</v>
      </c>
    </row>
    <row r="77" spans="1:4" x14ac:dyDescent="0.25">
      <c r="A77" s="2" t="s">
        <v>69</v>
      </c>
      <c r="B77" s="3" t="s">
        <v>70</v>
      </c>
      <c r="C77" s="9"/>
      <c r="D77" s="14">
        <f>D71</f>
        <v>0</v>
      </c>
    </row>
    <row r="78" spans="1:4" x14ac:dyDescent="0.25">
      <c r="A78" s="72" t="s">
        <v>8</v>
      </c>
      <c r="B78" s="72"/>
      <c r="C78" s="3"/>
      <c r="D78" s="6">
        <f>ROUND(SUM(D76:D77),2)</f>
        <v>1026.75</v>
      </c>
    </row>
    <row r="81" spans="1:5" ht="39.950000000000003" customHeight="1" x14ac:dyDescent="0.25">
      <c r="A81" s="69" t="s">
        <v>75</v>
      </c>
      <c r="B81" s="69"/>
      <c r="C81" s="69" t="str">
        <f>$C$1</f>
        <v>Chefe de Brigada (Líder)</v>
      </c>
      <c r="D81" s="69"/>
    </row>
    <row r="82" spans="1:5" x14ac:dyDescent="0.25">
      <c r="A82" s="2">
        <v>5</v>
      </c>
      <c r="B82" s="2" t="s">
        <v>76</v>
      </c>
      <c r="C82" s="2"/>
      <c r="D82" s="2" t="s">
        <v>2</v>
      </c>
    </row>
    <row r="83" spans="1:5" x14ac:dyDescent="0.25">
      <c r="A83" s="2" t="s">
        <v>3</v>
      </c>
      <c r="B83" s="3" t="s">
        <v>77</v>
      </c>
      <c r="C83" s="9"/>
      <c r="D83" s="14">
        <f>Uniformes!C14</f>
        <v>109.47769841269842</v>
      </c>
    </row>
    <row r="84" spans="1:5" x14ac:dyDescent="0.25">
      <c r="A84" s="2" t="s">
        <v>5</v>
      </c>
      <c r="B84" s="3" t="s">
        <v>78</v>
      </c>
      <c r="C84" s="9"/>
      <c r="D84" s="14">
        <f>'Materiais de consumo'!C26</f>
        <v>4.5195684523809536</v>
      </c>
    </row>
    <row r="85" spans="1:5" x14ac:dyDescent="0.25">
      <c r="A85" s="2" t="s">
        <v>6</v>
      </c>
      <c r="B85" s="3" t="s">
        <v>79</v>
      </c>
      <c r="C85" s="9"/>
      <c r="D85" s="14">
        <f>'Materiais permanentes'!C51</f>
        <v>7.6020584375000029</v>
      </c>
    </row>
    <row r="86" spans="1:5" x14ac:dyDescent="0.25">
      <c r="A86" s="12" t="s">
        <v>24</v>
      </c>
      <c r="B86" s="16" t="s">
        <v>7</v>
      </c>
      <c r="C86" s="9"/>
      <c r="D86" s="14"/>
    </row>
    <row r="87" spans="1:5" x14ac:dyDescent="0.25">
      <c r="A87" s="72" t="s">
        <v>8</v>
      </c>
      <c r="B87" s="72"/>
      <c r="C87" s="3"/>
      <c r="D87" s="6">
        <f>ROUND(SUM(D83:D86),2)</f>
        <v>121.6</v>
      </c>
    </row>
    <row r="90" spans="1:5" ht="39.950000000000003" customHeight="1" x14ac:dyDescent="0.25">
      <c r="A90" s="69" t="s">
        <v>80</v>
      </c>
      <c r="B90" s="69"/>
      <c r="C90" s="69" t="str">
        <f>$C$1</f>
        <v>Chefe de Brigada (Líder)</v>
      </c>
      <c r="D90" s="69"/>
    </row>
    <row r="91" spans="1:5" x14ac:dyDescent="0.25">
      <c r="A91" s="2">
        <v>6</v>
      </c>
      <c r="B91" s="2" t="s">
        <v>81</v>
      </c>
      <c r="C91" s="2" t="s">
        <v>12</v>
      </c>
      <c r="D91" s="2" t="s">
        <v>2</v>
      </c>
    </row>
    <row r="92" spans="1:5" x14ac:dyDescent="0.25">
      <c r="A92" s="2" t="s">
        <v>3</v>
      </c>
      <c r="B92" s="3" t="s">
        <v>82</v>
      </c>
      <c r="C92" s="7">
        <v>0.05</v>
      </c>
      <c r="D92" s="14">
        <f>ROUND(D107*C92,2)</f>
        <v>558.23</v>
      </c>
      <c r="E92" t="s">
        <v>115</v>
      </c>
    </row>
    <row r="93" spans="1:5" x14ac:dyDescent="0.25">
      <c r="A93" s="2" t="s">
        <v>5</v>
      </c>
      <c r="B93" s="3" t="s">
        <v>83</v>
      </c>
      <c r="C93" s="7">
        <v>0.1</v>
      </c>
      <c r="D93" s="14">
        <f>ROUND((D107+D92)*C93,2)</f>
        <v>1172.29</v>
      </c>
      <c r="E93" t="s">
        <v>115</v>
      </c>
    </row>
    <row r="94" spans="1:5" x14ac:dyDescent="0.25">
      <c r="A94" s="2" t="s">
        <v>6</v>
      </c>
      <c r="B94" s="3" t="s">
        <v>84</v>
      </c>
      <c r="C94" s="7">
        <f t="shared" ref="C94:D94" si="3">SUM(C95:C97)</f>
        <v>0.14250000000000002</v>
      </c>
      <c r="D94" s="14">
        <f t="shared" si="3"/>
        <v>2142.94</v>
      </c>
    </row>
    <row r="95" spans="1:5" x14ac:dyDescent="0.25">
      <c r="A95" s="12" t="s">
        <v>85</v>
      </c>
      <c r="B95" s="16" t="s">
        <v>86</v>
      </c>
      <c r="C95" s="7">
        <v>1.6500000000000001E-2</v>
      </c>
      <c r="D95" s="14">
        <f>ROUND(C95*D109,2)</f>
        <v>248.13</v>
      </c>
      <c r="E95" t="s">
        <v>120</v>
      </c>
    </row>
    <row r="96" spans="1:5" x14ac:dyDescent="0.25">
      <c r="A96" s="12" t="s">
        <v>87</v>
      </c>
      <c r="B96" s="16" t="s">
        <v>88</v>
      </c>
      <c r="C96" s="7">
        <v>7.5999999999999998E-2</v>
      </c>
      <c r="D96" s="14">
        <f>ROUND(C96*D109,2)</f>
        <v>1142.9000000000001</v>
      </c>
      <c r="E96" t="s">
        <v>121</v>
      </c>
    </row>
    <row r="97" spans="1:5" x14ac:dyDescent="0.25">
      <c r="A97" s="2" t="s">
        <v>89</v>
      </c>
      <c r="B97" s="3" t="s">
        <v>90</v>
      </c>
      <c r="C97" s="7">
        <v>0.05</v>
      </c>
      <c r="D97" s="14">
        <f>ROUND(C97*D109,2)</f>
        <v>751.91</v>
      </c>
      <c r="E97" t="s">
        <v>91</v>
      </c>
    </row>
    <row r="98" spans="1:5" x14ac:dyDescent="0.25">
      <c r="A98" s="72" t="s">
        <v>8</v>
      </c>
      <c r="B98" s="72"/>
      <c r="C98" s="3"/>
      <c r="D98" s="6">
        <f>ROUND(SUM(D92+D93+D94),2)</f>
        <v>3873.46</v>
      </c>
    </row>
    <row r="99" spans="1:5" x14ac:dyDescent="0.25">
      <c r="A99" s="17"/>
      <c r="B99" s="17"/>
      <c r="D99" s="18"/>
    </row>
    <row r="100" spans="1:5" ht="39.950000000000003" customHeight="1" x14ac:dyDescent="0.25">
      <c r="A100" s="69" t="s">
        <v>92</v>
      </c>
      <c r="B100" s="69"/>
      <c r="C100" s="69" t="str">
        <f>$C$1</f>
        <v>Chefe de Brigada (Líder)</v>
      </c>
      <c r="D100" s="69"/>
    </row>
    <row r="101" spans="1:5" x14ac:dyDescent="0.25">
      <c r="A101" s="65" t="s">
        <v>93</v>
      </c>
      <c r="B101" s="65"/>
      <c r="C101" s="2"/>
      <c r="D101" s="2" t="s">
        <v>2</v>
      </c>
    </row>
    <row r="102" spans="1:5" x14ac:dyDescent="0.25">
      <c r="A102" s="2" t="s">
        <v>3</v>
      </c>
      <c r="B102" s="3" t="s">
        <v>94</v>
      </c>
      <c r="C102" s="19">
        <f>(D102/$D$109)</f>
        <v>0.39308544346936758</v>
      </c>
      <c r="D102" s="14">
        <f>D7</f>
        <v>5911.27</v>
      </c>
    </row>
    <row r="103" spans="1:5" x14ac:dyDescent="0.25">
      <c r="A103" s="2" t="s">
        <v>5</v>
      </c>
      <c r="B103" s="3" t="s">
        <v>95</v>
      </c>
      <c r="C103" s="19">
        <f t="shared" ref="C103:C108" si="4">(D103/$D$109)</f>
        <v>0.24483363290515511</v>
      </c>
      <c r="D103" s="14">
        <f>D44</f>
        <v>3681.84</v>
      </c>
    </row>
    <row r="104" spans="1:5" x14ac:dyDescent="0.25">
      <c r="A104" s="2" t="s">
        <v>6</v>
      </c>
      <c r="B104" s="3" t="s">
        <v>96</v>
      </c>
      <c r="C104" s="19">
        <f t="shared" si="4"/>
        <v>2.8143126838243854E-2</v>
      </c>
      <c r="D104" s="14">
        <f>D54</f>
        <v>423.22</v>
      </c>
    </row>
    <row r="105" spans="1:5" x14ac:dyDescent="0.25">
      <c r="A105" s="12" t="s">
        <v>24</v>
      </c>
      <c r="B105" s="16" t="s">
        <v>97</v>
      </c>
      <c r="C105" s="19">
        <f t="shared" si="4"/>
        <v>6.827644128625035E-2</v>
      </c>
      <c r="D105" s="14">
        <f>D78</f>
        <v>1026.75</v>
      </c>
    </row>
    <row r="106" spans="1:5" x14ac:dyDescent="0.25">
      <c r="A106" s="12" t="s">
        <v>27</v>
      </c>
      <c r="B106" s="16" t="s">
        <v>98</v>
      </c>
      <c r="C106" s="19">
        <f t="shared" si="4"/>
        <v>8.0861117705459395E-3</v>
      </c>
      <c r="D106" s="14">
        <f>D87</f>
        <v>121.6</v>
      </c>
    </row>
    <row r="107" spans="1:5" x14ac:dyDescent="0.25">
      <c r="A107" s="73" t="s">
        <v>99</v>
      </c>
      <c r="B107" s="73"/>
      <c r="C107" s="19"/>
      <c r="D107" s="20">
        <f>ROUND(SUM(D102:D106),2)</f>
        <v>11164.68</v>
      </c>
    </row>
    <row r="108" spans="1:5" x14ac:dyDescent="0.25">
      <c r="A108" s="12" t="s">
        <v>30</v>
      </c>
      <c r="B108" s="21" t="s">
        <v>80</v>
      </c>
      <c r="C108" s="19">
        <f t="shared" si="4"/>
        <v>0.25757590870673419</v>
      </c>
      <c r="D108" s="14">
        <f>D98</f>
        <v>3873.46</v>
      </c>
    </row>
    <row r="109" spans="1:5" x14ac:dyDescent="0.25">
      <c r="A109" s="73" t="s">
        <v>100</v>
      </c>
      <c r="B109" s="73"/>
      <c r="C109" s="22">
        <f>SUM(C102:C108)</f>
        <v>1.0000006649762971</v>
      </c>
      <c r="D109" s="20">
        <f>ROUND((D107+D92+D93)/(1-C94),2)</f>
        <v>15038.13</v>
      </c>
    </row>
    <row r="110" spans="1:5" x14ac:dyDescent="0.25">
      <c r="D110" s="23"/>
    </row>
    <row r="111" spans="1:5" x14ac:dyDescent="0.25">
      <c r="D111" s="23"/>
    </row>
    <row r="113" spans="6:6" x14ac:dyDescent="0.25">
      <c r="F113" s="25"/>
    </row>
  </sheetData>
  <mergeCells count="40">
    <mergeCell ref="A101:B101"/>
    <mergeCell ref="A107:B107"/>
    <mergeCell ref="A109:B109"/>
    <mergeCell ref="A87:B87"/>
    <mergeCell ref="A90:B90"/>
    <mergeCell ref="C90:D90"/>
    <mergeCell ref="A98:B98"/>
    <mergeCell ref="A100:B100"/>
    <mergeCell ref="C100:D100"/>
    <mergeCell ref="A71:B71"/>
    <mergeCell ref="A74:B74"/>
    <mergeCell ref="C74:D74"/>
    <mergeCell ref="A78:B78"/>
    <mergeCell ref="A81:B81"/>
    <mergeCell ref="C81:D81"/>
    <mergeCell ref="A54:B54"/>
    <mergeCell ref="A57:B57"/>
    <mergeCell ref="C57:D57"/>
    <mergeCell ref="A65:B65"/>
    <mergeCell ref="A68:B68"/>
    <mergeCell ref="C68:D68"/>
    <mergeCell ref="A36:B36"/>
    <mergeCell ref="A39:B39"/>
    <mergeCell ref="C39:D39"/>
    <mergeCell ref="A44:B44"/>
    <mergeCell ref="A47:B47"/>
    <mergeCell ref="C47:D47"/>
    <mergeCell ref="A33:A34"/>
    <mergeCell ref="B33:B34"/>
    <mergeCell ref="A1:B1"/>
    <mergeCell ref="C1:D1"/>
    <mergeCell ref="A7:B7"/>
    <mergeCell ref="A10:B10"/>
    <mergeCell ref="C10:D10"/>
    <mergeCell ref="A14:B14"/>
    <mergeCell ref="A17:B17"/>
    <mergeCell ref="C17:D17"/>
    <mergeCell ref="A27:B27"/>
    <mergeCell ref="A30:B30"/>
    <mergeCell ref="C30:D30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1EE41-4B92-4F0A-9C43-830AFBD2A929}">
  <dimension ref="A1:F113"/>
  <sheetViews>
    <sheetView showGridLines="0" zoomScaleNormal="100" workbookViewId="0">
      <selection activeCell="D4" sqref="D4"/>
    </sheetView>
  </sheetViews>
  <sheetFormatPr defaultRowHeight="15" x14ac:dyDescent="0.25"/>
  <cols>
    <col min="1" max="1" width="12.28515625" customWidth="1"/>
    <col min="2" max="2" width="54.85546875" customWidth="1"/>
    <col min="3" max="3" width="13.7109375" customWidth="1"/>
    <col min="4" max="4" width="17.7109375" customWidth="1"/>
    <col min="5" max="5" width="13.7109375" customWidth="1"/>
    <col min="6" max="6" width="17.7109375" customWidth="1"/>
    <col min="7" max="7" width="13.7109375" customWidth="1"/>
    <col min="8" max="8" width="17.7109375" customWidth="1"/>
    <col min="9" max="9" width="13.7109375" customWidth="1"/>
    <col min="10" max="10" width="17.7109375" customWidth="1"/>
    <col min="11" max="11" width="13.7109375" customWidth="1"/>
    <col min="12" max="12" width="17.7109375" customWidth="1"/>
    <col min="13" max="13" width="13.7109375" customWidth="1"/>
    <col min="14" max="14" width="17.7109375" customWidth="1"/>
    <col min="15" max="15" width="13.7109375" customWidth="1"/>
    <col min="16" max="16" width="17.7109375" customWidth="1"/>
    <col min="17" max="17" width="13.7109375" customWidth="1"/>
    <col min="18" max="18" width="17.7109375" customWidth="1"/>
    <col min="19" max="19" width="13.7109375" customWidth="1"/>
    <col min="20" max="20" width="17.7109375" customWidth="1"/>
    <col min="21" max="27" width="8.7109375" customWidth="1"/>
    <col min="29" max="1023" width="8.7109375" customWidth="1"/>
  </cols>
  <sheetData>
    <row r="1" spans="1:5" ht="39.950000000000003" customHeight="1" x14ac:dyDescent="0.25">
      <c r="A1" s="71" t="s">
        <v>0</v>
      </c>
      <c r="B1" s="71"/>
      <c r="C1" s="69" t="s">
        <v>166</v>
      </c>
      <c r="D1" s="69"/>
    </row>
    <row r="2" spans="1:5" x14ac:dyDescent="0.25">
      <c r="A2" s="2">
        <v>1</v>
      </c>
      <c r="B2" s="2" t="s">
        <v>1</v>
      </c>
      <c r="C2" s="2"/>
      <c r="D2" s="2" t="s">
        <v>2</v>
      </c>
    </row>
    <row r="3" spans="1:5" x14ac:dyDescent="0.25">
      <c r="A3" s="2" t="s">
        <v>3</v>
      </c>
      <c r="B3" s="3" t="s">
        <v>4</v>
      </c>
      <c r="C3" s="4"/>
      <c r="D3" s="5">
        <v>3669.27</v>
      </c>
      <c r="E3" s="27" t="s">
        <v>235</v>
      </c>
    </row>
    <row r="4" spans="1:5" x14ac:dyDescent="0.25">
      <c r="A4" s="45" t="s">
        <v>5</v>
      </c>
      <c r="B4" s="46" t="s">
        <v>236</v>
      </c>
      <c r="C4" s="47"/>
      <c r="D4" s="48">
        <f>D3*30%</f>
        <v>1100.7809999999999</v>
      </c>
      <c r="E4" s="27" t="s">
        <v>238</v>
      </c>
    </row>
    <row r="5" spans="1:5" x14ac:dyDescent="0.25">
      <c r="A5" s="2" t="s">
        <v>6</v>
      </c>
      <c r="B5" s="3" t="s">
        <v>237</v>
      </c>
      <c r="C5" s="4"/>
      <c r="D5" s="5"/>
    </row>
    <row r="6" spans="1:5" x14ac:dyDescent="0.25">
      <c r="A6" s="2" t="s">
        <v>24</v>
      </c>
      <c r="B6" s="3" t="s">
        <v>7</v>
      </c>
      <c r="C6" s="4"/>
      <c r="D6" s="5"/>
    </row>
    <row r="7" spans="1:5" x14ac:dyDescent="0.25">
      <c r="A7" s="72" t="s">
        <v>8</v>
      </c>
      <c r="B7" s="72"/>
      <c r="C7" s="3"/>
      <c r="D7" s="6">
        <f>ROUND(SUM(D3:D6),2)</f>
        <v>4770.05</v>
      </c>
    </row>
    <row r="10" spans="1:5" ht="39.950000000000003" customHeight="1" x14ac:dyDescent="0.25">
      <c r="A10" s="71" t="s">
        <v>9</v>
      </c>
      <c r="B10" s="71"/>
      <c r="C10" s="69" t="str">
        <f>$C$1</f>
        <v>Brigadista Particular - Diurno</v>
      </c>
      <c r="D10" s="69"/>
    </row>
    <row r="11" spans="1:5" x14ac:dyDescent="0.25">
      <c r="A11" s="2" t="s">
        <v>10</v>
      </c>
      <c r="B11" s="2" t="s">
        <v>11</v>
      </c>
      <c r="C11" s="2" t="s">
        <v>12</v>
      </c>
      <c r="D11" s="2" t="s">
        <v>2</v>
      </c>
    </row>
    <row r="12" spans="1:5" x14ac:dyDescent="0.25">
      <c r="A12" s="2" t="s">
        <v>3</v>
      </c>
      <c r="B12" s="3" t="s">
        <v>13</v>
      </c>
      <c r="C12" s="7">
        <f>1/12</f>
        <v>8.3333333333333329E-2</v>
      </c>
      <c r="D12" s="5">
        <f>C12*D7</f>
        <v>397.50416666666666</v>
      </c>
      <c r="E12" t="s">
        <v>14</v>
      </c>
    </row>
    <row r="13" spans="1:5" x14ac:dyDescent="0.25">
      <c r="A13" s="2" t="s">
        <v>5</v>
      </c>
      <c r="B13" s="3" t="s">
        <v>242</v>
      </c>
      <c r="C13" s="26">
        <v>3.0249999999999999E-2</v>
      </c>
      <c r="D13" s="5">
        <f>C13*D7</f>
        <v>144.29401250000001</v>
      </c>
      <c r="E13" t="s">
        <v>116</v>
      </c>
    </row>
    <row r="14" spans="1:5" x14ac:dyDescent="0.25">
      <c r="A14" s="72" t="s">
        <v>8</v>
      </c>
      <c r="B14" s="72"/>
      <c r="C14" s="8">
        <f t="shared" ref="C14" si="0">SUM(C12:C13)</f>
        <v>0.11358333333333333</v>
      </c>
      <c r="D14" s="6">
        <f>ROUND(SUM(D12:D13),2)</f>
        <v>541.79999999999995</v>
      </c>
    </row>
    <row r="17" spans="1:5" ht="39.950000000000003" customHeight="1" x14ac:dyDescent="0.25">
      <c r="A17" s="69" t="s">
        <v>15</v>
      </c>
      <c r="B17" s="69"/>
      <c r="C17" s="69" t="str">
        <f>$C$1</f>
        <v>Brigadista Particular - Diurno</v>
      </c>
      <c r="D17" s="69"/>
    </row>
    <row r="18" spans="1:5" x14ac:dyDescent="0.25">
      <c r="A18" s="2" t="s">
        <v>16</v>
      </c>
      <c r="B18" s="2" t="s">
        <v>17</v>
      </c>
      <c r="C18" s="2" t="s">
        <v>12</v>
      </c>
      <c r="D18" s="2" t="s">
        <v>2</v>
      </c>
    </row>
    <row r="19" spans="1:5" x14ac:dyDescent="0.25">
      <c r="A19" s="2" t="s">
        <v>3</v>
      </c>
      <c r="B19" s="3" t="s">
        <v>18</v>
      </c>
      <c r="C19" s="9">
        <v>0.2</v>
      </c>
      <c r="D19" s="5">
        <f t="shared" ref="D19:D26" si="1">(C19*($D$14+$D$7))</f>
        <v>1062.3700000000001</v>
      </c>
      <c r="E19" t="s">
        <v>19</v>
      </c>
    </row>
    <row r="20" spans="1:5" x14ac:dyDescent="0.25">
      <c r="A20" s="2" t="s">
        <v>5</v>
      </c>
      <c r="B20" s="3" t="s">
        <v>20</v>
      </c>
      <c r="C20" s="9">
        <v>2.5000000000000001E-2</v>
      </c>
      <c r="D20" s="5">
        <f t="shared" si="1"/>
        <v>132.79625000000001</v>
      </c>
      <c r="E20" t="s">
        <v>21</v>
      </c>
    </row>
    <row r="21" spans="1:5" x14ac:dyDescent="0.25">
      <c r="A21" s="2" t="s">
        <v>6</v>
      </c>
      <c r="B21" s="3" t="s">
        <v>22</v>
      </c>
      <c r="C21" s="9">
        <v>0.03</v>
      </c>
      <c r="D21" s="5">
        <f t="shared" si="1"/>
        <v>159.35550000000001</v>
      </c>
      <c r="E21" t="s">
        <v>23</v>
      </c>
    </row>
    <row r="22" spans="1:5" x14ac:dyDescent="0.25">
      <c r="A22" s="2" t="s">
        <v>24</v>
      </c>
      <c r="B22" s="3" t="s">
        <v>25</v>
      </c>
      <c r="C22" s="9">
        <v>1.4999999999999999E-2</v>
      </c>
      <c r="D22" s="5">
        <f t="shared" si="1"/>
        <v>79.677750000000003</v>
      </c>
      <c r="E22" t="s">
        <v>26</v>
      </c>
    </row>
    <row r="23" spans="1:5" x14ac:dyDescent="0.25">
      <c r="A23" s="2" t="s">
        <v>27</v>
      </c>
      <c r="B23" s="3" t="s">
        <v>28</v>
      </c>
      <c r="C23" s="9">
        <v>0.01</v>
      </c>
      <c r="D23" s="5">
        <f t="shared" si="1"/>
        <v>53.118500000000004</v>
      </c>
      <c r="E23" t="s">
        <v>29</v>
      </c>
    </row>
    <row r="24" spans="1:5" x14ac:dyDescent="0.25">
      <c r="A24" s="2" t="s">
        <v>30</v>
      </c>
      <c r="B24" s="3" t="s">
        <v>31</v>
      </c>
      <c r="C24" s="9">
        <v>6.0000000000000001E-3</v>
      </c>
      <c r="D24" s="5">
        <f t="shared" si="1"/>
        <v>31.871100000000002</v>
      </c>
      <c r="E24" t="s">
        <v>32</v>
      </c>
    </row>
    <row r="25" spans="1:5" x14ac:dyDescent="0.25">
      <c r="A25" s="2" t="s">
        <v>33</v>
      </c>
      <c r="B25" s="3" t="s">
        <v>34</v>
      </c>
      <c r="C25" s="9">
        <v>2E-3</v>
      </c>
      <c r="D25" s="5">
        <f t="shared" si="1"/>
        <v>10.623700000000001</v>
      </c>
      <c r="E25" t="s">
        <v>35</v>
      </c>
    </row>
    <row r="26" spans="1:5" x14ac:dyDescent="0.25">
      <c r="A26" s="2" t="s">
        <v>36</v>
      </c>
      <c r="B26" s="3" t="s">
        <v>37</v>
      </c>
      <c r="C26" s="9">
        <v>0.08</v>
      </c>
      <c r="D26" s="5">
        <f t="shared" si="1"/>
        <v>424.94800000000004</v>
      </c>
      <c r="E26" t="s">
        <v>38</v>
      </c>
    </row>
    <row r="27" spans="1:5" x14ac:dyDescent="0.25">
      <c r="A27" s="72" t="s">
        <v>8</v>
      </c>
      <c r="B27" s="72"/>
      <c r="C27" s="9">
        <f>SUM(C19:C26)</f>
        <v>0.36800000000000005</v>
      </c>
      <c r="D27" s="6">
        <f>(ROUND(SUM(D19:D26),2))</f>
        <v>1954.76</v>
      </c>
    </row>
    <row r="30" spans="1:5" ht="39.950000000000003" customHeight="1" x14ac:dyDescent="0.25">
      <c r="A30" s="69" t="s">
        <v>39</v>
      </c>
      <c r="B30" s="69"/>
      <c r="C30" s="69" t="str">
        <f>$C$1</f>
        <v>Brigadista Particular - Diurno</v>
      </c>
      <c r="D30" s="69"/>
    </row>
    <row r="31" spans="1:5" ht="30" x14ac:dyDescent="0.25">
      <c r="A31" s="2" t="s">
        <v>40</v>
      </c>
      <c r="B31" s="2" t="s">
        <v>41</v>
      </c>
      <c r="C31" s="10" t="s">
        <v>42</v>
      </c>
      <c r="D31" s="2" t="s">
        <v>2</v>
      </c>
    </row>
    <row r="32" spans="1:5" x14ac:dyDescent="0.25">
      <c r="A32" s="2" t="s">
        <v>3</v>
      </c>
      <c r="B32" s="3" t="s">
        <v>43</v>
      </c>
      <c r="C32" s="11">
        <v>5.5</v>
      </c>
      <c r="D32" s="5">
        <f>ROUND(IF((C32*2*13)-(D3*6%)&gt;=0,(C32*2*13)-(D3*6%),0),2)</f>
        <v>0</v>
      </c>
      <c r="E32" t="s">
        <v>241</v>
      </c>
    </row>
    <row r="33" spans="1:5" ht="30" x14ac:dyDescent="0.25">
      <c r="A33" s="65" t="s">
        <v>5</v>
      </c>
      <c r="B33" s="70" t="s">
        <v>44</v>
      </c>
      <c r="C33" s="13" t="s">
        <v>45</v>
      </c>
      <c r="D33" s="5"/>
    </row>
    <row r="34" spans="1:5" x14ac:dyDescent="0.25">
      <c r="A34" s="65"/>
      <c r="B34" s="70"/>
      <c r="C34" s="28">
        <v>45.23</v>
      </c>
      <c r="D34" s="5">
        <f>(C34*13)</f>
        <v>587.99</v>
      </c>
      <c r="E34" s="27" t="s">
        <v>240</v>
      </c>
    </row>
    <row r="35" spans="1:5" x14ac:dyDescent="0.25">
      <c r="A35" s="2" t="s">
        <v>6</v>
      </c>
      <c r="B35" s="3" t="s">
        <v>7</v>
      </c>
      <c r="C35" s="9"/>
      <c r="D35" s="2"/>
    </row>
    <row r="36" spans="1:5" x14ac:dyDescent="0.25">
      <c r="A36" s="72" t="s">
        <v>8</v>
      </c>
      <c r="B36" s="72"/>
      <c r="C36" s="3"/>
      <c r="D36" s="6">
        <f>ROUND(SUM(D32:D35),2)</f>
        <v>587.99</v>
      </c>
    </row>
    <row r="39" spans="1:5" ht="39.950000000000003" customHeight="1" x14ac:dyDescent="0.25">
      <c r="A39" s="69" t="s">
        <v>46</v>
      </c>
      <c r="B39" s="69"/>
      <c r="C39" s="69" t="str">
        <f>$C$1</f>
        <v>Brigadista Particular - Diurno</v>
      </c>
      <c r="D39" s="69"/>
    </row>
    <row r="40" spans="1:5" x14ac:dyDescent="0.25">
      <c r="A40" s="2">
        <v>2</v>
      </c>
      <c r="B40" s="2" t="s">
        <v>41</v>
      </c>
      <c r="C40" s="2"/>
      <c r="D40" s="2" t="s">
        <v>2</v>
      </c>
    </row>
    <row r="41" spans="1:5" x14ac:dyDescent="0.25">
      <c r="A41" s="2" t="s">
        <v>10</v>
      </c>
      <c r="B41" s="3" t="s">
        <v>47</v>
      </c>
      <c r="C41" s="9"/>
      <c r="D41" s="5">
        <f>D14</f>
        <v>541.79999999999995</v>
      </c>
    </row>
    <row r="42" spans="1:5" x14ac:dyDescent="0.25">
      <c r="A42" s="2" t="s">
        <v>16</v>
      </c>
      <c r="B42" s="3" t="s">
        <v>17</v>
      </c>
      <c r="C42" s="9"/>
      <c r="D42" s="14">
        <f>D27</f>
        <v>1954.76</v>
      </c>
    </row>
    <row r="43" spans="1:5" x14ac:dyDescent="0.25">
      <c r="A43" s="2" t="s">
        <v>40</v>
      </c>
      <c r="B43" s="3" t="s">
        <v>41</v>
      </c>
      <c r="C43" s="9"/>
      <c r="D43" s="14">
        <f>D36</f>
        <v>587.99</v>
      </c>
    </row>
    <row r="44" spans="1:5" x14ac:dyDescent="0.25">
      <c r="A44" s="72" t="s">
        <v>8</v>
      </c>
      <c r="B44" s="72"/>
      <c r="C44" s="3"/>
      <c r="D44" s="15">
        <f>SUM(D41:D43)</f>
        <v>3084.55</v>
      </c>
    </row>
    <row r="47" spans="1:5" ht="39.950000000000003" customHeight="1" x14ac:dyDescent="0.25">
      <c r="A47" s="69" t="s">
        <v>48</v>
      </c>
      <c r="B47" s="69"/>
      <c r="C47" s="69" t="str">
        <f>$C$1</f>
        <v>Brigadista Particular - Diurno</v>
      </c>
      <c r="D47" s="69"/>
    </row>
    <row r="48" spans="1:5" x14ac:dyDescent="0.25">
      <c r="A48" s="2">
        <v>3</v>
      </c>
      <c r="B48" s="2" t="s">
        <v>49</v>
      </c>
      <c r="C48" s="2" t="s">
        <v>12</v>
      </c>
      <c r="D48" s="2" t="s">
        <v>2</v>
      </c>
    </row>
    <row r="49" spans="1:5" x14ac:dyDescent="0.25">
      <c r="A49" s="2" t="s">
        <v>3</v>
      </c>
      <c r="B49" s="3" t="s">
        <v>50</v>
      </c>
      <c r="C49" s="7">
        <f>(1/12*5.55%)</f>
        <v>4.6249999999999998E-3</v>
      </c>
      <c r="D49" s="5">
        <f>C49*D7</f>
        <v>22.06148125</v>
      </c>
      <c r="E49" t="s">
        <v>51</v>
      </c>
    </row>
    <row r="50" spans="1:5" x14ac:dyDescent="0.25">
      <c r="A50" s="2" t="s">
        <v>5</v>
      </c>
      <c r="B50" s="3" t="s">
        <v>52</v>
      </c>
      <c r="C50" s="7">
        <v>0.08</v>
      </c>
      <c r="D50" s="5">
        <f>C50*D49</f>
        <v>1.7649185000000001</v>
      </c>
    </row>
    <row r="51" spans="1:5" x14ac:dyDescent="0.25">
      <c r="A51" s="2" t="s">
        <v>6</v>
      </c>
      <c r="B51" s="3" t="s">
        <v>53</v>
      </c>
      <c r="C51" s="7">
        <f>(7/30)/12</f>
        <v>1.9444444444444445E-2</v>
      </c>
      <c r="D51" s="5">
        <f>C51*D7</f>
        <v>92.750972222222231</v>
      </c>
      <c r="E51" t="s">
        <v>54</v>
      </c>
    </row>
    <row r="52" spans="1:5" x14ac:dyDescent="0.25">
      <c r="A52" s="12" t="s">
        <v>24</v>
      </c>
      <c r="B52" s="16" t="s">
        <v>55</v>
      </c>
      <c r="C52" s="7">
        <f>C27</f>
        <v>0.36800000000000005</v>
      </c>
      <c r="D52" s="5">
        <f>C52*D51</f>
        <v>34.132357777777784</v>
      </c>
    </row>
    <row r="53" spans="1:5" x14ac:dyDescent="0.25">
      <c r="A53" s="2" t="s">
        <v>27</v>
      </c>
      <c r="B53" s="3" t="s">
        <v>56</v>
      </c>
      <c r="C53" s="7">
        <v>0.04</v>
      </c>
      <c r="D53" s="5">
        <f>C53*D7</f>
        <v>190.80200000000002</v>
      </c>
      <c r="E53" t="s">
        <v>57</v>
      </c>
    </row>
    <row r="54" spans="1:5" x14ac:dyDescent="0.25">
      <c r="A54" s="72" t="s">
        <v>8</v>
      </c>
      <c r="B54" s="72"/>
      <c r="C54" s="3"/>
      <c r="D54" s="6">
        <f>ROUND(SUM(D49:D53),2)</f>
        <v>341.51</v>
      </c>
    </row>
    <row r="57" spans="1:5" ht="39.950000000000003" customHeight="1" x14ac:dyDescent="0.25">
      <c r="A57" s="69" t="s">
        <v>58</v>
      </c>
      <c r="B57" s="69"/>
      <c r="C57" s="69" t="str">
        <f>$C$1</f>
        <v>Brigadista Particular - Diurno</v>
      </c>
      <c r="D57" s="69"/>
    </row>
    <row r="58" spans="1:5" x14ac:dyDescent="0.25">
      <c r="A58" s="2" t="s">
        <v>59</v>
      </c>
      <c r="B58" s="2" t="s">
        <v>60</v>
      </c>
      <c r="C58" s="2" t="s">
        <v>12</v>
      </c>
      <c r="D58" s="2" t="s">
        <v>2</v>
      </c>
    </row>
    <row r="59" spans="1:5" x14ac:dyDescent="0.25">
      <c r="A59" s="2" t="s">
        <v>3</v>
      </c>
      <c r="B59" s="3" t="s">
        <v>61</v>
      </c>
      <c r="C59" s="26">
        <v>9.0749999999999997E-2</v>
      </c>
      <c r="D59" s="5">
        <f t="shared" ref="D59:D64" si="2">C59*($D$7+$D$41+$D$42+$D$54)</f>
        <v>690.43689000000006</v>
      </c>
      <c r="E59" t="s">
        <v>111</v>
      </c>
    </row>
    <row r="60" spans="1:5" x14ac:dyDescent="0.25">
      <c r="A60" s="2" t="s">
        <v>5</v>
      </c>
      <c r="B60" s="3" t="s">
        <v>62</v>
      </c>
      <c r="C60" s="7">
        <f>(5.96/30)/12</f>
        <v>1.6555555555555556E-2</v>
      </c>
      <c r="D60" s="5">
        <f t="shared" si="2"/>
        <v>125.95665333333335</v>
      </c>
      <c r="E60" t="s">
        <v>112</v>
      </c>
    </row>
    <row r="61" spans="1:5" x14ac:dyDescent="0.25">
      <c r="A61" s="2" t="s">
        <v>6</v>
      </c>
      <c r="B61" s="3" t="s">
        <v>63</v>
      </c>
      <c r="C61" s="7">
        <f>((5/30)/12)*0.015</f>
        <v>2.0833333333333332E-4</v>
      </c>
      <c r="D61" s="5">
        <f t="shared" si="2"/>
        <v>1.5850250000000001</v>
      </c>
      <c r="E61" t="s">
        <v>113</v>
      </c>
    </row>
    <row r="62" spans="1:5" ht="15" customHeight="1" x14ac:dyDescent="0.25">
      <c r="A62" s="12" t="s">
        <v>24</v>
      </c>
      <c r="B62" s="16" t="s">
        <v>64</v>
      </c>
      <c r="C62" s="49">
        <f>(15/360)*2.16%</f>
        <v>8.9999999999999998E-4</v>
      </c>
      <c r="D62" s="5">
        <f t="shared" si="2"/>
        <v>6.8473080000000008</v>
      </c>
      <c r="E62" s="27" t="s">
        <v>114</v>
      </c>
    </row>
    <row r="63" spans="1:5" x14ac:dyDescent="0.25">
      <c r="A63" s="12" t="s">
        <v>27</v>
      </c>
      <c r="B63" s="16" t="s">
        <v>65</v>
      </c>
      <c r="C63" s="7">
        <f>50%*(4/12)*1.5%*(8.33%+11.11%)</f>
        <v>4.8599999999999989E-4</v>
      </c>
      <c r="D63" s="5">
        <f t="shared" si="2"/>
        <v>3.6975463199999994</v>
      </c>
      <c r="E63" t="s">
        <v>66</v>
      </c>
    </row>
    <row r="64" spans="1:5" x14ac:dyDescent="0.25">
      <c r="A64" s="2" t="s">
        <v>30</v>
      </c>
      <c r="B64" s="3" t="s">
        <v>67</v>
      </c>
      <c r="C64" s="9"/>
      <c r="D64" s="5">
        <f t="shared" si="2"/>
        <v>0</v>
      </c>
    </row>
    <row r="65" spans="1:4" x14ac:dyDescent="0.25">
      <c r="A65" s="72" t="s">
        <v>8</v>
      </c>
      <c r="B65" s="72"/>
      <c r="C65" s="3"/>
      <c r="D65" s="6">
        <f>ROUND(SUM(D59:D64),2)</f>
        <v>828.52</v>
      </c>
    </row>
    <row r="68" spans="1:4" ht="39.950000000000003" customHeight="1" x14ac:dyDescent="0.25">
      <c r="A68" s="69" t="s">
        <v>68</v>
      </c>
      <c r="B68" s="69"/>
      <c r="C68" s="69" t="str">
        <f>$C$1</f>
        <v>Brigadista Particular - Diurno</v>
      </c>
      <c r="D68" s="69"/>
    </row>
    <row r="69" spans="1:4" x14ac:dyDescent="0.25">
      <c r="A69" s="2" t="s">
        <v>69</v>
      </c>
      <c r="B69" s="2" t="s">
        <v>70</v>
      </c>
      <c r="C69" s="2"/>
      <c r="D69" s="2" t="s">
        <v>2</v>
      </c>
    </row>
    <row r="70" spans="1:4" ht="30" x14ac:dyDescent="0.25">
      <c r="A70" s="2" t="s">
        <v>3</v>
      </c>
      <c r="B70" s="16" t="s">
        <v>71</v>
      </c>
      <c r="C70" s="13"/>
      <c r="D70" s="5">
        <v>0</v>
      </c>
    </row>
    <row r="71" spans="1:4" x14ac:dyDescent="0.25">
      <c r="A71" s="72" t="s">
        <v>8</v>
      </c>
      <c r="B71" s="72"/>
      <c r="C71" s="3"/>
      <c r="D71" s="6">
        <f>SUM(D70:D70)</f>
        <v>0</v>
      </c>
    </row>
    <row r="74" spans="1:4" ht="39.950000000000003" customHeight="1" x14ac:dyDescent="0.25">
      <c r="A74" s="69" t="s">
        <v>72</v>
      </c>
      <c r="B74" s="69"/>
      <c r="C74" s="69" t="str">
        <f>$C$1</f>
        <v>Brigadista Particular - Diurno</v>
      </c>
      <c r="D74" s="69"/>
    </row>
    <row r="75" spans="1:4" x14ac:dyDescent="0.25">
      <c r="A75" s="2">
        <v>4</v>
      </c>
      <c r="B75" s="2" t="s">
        <v>73</v>
      </c>
      <c r="C75" s="2"/>
      <c r="D75" s="2" t="s">
        <v>2</v>
      </c>
    </row>
    <row r="76" spans="1:4" x14ac:dyDescent="0.25">
      <c r="A76" s="2" t="s">
        <v>59</v>
      </c>
      <c r="B76" s="3" t="s">
        <v>74</v>
      </c>
      <c r="C76" s="9"/>
      <c r="D76" s="14">
        <f>D65</f>
        <v>828.52</v>
      </c>
    </row>
    <row r="77" spans="1:4" x14ac:dyDescent="0.25">
      <c r="A77" s="2" t="s">
        <v>69</v>
      </c>
      <c r="B77" s="3" t="s">
        <v>70</v>
      </c>
      <c r="C77" s="9"/>
      <c r="D77" s="14">
        <f>D71</f>
        <v>0</v>
      </c>
    </row>
    <row r="78" spans="1:4" x14ac:dyDescent="0.25">
      <c r="A78" s="72" t="s">
        <v>8</v>
      </c>
      <c r="B78" s="72"/>
      <c r="C78" s="3"/>
      <c r="D78" s="6">
        <f>ROUND(SUM(D76:D77),2)</f>
        <v>828.52</v>
      </c>
    </row>
    <row r="81" spans="1:5" ht="39.950000000000003" customHeight="1" x14ac:dyDescent="0.25">
      <c r="A81" s="69" t="s">
        <v>75</v>
      </c>
      <c r="B81" s="69"/>
      <c r="C81" s="69" t="str">
        <f>$C$1</f>
        <v>Brigadista Particular - Diurno</v>
      </c>
      <c r="D81" s="69"/>
    </row>
    <row r="82" spans="1:5" x14ac:dyDescent="0.25">
      <c r="A82" s="2">
        <v>5</v>
      </c>
      <c r="B82" s="2" t="s">
        <v>76</v>
      </c>
      <c r="C82" s="2"/>
      <c r="D82" s="2" t="s">
        <v>2</v>
      </c>
    </row>
    <row r="83" spans="1:5" x14ac:dyDescent="0.25">
      <c r="A83" s="2" t="s">
        <v>3</v>
      </c>
      <c r="B83" s="3" t="s">
        <v>77</v>
      </c>
      <c r="C83" s="9"/>
      <c r="D83" s="14">
        <f>Uniformes!C14</f>
        <v>109.47769841269842</v>
      </c>
    </row>
    <row r="84" spans="1:5" x14ac:dyDescent="0.25">
      <c r="A84" s="2" t="s">
        <v>5</v>
      </c>
      <c r="B84" s="3" t="s">
        <v>78</v>
      </c>
      <c r="C84" s="9"/>
      <c r="D84" s="14">
        <f>'Materiais de consumo'!C26</f>
        <v>4.5195684523809536</v>
      </c>
    </row>
    <row r="85" spans="1:5" x14ac:dyDescent="0.25">
      <c r="A85" s="2" t="s">
        <v>6</v>
      </c>
      <c r="B85" s="3" t="s">
        <v>79</v>
      </c>
      <c r="C85" s="9"/>
      <c r="D85" s="14">
        <f>'Materiais permanentes'!C51</f>
        <v>7.6020584375000029</v>
      </c>
    </row>
    <row r="86" spans="1:5" x14ac:dyDescent="0.25">
      <c r="A86" s="12" t="s">
        <v>24</v>
      </c>
      <c r="B86" s="16" t="s">
        <v>7</v>
      </c>
      <c r="C86" s="9"/>
      <c r="D86" s="14"/>
    </row>
    <row r="87" spans="1:5" x14ac:dyDescent="0.25">
      <c r="A87" s="72" t="s">
        <v>8</v>
      </c>
      <c r="B87" s="72"/>
      <c r="C87" s="3"/>
      <c r="D87" s="6">
        <f>ROUND(SUM(D83:D86),2)</f>
        <v>121.6</v>
      </c>
    </row>
    <row r="90" spans="1:5" ht="39.950000000000003" customHeight="1" x14ac:dyDescent="0.25">
      <c r="A90" s="69" t="s">
        <v>80</v>
      </c>
      <c r="B90" s="69"/>
      <c r="C90" s="69" t="str">
        <f>$C$1</f>
        <v>Brigadista Particular - Diurno</v>
      </c>
      <c r="D90" s="69"/>
    </row>
    <row r="91" spans="1:5" x14ac:dyDescent="0.25">
      <c r="A91" s="2">
        <v>6</v>
      </c>
      <c r="B91" s="2" t="s">
        <v>81</v>
      </c>
      <c r="C91" s="2" t="s">
        <v>12</v>
      </c>
      <c r="D91" s="2" t="s">
        <v>2</v>
      </c>
    </row>
    <row r="92" spans="1:5" x14ac:dyDescent="0.25">
      <c r="A92" s="2" t="s">
        <v>3</v>
      </c>
      <c r="B92" s="3" t="s">
        <v>82</v>
      </c>
      <c r="C92" s="7">
        <v>0.05</v>
      </c>
      <c r="D92" s="14">
        <f>ROUND(D107*C92,2)</f>
        <v>457.31</v>
      </c>
      <c r="E92" t="s">
        <v>115</v>
      </c>
    </row>
    <row r="93" spans="1:5" x14ac:dyDescent="0.25">
      <c r="A93" s="2" t="s">
        <v>5</v>
      </c>
      <c r="B93" s="3" t="s">
        <v>83</v>
      </c>
      <c r="C93" s="7">
        <v>0.1</v>
      </c>
      <c r="D93" s="14">
        <f>ROUND((D107+D92)*C93,2)</f>
        <v>960.35</v>
      </c>
      <c r="E93" t="s">
        <v>115</v>
      </c>
    </row>
    <row r="94" spans="1:5" x14ac:dyDescent="0.25">
      <c r="A94" s="2" t="s">
        <v>6</v>
      </c>
      <c r="B94" s="3" t="s">
        <v>84</v>
      </c>
      <c r="C94" s="7">
        <f t="shared" ref="C94:D94" si="3">SUM(C95:C97)</f>
        <v>0.14250000000000002</v>
      </c>
      <c r="D94" s="14">
        <f t="shared" si="3"/>
        <v>1755.52</v>
      </c>
    </row>
    <row r="95" spans="1:5" x14ac:dyDescent="0.25">
      <c r="A95" s="12" t="s">
        <v>85</v>
      </c>
      <c r="B95" s="16" t="s">
        <v>86</v>
      </c>
      <c r="C95" s="7">
        <v>1.6500000000000001E-2</v>
      </c>
      <c r="D95" s="14">
        <f>ROUND(C95*D109,2)</f>
        <v>203.27</v>
      </c>
      <c r="E95" t="s">
        <v>120</v>
      </c>
    </row>
    <row r="96" spans="1:5" x14ac:dyDescent="0.25">
      <c r="A96" s="12" t="s">
        <v>87</v>
      </c>
      <c r="B96" s="16" t="s">
        <v>88</v>
      </c>
      <c r="C96" s="7">
        <v>7.5999999999999998E-2</v>
      </c>
      <c r="D96" s="14">
        <f>ROUND(C96*D109,2)</f>
        <v>936.28</v>
      </c>
      <c r="E96" t="s">
        <v>121</v>
      </c>
    </row>
    <row r="97" spans="1:5" x14ac:dyDescent="0.25">
      <c r="A97" s="2" t="s">
        <v>89</v>
      </c>
      <c r="B97" s="3" t="s">
        <v>90</v>
      </c>
      <c r="C97" s="7">
        <v>0.05</v>
      </c>
      <c r="D97" s="14">
        <f>ROUND(C97*D109,2)</f>
        <v>615.97</v>
      </c>
      <c r="E97" t="s">
        <v>91</v>
      </c>
    </row>
    <row r="98" spans="1:5" x14ac:dyDescent="0.25">
      <c r="A98" s="72" t="s">
        <v>8</v>
      </c>
      <c r="B98" s="72"/>
      <c r="C98" s="3"/>
      <c r="D98" s="6">
        <f>ROUND(SUM(D92+D93+D94),2)</f>
        <v>3173.18</v>
      </c>
    </row>
    <row r="99" spans="1:5" x14ac:dyDescent="0.25">
      <c r="A99" s="17"/>
      <c r="B99" s="17"/>
      <c r="D99" s="18"/>
    </row>
    <row r="100" spans="1:5" ht="39.950000000000003" customHeight="1" x14ac:dyDescent="0.25">
      <c r="A100" s="69" t="s">
        <v>92</v>
      </c>
      <c r="B100" s="69"/>
      <c r="C100" s="69" t="str">
        <f>$C$1</f>
        <v>Brigadista Particular - Diurno</v>
      </c>
      <c r="D100" s="69"/>
    </row>
    <row r="101" spans="1:5" x14ac:dyDescent="0.25">
      <c r="A101" s="65" t="s">
        <v>93</v>
      </c>
      <c r="B101" s="65"/>
      <c r="C101" s="2"/>
      <c r="D101" s="2" t="s">
        <v>2</v>
      </c>
    </row>
    <row r="102" spans="1:5" x14ac:dyDescent="0.25">
      <c r="A102" s="2" t="s">
        <v>3</v>
      </c>
      <c r="B102" s="3" t="s">
        <v>94</v>
      </c>
      <c r="C102" s="19">
        <f>(D102/$D$109)</f>
        <v>0.38719792587469692</v>
      </c>
      <c r="D102" s="14">
        <f>D7</f>
        <v>4770.05</v>
      </c>
    </row>
    <row r="103" spans="1:5" x14ac:dyDescent="0.25">
      <c r="A103" s="2" t="s">
        <v>5</v>
      </c>
      <c r="B103" s="3" t="s">
        <v>95</v>
      </c>
      <c r="C103" s="19">
        <f t="shared" ref="C103:C108" si="4">(D103/$D$109)</f>
        <v>0.25038130884514764</v>
      </c>
      <c r="D103" s="14">
        <f>D44</f>
        <v>3084.55</v>
      </c>
    </row>
    <row r="104" spans="1:5" x14ac:dyDescent="0.25">
      <c r="A104" s="2" t="s">
        <v>6</v>
      </c>
      <c r="B104" s="3" t="s">
        <v>96</v>
      </c>
      <c r="C104" s="19">
        <f t="shared" si="4"/>
        <v>2.7721295094489104E-2</v>
      </c>
      <c r="D104" s="14">
        <f>D54</f>
        <v>341.51</v>
      </c>
    </row>
    <row r="105" spans="1:5" x14ac:dyDescent="0.25">
      <c r="A105" s="12" t="s">
        <v>24</v>
      </c>
      <c r="B105" s="16" t="s">
        <v>97</v>
      </c>
      <c r="C105" s="19">
        <f t="shared" si="4"/>
        <v>6.725322073053823E-2</v>
      </c>
      <c r="D105" s="14">
        <f>D78</f>
        <v>828.52</v>
      </c>
    </row>
    <row r="106" spans="1:5" x14ac:dyDescent="0.25">
      <c r="A106" s="12" t="s">
        <v>27</v>
      </c>
      <c r="B106" s="16" t="s">
        <v>98</v>
      </c>
      <c r="C106" s="19">
        <f t="shared" si="4"/>
        <v>9.8706025694412312E-3</v>
      </c>
      <c r="D106" s="14">
        <f>D87</f>
        <v>121.6</v>
      </c>
    </row>
    <row r="107" spans="1:5" x14ac:dyDescent="0.25">
      <c r="A107" s="73" t="s">
        <v>99</v>
      </c>
      <c r="B107" s="73"/>
      <c r="C107" s="19"/>
      <c r="D107" s="20">
        <f>ROUND(SUM(D102:D106),2)</f>
        <v>9146.23</v>
      </c>
    </row>
    <row r="108" spans="1:5" x14ac:dyDescent="0.25">
      <c r="A108" s="12" t="s">
        <v>30</v>
      </c>
      <c r="B108" s="21" t="s">
        <v>80</v>
      </c>
      <c r="C108" s="19">
        <f t="shared" si="4"/>
        <v>0.2575756468856869</v>
      </c>
      <c r="D108" s="14">
        <f>D98</f>
        <v>3173.18</v>
      </c>
    </row>
    <row r="109" spans="1:5" x14ac:dyDescent="0.25">
      <c r="A109" s="73" t="s">
        <v>100</v>
      </c>
      <c r="B109" s="73"/>
      <c r="C109" s="22">
        <f>SUM(C102:C108)</f>
        <v>1</v>
      </c>
      <c r="D109" s="20">
        <f>ROUND((D107+D92+D93)/(1-C94),2)</f>
        <v>12319.41</v>
      </c>
    </row>
    <row r="110" spans="1:5" x14ac:dyDescent="0.25">
      <c r="D110" s="23"/>
    </row>
    <row r="111" spans="1:5" x14ac:dyDescent="0.25">
      <c r="D111" s="23"/>
    </row>
    <row r="113" spans="6:6" x14ac:dyDescent="0.25">
      <c r="F113" s="25"/>
    </row>
  </sheetData>
  <mergeCells count="40">
    <mergeCell ref="A33:A34"/>
    <mergeCell ref="B33:B34"/>
    <mergeCell ref="A1:B1"/>
    <mergeCell ref="C1:D1"/>
    <mergeCell ref="A7:B7"/>
    <mergeCell ref="A10:B10"/>
    <mergeCell ref="C10:D10"/>
    <mergeCell ref="A14:B14"/>
    <mergeCell ref="A17:B17"/>
    <mergeCell ref="C17:D17"/>
    <mergeCell ref="A27:B27"/>
    <mergeCell ref="A30:B30"/>
    <mergeCell ref="C30:D30"/>
    <mergeCell ref="A36:B36"/>
    <mergeCell ref="A39:B39"/>
    <mergeCell ref="C39:D39"/>
    <mergeCell ref="A44:B44"/>
    <mergeCell ref="A47:B47"/>
    <mergeCell ref="C47:D47"/>
    <mergeCell ref="A54:B54"/>
    <mergeCell ref="A57:B57"/>
    <mergeCell ref="C57:D57"/>
    <mergeCell ref="A65:B65"/>
    <mergeCell ref="A68:B68"/>
    <mergeCell ref="C68:D68"/>
    <mergeCell ref="C90:D90"/>
    <mergeCell ref="A98:B98"/>
    <mergeCell ref="A100:B100"/>
    <mergeCell ref="C100:D100"/>
    <mergeCell ref="A71:B71"/>
    <mergeCell ref="A74:B74"/>
    <mergeCell ref="C74:D74"/>
    <mergeCell ref="A78:B78"/>
    <mergeCell ref="A81:B81"/>
    <mergeCell ref="C81:D81"/>
    <mergeCell ref="A101:B101"/>
    <mergeCell ref="A107:B107"/>
    <mergeCell ref="A109:B109"/>
    <mergeCell ref="A87:B87"/>
    <mergeCell ref="A90:B90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58BD-1136-42E6-8CC4-2AACB9DD3FFA}">
  <dimension ref="A1:F113"/>
  <sheetViews>
    <sheetView showGridLines="0" zoomScaleNormal="100" workbookViewId="0">
      <selection activeCell="D5" sqref="D5"/>
    </sheetView>
  </sheetViews>
  <sheetFormatPr defaultRowHeight="15" x14ac:dyDescent="0.25"/>
  <cols>
    <col min="1" max="1" width="12.28515625" customWidth="1"/>
    <col min="2" max="2" width="54.85546875" customWidth="1"/>
    <col min="3" max="3" width="13.7109375" customWidth="1"/>
    <col min="4" max="4" width="17.7109375" customWidth="1"/>
    <col min="5" max="5" width="13.7109375" customWidth="1"/>
    <col min="6" max="6" width="17.7109375" customWidth="1"/>
    <col min="7" max="7" width="13.7109375" customWidth="1"/>
    <col min="8" max="8" width="17.7109375" customWidth="1"/>
    <col min="9" max="9" width="13.7109375" customWidth="1"/>
    <col min="10" max="10" width="17.7109375" customWidth="1"/>
    <col min="11" max="11" width="13.7109375" customWidth="1"/>
    <col min="12" max="12" width="17.7109375" customWidth="1"/>
    <col min="13" max="13" width="13.7109375" customWidth="1"/>
    <col min="14" max="14" width="17.7109375" customWidth="1"/>
    <col min="15" max="15" width="13.7109375" customWidth="1"/>
    <col min="16" max="16" width="17.7109375" customWidth="1"/>
    <col min="17" max="17" width="13.7109375" customWidth="1"/>
    <col min="18" max="18" width="17.7109375" customWidth="1"/>
    <col min="19" max="19" width="13.7109375" customWidth="1"/>
    <col min="20" max="20" width="17.7109375" customWidth="1"/>
    <col min="21" max="27" width="8.7109375" customWidth="1"/>
    <col min="29" max="1023" width="8.7109375" customWidth="1"/>
  </cols>
  <sheetData>
    <row r="1" spans="1:5" ht="39.950000000000003" customHeight="1" x14ac:dyDescent="0.25">
      <c r="A1" s="71" t="s">
        <v>0</v>
      </c>
      <c r="B1" s="71"/>
      <c r="C1" s="69" t="s">
        <v>167</v>
      </c>
      <c r="D1" s="69"/>
    </row>
    <row r="2" spans="1:5" x14ac:dyDescent="0.25">
      <c r="A2" s="2">
        <v>1</v>
      </c>
      <c r="B2" s="2" t="s">
        <v>1</v>
      </c>
      <c r="C2" s="2"/>
      <c r="D2" s="2" t="s">
        <v>2</v>
      </c>
    </row>
    <row r="3" spans="1:5" x14ac:dyDescent="0.25">
      <c r="A3" s="2" t="s">
        <v>3</v>
      </c>
      <c r="B3" s="3" t="s">
        <v>4</v>
      </c>
      <c r="C3" s="4"/>
      <c r="D3" s="5">
        <v>3669.27</v>
      </c>
      <c r="E3" s="27" t="s">
        <v>235</v>
      </c>
    </row>
    <row r="4" spans="1:5" x14ac:dyDescent="0.25">
      <c r="A4" s="45" t="s">
        <v>5</v>
      </c>
      <c r="B4" s="46" t="s">
        <v>236</v>
      </c>
      <c r="C4" s="47"/>
      <c r="D4" s="48">
        <f>D3*30%</f>
        <v>1100.7809999999999</v>
      </c>
      <c r="E4" s="27" t="s">
        <v>238</v>
      </c>
    </row>
    <row r="5" spans="1:5" x14ac:dyDescent="0.25">
      <c r="A5" s="2" t="s">
        <v>6</v>
      </c>
      <c r="B5" s="3" t="s">
        <v>237</v>
      </c>
      <c r="C5" s="4"/>
      <c r="D5" s="5">
        <f>((D3+D4)/180)*22.5%*13*7</f>
        <v>542.59330124999997</v>
      </c>
      <c r="E5" t="s">
        <v>239</v>
      </c>
    </row>
    <row r="6" spans="1:5" x14ac:dyDescent="0.25">
      <c r="A6" s="2" t="s">
        <v>24</v>
      </c>
      <c r="B6" s="3" t="s">
        <v>7</v>
      </c>
      <c r="C6" s="4"/>
      <c r="D6" s="5"/>
    </row>
    <row r="7" spans="1:5" x14ac:dyDescent="0.25">
      <c r="A7" s="72" t="s">
        <v>8</v>
      </c>
      <c r="B7" s="72"/>
      <c r="C7" s="3"/>
      <c r="D7" s="6">
        <f>ROUND(SUM(D3:D6),2)</f>
        <v>5312.64</v>
      </c>
    </row>
    <row r="10" spans="1:5" ht="39.950000000000003" customHeight="1" x14ac:dyDescent="0.25">
      <c r="A10" s="71" t="s">
        <v>9</v>
      </c>
      <c r="B10" s="71"/>
      <c r="C10" s="69" t="str">
        <f>$C$1</f>
        <v>Brigadista Particular - Noturno</v>
      </c>
      <c r="D10" s="69"/>
    </row>
    <row r="11" spans="1:5" x14ac:dyDescent="0.25">
      <c r="A11" s="2" t="s">
        <v>10</v>
      </c>
      <c r="B11" s="2" t="s">
        <v>11</v>
      </c>
      <c r="C11" s="2" t="s">
        <v>12</v>
      </c>
      <c r="D11" s="2" t="s">
        <v>2</v>
      </c>
    </row>
    <row r="12" spans="1:5" x14ac:dyDescent="0.25">
      <c r="A12" s="2" t="s">
        <v>3</v>
      </c>
      <c r="B12" s="3" t="s">
        <v>13</v>
      </c>
      <c r="C12" s="7">
        <f>1/12</f>
        <v>8.3333333333333329E-2</v>
      </c>
      <c r="D12" s="5">
        <f>C12*D7</f>
        <v>442.72</v>
      </c>
      <c r="E12" t="s">
        <v>14</v>
      </c>
    </row>
    <row r="13" spans="1:5" x14ac:dyDescent="0.25">
      <c r="A13" s="2" t="s">
        <v>5</v>
      </c>
      <c r="B13" s="3" t="s">
        <v>242</v>
      </c>
      <c r="C13" s="26">
        <v>3.0249999999999999E-2</v>
      </c>
      <c r="D13" s="5">
        <f>C13*D7</f>
        <v>160.70735999999999</v>
      </c>
      <c r="E13" t="s">
        <v>116</v>
      </c>
    </row>
    <row r="14" spans="1:5" x14ac:dyDescent="0.25">
      <c r="A14" s="72" t="s">
        <v>8</v>
      </c>
      <c r="B14" s="72"/>
      <c r="C14" s="8">
        <f t="shared" ref="C14" si="0">SUM(C12:C13)</f>
        <v>0.11358333333333333</v>
      </c>
      <c r="D14" s="6">
        <f>ROUND(SUM(D12:D13),2)</f>
        <v>603.42999999999995</v>
      </c>
    </row>
    <row r="17" spans="1:5" ht="39.950000000000003" customHeight="1" x14ac:dyDescent="0.25">
      <c r="A17" s="69" t="s">
        <v>15</v>
      </c>
      <c r="B17" s="69"/>
      <c r="C17" s="69" t="str">
        <f>$C$1</f>
        <v>Brigadista Particular - Noturno</v>
      </c>
      <c r="D17" s="69"/>
    </row>
    <row r="18" spans="1:5" x14ac:dyDescent="0.25">
      <c r="A18" s="2" t="s">
        <v>16</v>
      </c>
      <c r="B18" s="2" t="s">
        <v>17</v>
      </c>
      <c r="C18" s="2" t="s">
        <v>12</v>
      </c>
      <c r="D18" s="2" t="s">
        <v>2</v>
      </c>
    </row>
    <row r="19" spans="1:5" x14ac:dyDescent="0.25">
      <c r="A19" s="2" t="s">
        <v>3</v>
      </c>
      <c r="B19" s="3" t="s">
        <v>18</v>
      </c>
      <c r="C19" s="9">
        <v>0.2</v>
      </c>
      <c r="D19" s="5">
        <f t="shared" ref="D19:D26" si="1">(C19*($D$14+$D$7))</f>
        <v>1183.2140000000002</v>
      </c>
      <c r="E19" t="s">
        <v>19</v>
      </c>
    </row>
    <row r="20" spans="1:5" x14ac:dyDescent="0.25">
      <c r="A20" s="2" t="s">
        <v>5</v>
      </c>
      <c r="B20" s="3" t="s">
        <v>20</v>
      </c>
      <c r="C20" s="9">
        <v>2.5000000000000001E-2</v>
      </c>
      <c r="D20" s="5">
        <f t="shared" si="1"/>
        <v>147.90175000000002</v>
      </c>
      <c r="E20" t="s">
        <v>21</v>
      </c>
    </row>
    <row r="21" spans="1:5" x14ac:dyDescent="0.25">
      <c r="A21" s="2" t="s">
        <v>6</v>
      </c>
      <c r="B21" s="3" t="s">
        <v>22</v>
      </c>
      <c r="C21" s="9">
        <v>0.03</v>
      </c>
      <c r="D21" s="5">
        <f t="shared" si="1"/>
        <v>177.4821</v>
      </c>
      <c r="E21" t="s">
        <v>23</v>
      </c>
    </row>
    <row r="22" spans="1:5" x14ac:dyDescent="0.25">
      <c r="A22" s="2" t="s">
        <v>24</v>
      </c>
      <c r="B22" s="3" t="s">
        <v>25</v>
      </c>
      <c r="C22" s="9">
        <v>1.4999999999999999E-2</v>
      </c>
      <c r="D22" s="5">
        <f t="shared" si="1"/>
        <v>88.741050000000001</v>
      </c>
      <c r="E22" t="s">
        <v>26</v>
      </c>
    </row>
    <row r="23" spans="1:5" x14ac:dyDescent="0.25">
      <c r="A23" s="2" t="s">
        <v>27</v>
      </c>
      <c r="B23" s="3" t="s">
        <v>28</v>
      </c>
      <c r="C23" s="9">
        <v>0.01</v>
      </c>
      <c r="D23" s="5">
        <f t="shared" si="1"/>
        <v>59.160700000000006</v>
      </c>
      <c r="E23" t="s">
        <v>29</v>
      </c>
    </row>
    <row r="24" spans="1:5" x14ac:dyDescent="0.25">
      <c r="A24" s="2" t="s">
        <v>30</v>
      </c>
      <c r="B24" s="3" t="s">
        <v>31</v>
      </c>
      <c r="C24" s="9">
        <v>6.0000000000000001E-3</v>
      </c>
      <c r="D24" s="5">
        <f t="shared" si="1"/>
        <v>35.496420000000008</v>
      </c>
      <c r="E24" t="s">
        <v>32</v>
      </c>
    </row>
    <row r="25" spans="1:5" x14ac:dyDescent="0.25">
      <c r="A25" s="2" t="s">
        <v>33</v>
      </c>
      <c r="B25" s="3" t="s">
        <v>34</v>
      </c>
      <c r="C25" s="9">
        <v>2E-3</v>
      </c>
      <c r="D25" s="5">
        <f t="shared" si="1"/>
        <v>11.832140000000001</v>
      </c>
      <c r="E25" t="s">
        <v>35</v>
      </c>
    </row>
    <row r="26" spans="1:5" x14ac:dyDescent="0.25">
      <c r="A26" s="2" t="s">
        <v>36</v>
      </c>
      <c r="B26" s="3" t="s">
        <v>37</v>
      </c>
      <c r="C26" s="9">
        <v>0.08</v>
      </c>
      <c r="D26" s="5">
        <f t="shared" si="1"/>
        <v>473.28560000000004</v>
      </c>
      <c r="E26" t="s">
        <v>38</v>
      </c>
    </row>
    <row r="27" spans="1:5" x14ac:dyDescent="0.25">
      <c r="A27" s="72" t="s">
        <v>8</v>
      </c>
      <c r="B27" s="72"/>
      <c r="C27" s="9">
        <f>SUM(C19:C26)</f>
        <v>0.36800000000000005</v>
      </c>
      <c r="D27" s="6">
        <f>(ROUND(SUM(D19:D26),2))</f>
        <v>2177.11</v>
      </c>
    </row>
    <row r="30" spans="1:5" ht="39.950000000000003" customHeight="1" x14ac:dyDescent="0.25">
      <c r="A30" s="69" t="s">
        <v>39</v>
      </c>
      <c r="B30" s="69"/>
      <c r="C30" s="69" t="str">
        <f>$C$1</f>
        <v>Brigadista Particular - Noturno</v>
      </c>
      <c r="D30" s="69"/>
    </row>
    <row r="31" spans="1:5" ht="30" x14ac:dyDescent="0.25">
      <c r="A31" s="2" t="s">
        <v>40</v>
      </c>
      <c r="B31" s="2" t="s">
        <v>41</v>
      </c>
      <c r="C31" s="10" t="s">
        <v>42</v>
      </c>
      <c r="D31" s="2" t="s">
        <v>2</v>
      </c>
    </row>
    <row r="32" spans="1:5" x14ac:dyDescent="0.25">
      <c r="A32" s="2" t="s">
        <v>3</v>
      </c>
      <c r="B32" s="3" t="s">
        <v>43</v>
      </c>
      <c r="C32" s="11">
        <v>5.5</v>
      </c>
      <c r="D32" s="5">
        <f>ROUND(IF((C32*2*13)-(D3*6%)&gt;=0,(C32*2*13)-(D3*6%),0),2)</f>
        <v>0</v>
      </c>
      <c r="E32" t="s">
        <v>241</v>
      </c>
    </row>
    <row r="33" spans="1:5" ht="30" x14ac:dyDescent="0.25">
      <c r="A33" s="65" t="s">
        <v>5</v>
      </c>
      <c r="B33" s="70" t="s">
        <v>44</v>
      </c>
      <c r="C33" s="13" t="s">
        <v>45</v>
      </c>
      <c r="D33" s="5"/>
    </row>
    <row r="34" spans="1:5" x14ac:dyDescent="0.25">
      <c r="A34" s="65"/>
      <c r="B34" s="70"/>
      <c r="C34" s="28">
        <v>45.23</v>
      </c>
      <c r="D34" s="5">
        <f>(C34*13)</f>
        <v>587.99</v>
      </c>
      <c r="E34" s="27" t="s">
        <v>240</v>
      </c>
    </row>
    <row r="35" spans="1:5" x14ac:dyDescent="0.25">
      <c r="A35" s="2" t="s">
        <v>6</v>
      </c>
      <c r="B35" s="3" t="s">
        <v>7</v>
      </c>
      <c r="C35" s="9"/>
      <c r="D35" s="2"/>
    </row>
    <row r="36" spans="1:5" x14ac:dyDescent="0.25">
      <c r="A36" s="72" t="s">
        <v>8</v>
      </c>
      <c r="B36" s="72"/>
      <c r="C36" s="3"/>
      <c r="D36" s="6">
        <f>ROUND(SUM(D32:D35),2)</f>
        <v>587.99</v>
      </c>
    </row>
    <row r="39" spans="1:5" ht="39.950000000000003" customHeight="1" x14ac:dyDescent="0.25">
      <c r="A39" s="69" t="s">
        <v>46</v>
      </c>
      <c r="B39" s="69"/>
      <c r="C39" s="69" t="str">
        <f>$C$1</f>
        <v>Brigadista Particular - Noturno</v>
      </c>
      <c r="D39" s="69"/>
    </row>
    <row r="40" spans="1:5" x14ac:dyDescent="0.25">
      <c r="A40" s="2">
        <v>2</v>
      </c>
      <c r="B40" s="2" t="s">
        <v>41</v>
      </c>
      <c r="C40" s="2"/>
      <c r="D40" s="2" t="s">
        <v>2</v>
      </c>
    </row>
    <row r="41" spans="1:5" x14ac:dyDescent="0.25">
      <c r="A41" s="2" t="s">
        <v>10</v>
      </c>
      <c r="B41" s="3" t="s">
        <v>47</v>
      </c>
      <c r="C41" s="9"/>
      <c r="D41" s="5">
        <f>D14</f>
        <v>603.42999999999995</v>
      </c>
    </row>
    <row r="42" spans="1:5" x14ac:dyDescent="0.25">
      <c r="A42" s="2" t="s">
        <v>16</v>
      </c>
      <c r="B42" s="3" t="s">
        <v>17</v>
      </c>
      <c r="C42" s="9"/>
      <c r="D42" s="14">
        <f>D27</f>
        <v>2177.11</v>
      </c>
    </row>
    <row r="43" spans="1:5" x14ac:dyDescent="0.25">
      <c r="A43" s="2" t="s">
        <v>40</v>
      </c>
      <c r="B43" s="3" t="s">
        <v>41</v>
      </c>
      <c r="C43" s="9"/>
      <c r="D43" s="14">
        <f>D36</f>
        <v>587.99</v>
      </c>
    </row>
    <row r="44" spans="1:5" x14ac:dyDescent="0.25">
      <c r="A44" s="72" t="s">
        <v>8</v>
      </c>
      <c r="B44" s="72"/>
      <c r="C44" s="3"/>
      <c r="D44" s="15">
        <f>SUM(D41:D43)</f>
        <v>3368.5299999999997</v>
      </c>
    </row>
    <row r="47" spans="1:5" ht="39.950000000000003" customHeight="1" x14ac:dyDescent="0.25">
      <c r="A47" s="69" t="s">
        <v>48</v>
      </c>
      <c r="B47" s="69"/>
      <c r="C47" s="69" t="str">
        <f>$C$1</f>
        <v>Brigadista Particular - Noturno</v>
      </c>
      <c r="D47" s="69"/>
    </row>
    <row r="48" spans="1:5" x14ac:dyDescent="0.25">
      <c r="A48" s="2">
        <v>3</v>
      </c>
      <c r="B48" s="2" t="s">
        <v>49</v>
      </c>
      <c r="C48" s="2" t="s">
        <v>12</v>
      </c>
      <c r="D48" s="2" t="s">
        <v>2</v>
      </c>
    </row>
    <row r="49" spans="1:5" x14ac:dyDescent="0.25">
      <c r="A49" s="2" t="s">
        <v>3</v>
      </c>
      <c r="B49" s="3" t="s">
        <v>50</v>
      </c>
      <c r="C49" s="7">
        <f>(1/12*5.55%)</f>
        <v>4.6249999999999998E-3</v>
      </c>
      <c r="D49" s="5">
        <f>C49*D7</f>
        <v>24.570959999999999</v>
      </c>
      <c r="E49" t="s">
        <v>51</v>
      </c>
    </row>
    <row r="50" spans="1:5" x14ac:dyDescent="0.25">
      <c r="A50" s="2" t="s">
        <v>5</v>
      </c>
      <c r="B50" s="3" t="s">
        <v>52</v>
      </c>
      <c r="C50" s="7">
        <v>0.08</v>
      </c>
      <c r="D50" s="5">
        <f>C50*D49</f>
        <v>1.9656768</v>
      </c>
    </row>
    <row r="51" spans="1:5" x14ac:dyDescent="0.25">
      <c r="A51" s="2" t="s">
        <v>6</v>
      </c>
      <c r="B51" s="3" t="s">
        <v>53</v>
      </c>
      <c r="C51" s="7">
        <f>(7/30)/12</f>
        <v>1.9444444444444445E-2</v>
      </c>
      <c r="D51" s="5">
        <f>C51*D7</f>
        <v>103.30133333333335</v>
      </c>
      <c r="E51" t="s">
        <v>54</v>
      </c>
    </row>
    <row r="52" spans="1:5" x14ac:dyDescent="0.25">
      <c r="A52" s="12" t="s">
        <v>24</v>
      </c>
      <c r="B52" s="16" t="s">
        <v>55</v>
      </c>
      <c r="C52" s="7">
        <f>C27</f>
        <v>0.36800000000000005</v>
      </c>
      <c r="D52" s="5">
        <f>C52*D51</f>
        <v>38.014890666666673</v>
      </c>
    </row>
    <row r="53" spans="1:5" x14ac:dyDescent="0.25">
      <c r="A53" s="2" t="s">
        <v>27</v>
      </c>
      <c r="B53" s="3" t="s">
        <v>56</v>
      </c>
      <c r="C53" s="7">
        <v>0.04</v>
      </c>
      <c r="D53" s="5">
        <f>C53*D7</f>
        <v>212.50560000000002</v>
      </c>
      <c r="E53" t="s">
        <v>57</v>
      </c>
    </row>
    <row r="54" spans="1:5" x14ac:dyDescent="0.25">
      <c r="A54" s="72" t="s">
        <v>8</v>
      </c>
      <c r="B54" s="72"/>
      <c r="C54" s="3"/>
      <c r="D54" s="6">
        <f>ROUND(SUM(D49:D53),2)</f>
        <v>380.36</v>
      </c>
    </row>
    <row r="57" spans="1:5" ht="39.950000000000003" customHeight="1" x14ac:dyDescent="0.25">
      <c r="A57" s="69" t="s">
        <v>58</v>
      </c>
      <c r="B57" s="69"/>
      <c r="C57" s="69" t="str">
        <f>$C$1</f>
        <v>Brigadista Particular - Noturno</v>
      </c>
      <c r="D57" s="69"/>
    </row>
    <row r="58" spans="1:5" x14ac:dyDescent="0.25">
      <c r="A58" s="2" t="s">
        <v>59</v>
      </c>
      <c r="B58" s="2" t="s">
        <v>60</v>
      </c>
      <c r="C58" s="2" t="s">
        <v>12</v>
      </c>
      <c r="D58" s="2" t="s">
        <v>2</v>
      </c>
    </row>
    <row r="59" spans="1:5" x14ac:dyDescent="0.25">
      <c r="A59" s="2" t="s">
        <v>3</v>
      </c>
      <c r="B59" s="3" t="s">
        <v>61</v>
      </c>
      <c r="C59" s="26">
        <v>9.0749999999999997E-2</v>
      </c>
      <c r="D59" s="5">
        <f t="shared" ref="D59:D64" si="2">C59*($D$7+$D$41+$D$42+$D$54)</f>
        <v>768.9737550000001</v>
      </c>
      <c r="E59" t="s">
        <v>111</v>
      </c>
    </row>
    <row r="60" spans="1:5" x14ac:dyDescent="0.25">
      <c r="A60" s="2" t="s">
        <v>5</v>
      </c>
      <c r="B60" s="3" t="s">
        <v>62</v>
      </c>
      <c r="C60" s="7">
        <f>(5.96/30)/12</f>
        <v>1.6555555555555556E-2</v>
      </c>
      <c r="D60" s="5">
        <f t="shared" si="2"/>
        <v>140.28416222222225</v>
      </c>
      <c r="E60" t="s">
        <v>112</v>
      </c>
    </row>
    <row r="61" spans="1:5" x14ac:dyDescent="0.25">
      <c r="A61" s="2" t="s">
        <v>6</v>
      </c>
      <c r="B61" s="3" t="s">
        <v>63</v>
      </c>
      <c r="C61" s="7">
        <f>((5/30)/12)*0.015</f>
        <v>2.0833333333333332E-4</v>
      </c>
      <c r="D61" s="5">
        <f t="shared" si="2"/>
        <v>1.7653208333333335</v>
      </c>
      <c r="E61" t="s">
        <v>113</v>
      </c>
    </row>
    <row r="62" spans="1:5" ht="15" customHeight="1" x14ac:dyDescent="0.25">
      <c r="A62" s="12" t="s">
        <v>24</v>
      </c>
      <c r="B62" s="16" t="s">
        <v>64</v>
      </c>
      <c r="C62" s="49">
        <f>(15/360)*2.16%</f>
        <v>8.9999999999999998E-4</v>
      </c>
      <c r="D62" s="5">
        <f t="shared" si="2"/>
        <v>7.6261860000000006</v>
      </c>
      <c r="E62" s="27" t="s">
        <v>114</v>
      </c>
    </row>
    <row r="63" spans="1:5" x14ac:dyDescent="0.25">
      <c r="A63" s="12" t="s">
        <v>27</v>
      </c>
      <c r="B63" s="16" t="s">
        <v>65</v>
      </c>
      <c r="C63" s="7">
        <f>50%*(4/12)*1.5%*(8.33%+11.11%)</f>
        <v>4.8599999999999989E-4</v>
      </c>
      <c r="D63" s="5">
        <f t="shared" si="2"/>
        <v>4.1181404399999995</v>
      </c>
      <c r="E63" t="s">
        <v>66</v>
      </c>
    </row>
    <row r="64" spans="1:5" x14ac:dyDescent="0.25">
      <c r="A64" s="2" t="s">
        <v>30</v>
      </c>
      <c r="B64" s="3" t="s">
        <v>67</v>
      </c>
      <c r="C64" s="9"/>
      <c r="D64" s="5">
        <f t="shared" si="2"/>
        <v>0</v>
      </c>
    </row>
    <row r="65" spans="1:4" x14ac:dyDescent="0.25">
      <c r="A65" s="72" t="s">
        <v>8</v>
      </c>
      <c r="B65" s="72"/>
      <c r="C65" s="3"/>
      <c r="D65" s="6">
        <f>ROUND(SUM(D59:D64),2)</f>
        <v>922.77</v>
      </c>
    </row>
    <row r="68" spans="1:4" ht="39.950000000000003" customHeight="1" x14ac:dyDescent="0.25">
      <c r="A68" s="69" t="s">
        <v>68</v>
      </c>
      <c r="B68" s="69"/>
      <c r="C68" s="69" t="str">
        <f>$C$1</f>
        <v>Brigadista Particular - Noturno</v>
      </c>
      <c r="D68" s="69"/>
    </row>
    <row r="69" spans="1:4" x14ac:dyDescent="0.25">
      <c r="A69" s="2" t="s">
        <v>69</v>
      </c>
      <c r="B69" s="2" t="s">
        <v>70</v>
      </c>
      <c r="C69" s="2"/>
      <c r="D69" s="2" t="s">
        <v>2</v>
      </c>
    </row>
    <row r="70" spans="1:4" ht="30" x14ac:dyDescent="0.25">
      <c r="A70" s="2" t="s">
        <v>3</v>
      </c>
      <c r="B70" s="16" t="s">
        <v>71</v>
      </c>
      <c r="C70" s="13"/>
      <c r="D70" s="5">
        <v>0</v>
      </c>
    </row>
    <row r="71" spans="1:4" x14ac:dyDescent="0.25">
      <c r="A71" s="72" t="s">
        <v>8</v>
      </c>
      <c r="B71" s="72"/>
      <c r="C71" s="3"/>
      <c r="D71" s="6">
        <f>SUM(D70:D70)</f>
        <v>0</v>
      </c>
    </row>
    <row r="74" spans="1:4" ht="39.950000000000003" customHeight="1" x14ac:dyDescent="0.25">
      <c r="A74" s="69" t="s">
        <v>72</v>
      </c>
      <c r="B74" s="69"/>
      <c r="C74" s="69" t="str">
        <f>$C$1</f>
        <v>Brigadista Particular - Noturno</v>
      </c>
      <c r="D74" s="69"/>
    </row>
    <row r="75" spans="1:4" x14ac:dyDescent="0.25">
      <c r="A75" s="2">
        <v>4</v>
      </c>
      <c r="B75" s="2" t="s">
        <v>73</v>
      </c>
      <c r="C75" s="2"/>
      <c r="D75" s="2" t="s">
        <v>2</v>
      </c>
    </row>
    <row r="76" spans="1:4" x14ac:dyDescent="0.25">
      <c r="A76" s="2" t="s">
        <v>59</v>
      </c>
      <c r="B76" s="3" t="s">
        <v>74</v>
      </c>
      <c r="C76" s="9"/>
      <c r="D76" s="14">
        <f>D65</f>
        <v>922.77</v>
      </c>
    </row>
    <row r="77" spans="1:4" x14ac:dyDescent="0.25">
      <c r="A77" s="2" t="s">
        <v>69</v>
      </c>
      <c r="B77" s="3" t="s">
        <v>70</v>
      </c>
      <c r="C77" s="9"/>
      <c r="D77" s="14">
        <f>D71</f>
        <v>0</v>
      </c>
    </row>
    <row r="78" spans="1:4" x14ac:dyDescent="0.25">
      <c r="A78" s="72" t="s">
        <v>8</v>
      </c>
      <c r="B78" s="72"/>
      <c r="C78" s="3"/>
      <c r="D78" s="6">
        <f>ROUND(SUM(D76:D77),2)</f>
        <v>922.77</v>
      </c>
    </row>
    <row r="81" spans="1:5" ht="39.950000000000003" customHeight="1" x14ac:dyDescent="0.25">
      <c r="A81" s="69" t="s">
        <v>75</v>
      </c>
      <c r="B81" s="69"/>
      <c r="C81" s="69" t="str">
        <f>$C$1</f>
        <v>Brigadista Particular - Noturno</v>
      </c>
      <c r="D81" s="69"/>
    </row>
    <row r="82" spans="1:5" x14ac:dyDescent="0.25">
      <c r="A82" s="2">
        <v>5</v>
      </c>
      <c r="B82" s="2" t="s">
        <v>76</v>
      </c>
      <c r="C82" s="2"/>
      <c r="D82" s="2" t="s">
        <v>2</v>
      </c>
    </row>
    <row r="83" spans="1:5" x14ac:dyDescent="0.25">
      <c r="A83" s="2" t="s">
        <v>3</v>
      </c>
      <c r="B83" s="3" t="s">
        <v>77</v>
      </c>
      <c r="C83" s="9"/>
      <c r="D83" s="14">
        <f>Uniformes!C14</f>
        <v>109.47769841269842</v>
      </c>
    </row>
    <row r="84" spans="1:5" x14ac:dyDescent="0.25">
      <c r="A84" s="2" t="s">
        <v>5</v>
      </c>
      <c r="B84" s="3" t="s">
        <v>78</v>
      </c>
      <c r="C84" s="9"/>
      <c r="D84" s="14">
        <f>'Materiais de consumo'!C26</f>
        <v>4.5195684523809536</v>
      </c>
    </row>
    <row r="85" spans="1:5" x14ac:dyDescent="0.25">
      <c r="A85" s="2" t="s">
        <v>6</v>
      </c>
      <c r="B85" s="3" t="s">
        <v>79</v>
      </c>
      <c r="C85" s="9"/>
      <c r="D85" s="14">
        <f>'Materiais permanentes'!C51</f>
        <v>7.6020584375000029</v>
      </c>
    </row>
    <row r="86" spans="1:5" x14ac:dyDescent="0.25">
      <c r="A86" s="12" t="s">
        <v>24</v>
      </c>
      <c r="B86" s="16" t="s">
        <v>7</v>
      </c>
      <c r="C86" s="9"/>
      <c r="D86" s="14"/>
    </row>
    <row r="87" spans="1:5" x14ac:dyDescent="0.25">
      <c r="A87" s="72" t="s">
        <v>8</v>
      </c>
      <c r="B87" s="72"/>
      <c r="C87" s="3"/>
      <c r="D87" s="6">
        <f>ROUND(SUM(D83:D86),2)</f>
        <v>121.6</v>
      </c>
    </row>
    <row r="90" spans="1:5" ht="39.950000000000003" customHeight="1" x14ac:dyDescent="0.25">
      <c r="A90" s="69" t="s">
        <v>80</v>
      </c>
      <c r="B90" s="69"/>
      <c r="C90" s="69" t="str">
        <f>$C$1</f>
        <v>Brigadista Particular - Noturno</v>
      </c>
      <c r="D90" s="69"/>
    </row>
    <row r="91" spans="1:5" x14ac:dyDescent="0.25">
      <c r="A91" s="2">
        <v>6</v>
      </c>
      <c r="B91" s="2" t="s">
        <v>81</v>
      </c>
      <c r="C91" s="2" t="s">
        <v>12</v>
      </c>
      <c r="D91" s="2" t="s">
        <v>2</v>
      </c>
    </row>
    <row r="92" spans="1:5" x14ac:dyDescent="0.25">
      <c r="A92" s="2" t="s">
        <v>3</v>
      </c>
      <c r="B92" s="3" t="s">
        <v>82</v>
      </c>
      <c r="C92" s="7">
        <v>0.05</v>
      </c>
      <c r="D92" s="14">
        <f>ROUND(D107*C92,2)</f>
        <v>505.3</v>
      </c>
      <c r="E92" t="s">
        <v>115</v>
      </c>
    </row>
    <row r="93" spans="1:5" x14ac:dyDescent="0.25">
      <c r="A93" s="2" t="s">
        <v>5</v>
      </c>
      <c r="B93" s="3" t="s">
        <v>83</v>
      </c>
      <c r="C93" s="7">
        <v>0.1</v>
      </c>
      <c r="D93" s="14">
        <f>ROUND((D107+D92)*C93,2)</f>
        <v>1061.1199999999999</v>
      </c>
      <c r="E93" t="s">
        <v>115</v>
      </c>
    </row>
    <row r="94" spans="1:5" x14ac:dyDescent="0.25">
      <c r="A94" s="2" t="s">
        <v>6</v>
      </c>
      <c r="B94" s="3" t="s">
        <v>84</v>
      </c>
      <c r="C94" s="7">
        <f t="shared" ref="C94:D94" si="3">SUM(C95:C97)</f>
        <v>0.14250000000000002</v>
      </c>
      <c r="D94" s="14">
        <f t="shared" si="3"/>
        <v>1939.71</v>
      </c>
    </row>
    <row r="95" spans="1:5" x14ac:dyDescent="0.25">
      <c r="A95" s="12" t="s">
        <v>85</v>
      </c>
      <c r="B95" s="16" t="s">
        <v>86</v>
      </c>
      <c r="C95" s="7">
        <v>1.6500000000000001E-2</v>
      </c>
      <c r="D95" s="14">
        <f>ROUND(C95*D109,2)</f>
        <v>224.6</v>
      </c>
      <c r="E95" t="s">
        <v>120</v>
      </c>
    </row>
    <row r="96" spans="1:5" x14ac:dyDescent="0.25">
      <c r="A96" s="12" t="s">
        <v>87</v>
      </c>
      <c r="B96" s="16" t="s">
        <v>88</v>
      </c>
      <c r="C96" s="7">
        <v>7.5999999999999998E-2</v>
      </c>
      <c r="D96" s="14">
        <f>ROUND(C96*D109,2)</f>
        <v>1034.51</v>
      </c>
      <c r="E96" t="s">
        <v>121</v>
      </c>
    </row>
    <row r="97" spans="1:5" x14ac:dyDescent="0.25">
      <c r="A97" s="2" t="s">
        <v>89</v>
      </c>
      <c r="B97" s="3" t="s">
        <v>90</v>
      </c>
      <c r="C97" s="7">
        <v>0.05</v>
      </c>
      <c r="D97" s="14">
        <f>ROUND(C97*D109,2)</f>
        <v>680.6</v>
      </c>
      <c r="E97" t="s">
        <v>91</v>
      </c>
    </row>
    <row r="98" spans="1:5" x14ac:dyDescent="0.25">
      <c r="A98" s="72" t="s">
        <v>8</v>
      </c>
      <c r="B98" s="72"/>
      <c r="C98" s="3"/>
      <c r="D98" s="6">
        <f>ROUND(SUM(D92+D93+D94),2)</f>
        <v>3506.13</v>
      </c>
    </row>
    <row r="99" spans="1:5" x14ac:dyDescent="0.25">
      <c r="A99" s="17"/>
      <c r="B99" s="17"/>
      <c r="D99" s="18"/>
    </row>
    <row r="100" spans="1:5" ht="39.950000000000003" customHeight="1" x14ac:dyDescent="0.25">
      <c r="A100" s="69" t="s">
        <v>92</v>
      </c>
      <c r="B100" s="69"/>
      <c r="C100" s="69" t="str">
        <f>$C$1</f>
        <v>Brigadista Particular - Noturno</v>
      </c>
      <c r="D100" s="69"/>
    </row>
    <row r="101" spans="1:5" x14ac:dyDescent="0.25">
      <c r="A101" s="65" t="s">
        <v>93</v>
      </c>
      <c r="B101" s="65"/>
      <c r="C101" s="2"/>
      <c r="D101" s="2" t="s">
        <v>2</v>
      </c>
    </row>
    <row r="102" spans="1:5" x14ac:dyDescent="0.25">
      <c r="A102" s="2" t="s">
        <v>3</v>
      </c>
      <c r="B102" s="3" t="s">
        <v>94</v>
      </c>
      <c r="C102" s="19">
        <f>(D102/$D$109)</f>
        <v>0.39029005960169055</v>
      </c>
      <c r="D102" s="14">
        <f>D7</f>
        <v>5312.64</v>
      </c>
    </row>
    <row r="103" spans="1:5" x14ac:dyDescent="0.25">
      <c r="A103" s="2" t="s">
        <v>5</v>
      </c>
      <c r="B103" s="3" t="s">
        <v>95</v>
      </c>
      <c r="C103" s="19">
        <f t="shared" ref="C103:C108" si="4">(D103/$D$109)</f>
        <v>0.24746713017823202</v>
      </c>
      <c r="D103" s="14">
        <f>D44</f>
        <v>3368.5299999999997</v>
      </c>
    </row>
    <row r="104" spans="1:5" x14ac:dyDescent="0.25">
      <c r="A104" s="2" t="s">
        <v>6</v>
      </c>
      <c r="B104" s="3" t="s">
        <v>96</v>
      </c>
      <c r="C104" s="19">
        <f t="shared" si="4"/>
        <v>2.7942929893630855E-2</v>
      </c>
      <c r="D104" s="14">
        <f>D54</f>
        <v>380.36</v>
      </c>
    </row>
    <row r="105" spans="1:5" x14ac:dyDescent="0.25">
      <c r="A105" s="12" t="s">
        <v>24</v>
      </c>
      <c r="B105" s="16" t="s">
        <v>97</v>
      </c>
      <c r="C105" s="19">
        <f t="shared" si="4"/>
        <v>6.7790770370032977E-2</v>
      </c>
      <c r="D105" s="14">
        <f>D78</f>
        <v>922.77</v>
      </c>
    </row>
    <row r="106" spans="1:5" x14ac:dyDescent="0.25">
      <c r="A106" s="12" t="s">
        <v>27</v>
      </c>
      <c r="B106" s="16" t="s">
        <v>98</v>
      </c>
      <c r="C106" s="19">
        <f t="shared" si="4"/>
        <v>8.9332744638382366E-3</v>
      </c>
      <c r="D106" s="14">
        <f>D87</f>
        <v>121.6</v>
      </c>
    </row>
    <row r="107" spans="1:5" x14ac:dyDescent="0.25">
      <c r="A107" s="73" t="s">
        <v>99</v>
      </c>
      <c r="B107" s="73"/>
      <c r="C107" s="19"/>
      <c r="D107" s="20">
        <f>ROUND(SUM(D102:D106),2)</f>
        <v>10105.9</v>
      </c>
    </row>
    <row r="108" spans="1:5" x14ac:dyDescent="0.25">
      <c r="A108" s="12" t="s">
        <v>30</v>
      </c>
      <c r="B108" s="21" t="s">
        <v>80</v>
      </c>
      <c r="C108" s="19">
        <f t="shared" si="4"/>
        <v>0.25757583549257529</v>
      </c>
      <c r="D108" s="14">
        <f>D98</f>
        <v>3506.13</v>
      </c>
    </row>
    <row r="109" spans="1:5" x14ac:dyDescent="0.25">
      <c r="A109" s="73" t="s">
        <v>100</v>
      </c>
      <c r="B109" s="73"/>
      <c r="C109" s="22">
        <f>SUM(C102:C108)</f>
        <v>1</v>
      </c>
      <c r="D109" s="20">
        <f>ROUND((D107+D92+D93)/(1-C94),2)</f>
        <v>13612.03</v>
      </c>
    </row>
    <row r="110" spans="1:5" x14ac:dyDescent="0.25">
      <c r="D110" s="23"/>
    </row>
    <row r="111" spans="1:5" x14ac:dyDescent="0.25">
      <c r="D111" s="23"/>
    </row>
    <row r="113" spans="6:6" x14ac:dyDescent="0.25">
      <c r="F113" s="25"/>
    </row>
  </sheetData>
  <mergeCells count="40">
    <mergeCell ref="A33:A34"/>
    <mergeCell ref="B33:B34"/>
    <mergeCell ref="A1:B1"/>
    <mergeCell ref="C1:D1"/>
    <mergeCell ref="A7:B7"/>
    <mergeCell ref="A10:B10"/>
    <mergeCell ref="C10:D10"/>
    <mergeCell ref="A14:B14"/>
    <mergeCell ref="A17:B17"/>
    <mergeCell ref="C17:D17"/>
    <mergeCell ref="A27:B27"/>
    <mergeCell ref="A30:B30"/>
    <mergeCell ref="C30:D30"/>
    <mergeCell ref="A36:B36"/>
    <mergeCell ref="A39:B39"/>
    <mergeCell ref="C39:D39"/>
    <mergeCell ref="A44:B44"/>
    <mergeCell ref="A47:B47"/>
    <mergeCell ref="C47:D47"/>
    <mergeCell ref="A54:B54"/>
    <mergeCell ref="A57:B57"/>
    <mergeCell ref="C57:D57"/>
    <mergeCell ref="A65:B65"/>
    <mergeCell ref="A68:B68"/>
    <mergeCell ref="C68:D68"/>
    <mergeCell ref="C90:D90"/>
    <mergeCell ref="A98:B98"/>
    <mergeCell ref="A100:B100"/>
    <mergeCell ref="C100:D100"/>
    <mergeCell ref="A71:B71"/>
    <mergeCell ref="A74:B74"/>
    <mergeCell ref="C74:D74"/>
    <mergeCell ref="A78:B78"/>
    <mergeCell ref="A81:B81"/>
    <mergeCell ref="C81:D81"/>
    <mergeCell ref="A101:B101"/>
    <mergeCell ref="A107:B107"/>
    <mergeCell ref="A109:B109"/>
    <mergeCell ref="A87:B87"/>
    <mergeCell ref="A90:B90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BFDC0-E619-4979-AA0B-8D976BEB9688}">
  <dimension ref="B2:AN14"/>
  <sheetViews>
    <sheetView showGridLines="0" topLeftCell="A3" zoomScaleNormal="100" workbookViewId="0">
      <selection activeCell="C16" sqref="C16"/>
    </sheetView>
  </sheetViews>
  <sheetFormatPr defaultRowHeight="15" x14ac:dyDescent="0.25"/>
  <cols>
    <col min="1" max="1" width="5.42578125" customWidth="1"/>
    <col min="2" max="2" width="63" customWidth="1"/>
    <col min="3" max="34" width="14.140625" customWidth="1"/>
    <col min="35" max="35" width="13.7109375" customWidth="1"/>
    <col min="36" max="37" width="14.140625" customWidth="1"/>
    <col min="38" max="44" width="8.7109375" customWidth="1"/>
    <col min="46" max="1040" width="8.7109375" customWidth="1"/>
  </cols>
  <sheetData>
    <row r="2" spans="2:40" ht="24" customHeight="1" x14ac:dyDescent="0.25">
      <c r="B2" s="29" t="s">
        <v>168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J2" s="30"/>
      <c r="AK2" s="30"/>
    </row>
    <row r="3" spans="2:40" ht="60" customHeight="1" x14ac:dyDescent="0.25">
      <c r="B3" s="1" t="s">
        <v>124</v>
      </c>
      <c r="C3" s="1" t="s">
        <v>125</v>
      </c>
      <c r="D3" s="1" t="s">
        <v>123</v>
      </c>
      <c r="E3" s="1" t="s">
        <v>128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  <c r="U3" s="1" t="s">
        <v>157</v>
      </c>
      <c r="V3" s="1" t="s">
        <v>158</v>
      </c>
      <c r="W3" s="1" t="s">
        <v>159</v>
      </c>
      <c r="X3" s="35" t="s">
        <v>140</v>
      </c>
      <c r="Y3" s="35" t="s">
        <v>141</v>
      </c>
      <c r="Z3" s="35" t="s">
        <v>129</v>
      </c>
      <c r="AA3" s="35" t="s">
        <v>130</v>
      </c>
      <c r="AB3" s="35" t="s">
        <v>131</v>
      </c>
      <c r="AC3" s="35" t="s">
        <v>132</v>
      </c>
      <c r="AD3" s="35" t="s">
        <v>133</v>
      </c>
      <c r="AE3" s="35" t="s">
        <v>134</v>
      </c>
      <c r="AF3" s="35" t="s">
        <v>135</v>
      </c>
      <c r="AG3" s="35" t="s">
        <v>136</v>
      </c>
      <c r="AH3" s="35" t="s">
        <v>137</v>
      </c>
      <c r="AJ3" s="35" t="s">
        <v>138</v>
      </c>
      <c r="AK3" s="35" t="s">
        <v>139</v>
      </c>
    </row>
    <row r="4" spans="2:40" ht="30" customHeight="1" x14ac:dyDescent="0.25">
      <c r="B4" s="31" t="s">
        <v>169</v>
      </c>
      <c r="C4" s="33" t="s">
        <v>126</v>
      </c>
      <c r="D4" s="43">
        <v>4</v>
      </c>
      <c r="E4" s="33">
        <v>71.150000000000006</v>
      </c>
      <c r="F4" s="33"/>
      <c r="G4" s="33">
        <v>104.39</v>
      </c>
      <c r="H4" s="33">
        <v>142</v>
      </c>
      <c r="I4" s="33">
        <v>120</v>
      </c>
      <c r="J4" s="33">
        <v>75</v>
      </c>
      <c r="K4" s="33">
        <v>122</v>
      </c>
      <c r="L4" s="33">
        <v>120</v>
      </c>
      <c r="M4" s="33">
        <v>131.5</v>
      </c>
      <c r="N4" s="33">
        <v>80</v>
      </c>
      <c r="O4" s="33">
        <v>70</v>
      </c>
      <c r="P4" s="33">
        <v>64.5</v>
      </c>
      <c r="Q4" s="33"/>
      <c r="R4" s="33"/>
      <c r="S4" s="33"/>
      <c r="T4" s="33"/>
      <c r="U4" s="33"/>
      <c r="V4" s="33"/>
      <c r="W4" s="33"/>
      <c r="X4" s="40">
        <f>AVERAGE(E4:W4)</f>
        <v>100.04909090909091</v>
      </c>
      <c r="Y4" s="40">
        <f>_xlfn.STDEV.S(E4:W4)</f>
        <v>28.420183129088212</v>
      </c>
      <c r="Z4" s="40">
        <f>X4-Y4</f>
        <v>71.628907780002692</v>
      </c>
      <c r="AA4" s="40">
        <f>X4+Y4</f>
        <v>128.46927403817912</v>
      </c>
      <c r="AB4" s="40">
        <f>AVERAGEIFS(E4:W4,E4:W4,"&gt;="&amp;Z4,E4:W4,"&lt;="&amp;AA4)</f>
        <v>103.565</v>
      </c>
      <c r="AC4" s="40">
        <f>MEDIAN(G4,I4,J4,K4,L4,N4)</f>
        <v>112.19499999999999</v>
      </c>
      <c r="AD4" s="40">
        <f>_xlfn.STDEV.S(G4,I4,J4,K4,L4,N4)</f>
        <v>21.222708356852113</v>
      </c>
      <c r="AE4" s="41">
        <f>AD4/AB4</f>
        <v>0.20492162754648882</v>
      </c>
      <c r="AF4" s="40" t="str">
        <f>IF(AE4&gt;=25%,"Mediana","Média")</f>
        <v>Média</v>
      </c>
      <c r="AG4" s="50">
        <f>IF(AF4="Mediana",AC4,AB4)</f>
        <v>103.565</v>
      </c>
      <c r="AH4" s="40">
        <f>D4*AG4</f>
        <v>414.26</v>
      </c>
      <c r="AJ4" s="42">
        <f>COUNTA(E4:W4)</f>
        <v>11</v>
      </c>
      <c r="AK4" s="42">
        <f>COUNTIFS(E4:W4,"&gt;="&amp;Z4,E4:W4,"&lt;="&amp;AA4)</f>
        <v>6</v>
      </c>
      <c r="AM4">
        <f>COUNTA(AK4:AK10)</f>
        <v>7</v>
      </c>
      <c r="AN4" t="s">
        <v>162</v>
      </c>
    </row>
    <row r="5" spans="2:40" ht="30" customHeight="1" x14ac:dyDescent="0.25">
      <c r="B5" s="31" t="s">
        <v>170</v>
      </c>
      <c r="C5" s="33" t="s">
        <v>126</v>
      </c>
      <c r="D5" s="43">
        <v>8</v>
      </c>
      <c r="E5" s="33">
        <v>23.46</v>
      </c>
      <c r="F5" s="33"/>
      <c r="G5" s="33"/>
      <c r="H5" s="33">
        <v>38.28</v>
      </c>
      <c r="I5" s="33">
        <v>17</v>
      </c>
      <c r="J5" s="33">
        <v>18</v>
      </c>
      <c r="K5" s="40">
        <v>25</v>
      </c>
      <c r="L5" s="40">
        <v>30</v>
      </c>
      <c r="M5" s="40">
        <v>21.6</v>
      </c>
      <c r="N5" s="40">
        <v>18</v>
      </c>
      <c r="O5" s="40">
        <v>18</v>
      </c>
      <c r="P5" s="40">
        <v>16.75</v>
      </c>
      <c r="Q5" s="40"/>
      <c r="R5" s="40"/>
      <c r="S5" s="40"/>
      <c r="T5" s="40"/>
      <c r="U5" s="40"/>
      <c r="V5" s="40"/>
      <c r="W5" s="40"/>
      <c r="X5" s="40">
        <f t="shared" ref="X5:X10" si="0">AVERAGE(E5:W5)</f>
        <v>22.609000000000002</v>
      </c>
      <c r="Y5" s="40">
        <f t="shared" ref="Y5:Y10" si="1">_xlfn.STDEV.S(E5:W5)</f>
        <v>6.9696460136477194</v>
      </c>
      <c r="Z5" s="40">
        <f t="shared" ref="Z5:Z10" si="2">X5-Y5</f>
        <v>15.639353986352283</v>
      </c>
      <c r="AA5" s="40">
        <f t="shared" ref="AA5:AA10" si="3">X5+Y5</f>
        <v>29.57864601364772</v>
      </c>
      <c r="AB5" s="40">
        <f t="shared" ref="AB5:AB10" si="4">AVERAGEIFS(E5:W5,E5:W5,"&gt;="&amp;Z5,E5:W5,"&lt;="&amp;AA5)</f>
        <v>19.72625</v>
      </c>
      <c r="AC5" s="40">
        <f>MEDIAN(E5,I5,J5,K5,M5,N5,O5,P5)</f>
        <v>18</v>
      </c>
      <c r="AD5" s="40">
        <f>_xlfn.STDEV.S(E5,I5,J5,K5,M5,N5,O5,P5)</f>
        <v>3.173429589126382</v>
      </c>
      <c r="AE5" s="41">
        <f t="shared" ref="AE5:AE10" si="5">AD5/AB5</f>
        <v>0.16087343459230122</v>
      </c>
      <c r="AF5" s="40" t="str">
        <f t="shared" ref="AF5:AF10" si="6">IF(AE5&gt;=25%,"Mediana","Média")</f>
        <v>Média</v>
      </c>
      <c r="AG5" s="50">
        <f t="shared" ref="AG5:AG10" si="7">IF(AF5="Mediana",AC5,AB5)</f>
        <v>19.72625</v>
      </c>
      <c r="AH5" s="40">
        <f t="shared" ref="AH5:AH10" si="8">D5*AG5</f>
        <v>157.81</v>
      </c>
      <c r="AJ5" s="42">
        <f t="shared" ref="AJ5:AJ10" si="9">COUNTA(E5:W5)</f>
        <v>10</v>
      </c>
      <c r="AK5" s="42">
        <f t="shared" ref="AK5:AK10" si="10">COUNTIFS(E5:W5,"&gt;="&amp;Z5,E5:W5,"&lt;="&amp;AA5)</f>
        <v>8</v>
      </c>
      <c r="AM5">
        <f>COUNTIF(AK4:AK10,"&gt;="&amp;3)</f>
        <v>7</v>
      </c>
      <c r="AN5" t="s">
        <v>163</v>
      </c>
    </row>
    <row r="6" spans="2:40" ht="30" customHeight="1" x14ac:dyDescent="0.25">
      <c r="B6" s="31" t="s">
        <v>171</v>
      </c>
      <c r="C6" s="33" t="s">
        <v>126</v>
      </c>
      <c r="D6" s="43">
        <v>4</v>
      </c>
      <c r="E6" s="33">
        <v>71.150000000000006</v>
      </c>
      <c r="F6" s="33"/>
      <c r="G6" s="33">
        <v>70.739999999999995</v>
      </c>
      <c r="H6" s="33">
        <v>118</v>
      </c>
      <c r="I6" s="33">
        <v>90</v>
      </c>
      <c r="J6" s="33">
        <v>75</v>
      </c>
      <c r="K6" s="40">
        <v>79</v>
      </c>
      <c r="L6" s="40">
        <v>120</v>
      </c>
      <c r="M6" s="40">
        <v>118.5</v>
      </c>
      <c r="N6" s="40">
        <v>70</v>
      </c>
      <c r="O6" s="40">
        <v>52</v>
      </c>
      <c r="P6" s="40">
        <v>43.5</v>
      </c>
      <c r="Q6" s="40"/>
      <c r="R6" s="40"/>
      <c r="S6" s="40"/>
      <c r="T6" s="40"/>
      <c r="U6" s="40"/>
      <c r="V6" s="40"/>
      <c r="W6" s="40"/>
      <c r="X6" s="40">
        <f t="shared" si="0"/>
        <v>82.535454545454542</v>
      </c>
      <c r="Y6" s="40">
        <f t="shared" si="1"/>
        <v>26.385329773810444</v>
      </c>
      <c r="Z6" s="40">
        <f t="shared" si="2"/>
        <v>56.150124771644101</v>
      </c>
      <c r="AA6" s="40">
        <f t="shared" si="3"/>
        <v>108.92078431926498</v>
      </c>
      <c r="AB6" s="40">
        <f t="shared" si="4"/>
        <v>75.981666666666669</v>
      </c>
      <c r="AC6" s="40">
        <f>MEDIAN(E6,G6,I6,J6,K6,N6)</f>
        <v>73.075000000000003</v>
      </c>
      <c r="AD6" s="40">
        <f>_xlfn.STDEV.S(E6,G6,I6,J6,K6,N6)</f>
        <v>7.657520268772827</v>
      </c>
      <c r="AE6" s="41">
        <f t="shared" si="5"/>
        <v>0.10078115688573332</v>
      </c>
      <c r="AF6" s="40" t="str">
        <f t="shared" si="6"/>
        <v>Média</v>
      </c>
      <c r="AG6" s="50">
        <f t="shared" si="7"/>
        <v>75.981666666666669</v>
      </c>
      <c r="AH6" s="40">
        <f t="shared" si="8"/>
        <v>303.92666666666668</v>
      </c>
      <c r="AJ6" s="42">
        <f t="shared" si="9"/>
        <v>11</v>
      </c>
      <c r="AK6" s="42">
        <f t="shared" si="10"/>
        <v>6</v>
      </c>
      <c r="AM6">
        <f>COUNTIF(AK4:AK10,"&lt;"&amp;3)</f>
        <v>0</v>
      </c>
      <c r="AN6" t="s">
        <v>164</v>
      </c>
    </row>
    <row r="7" spans="2:40" ht="30" customHeight="1" x14ac:dyDescent="0.25">
      <c r="B7" s="31" t="s">
        <v>172</v>
      </c>
      <c r="C7" s="33" t="s">
        <v>126</v>
      </c>
      <c r="D7" s="43">
        <v>2</v>
      </c>
      <c r="E7" s="33">
        <v>9</v>
      </c>
      <c r="F7" s="33">
        <v>10</v>
      </c>
      <c r="G7" s="33">
        <v>15.37</v>
      </c>
      <c r="H7" s="33">
        <v>45.02</v>
      </c>
      <c r="I7" s="33">
        <v>35</v>
      </c>
      <c r="J7" s="33">
        <v>6.5</v>
      </c>
      <c r="K7" s="40">
        <v>14.5</v>
      </c>
      <c r="L7" s="40">
        <v>18</v>
      </c>
      <c r="M7" s="40">
        <v>8.99</v>
      </c>
      <c r="N7" s="40">
        <v>8</v>
      </c>
      <c r="O7" s="40">
        <v>15</v>
      </c>
      <c r="P7" s="40">
        <v>9.67</v>
      </c>
      <c r="Q7" s="40"/>
      <c r="R7" s="40"/>
      <c r="S7" s="40"/>
      <c r="T7" s="40"/>
      <c r="U7" s="40"/>
      <c r="V7" s="40"/>
      <c r="W7" s="40"/>
      <c r="X7" s="40">
        <f t="shared" si="0"/>
        <v>16.254166666666666</v>
      </c>
      <c r="Y7" s="40">
        <f t="shared" si="1"/>
        <v>11.826361507883627</v>
      </c>
      <c r="Z7" s="40">
        <f t="shared" si="2"/>
        <v>4.4278051587830394</v>
      </c>
      <c r="AA7" s="40">
        <f t="shared" si="3"/>
        <v>28.080528174550295</v>
      </c>
      <c r="AB7" s="40">
        <f t="shared" si="4"/>
        <v>11.503</v>
      </c>
      <c r="AC7" s="40">
        <f>MEDIAN(E7,F7,G7,J7,K7,L7,M7,N7,O7,P7)</f>
        <v>9.8350000000000009</v>
      </c>
      <c r="AD7" s="40">
        <f>_xlfn.STDEV.S(E7,F7,G7,J7,K7,L7,M7,N7,O7,P7)</f>
        <v>3.8568238227847536</v>
      </c>
      <c r="AE7" s="41">
        <f t="shared" si="5"/>
        <v>0.33528851802006027</v>
      </c>
      <c r="AF7" s="40" t="str">
        <f t="shared" si="6"/>
        <v>Mediana</v>
      </c>
      <c r="AG7" s="50">
        <f t="shared" si="7"/>
        <v>9.8350000000000009</v>
      </c>
      <c r="AH7" s="40">
        <f t="shared" si="8"/>
        <v>19.670000000000002</v>
      </c>
      <c r="AJ7" s="42">
        <f t="shared" si="9"/>
        <v>12</v>
      </c>
      <c r="AK7" s="42">
        <f t="shared" si="10"/>
        <v>10</v>
      </c>
    </row>
    <row r="8" spans="2:40" ht="120" x14ac:dyDescent="0.25">
      <c r="B8" s="31" t="s">
        <v>173</v>
      </c>
      <c r="C8" s="33" t="s">
        <v>127</v>
      </c>
      <c r="D8" s="43">
        <v>1</v>
      </c>
      <c r="E8" s="33">
        <v>213.6</v>
      </c>
      <c r="F8" s="33">
        <v>180</v>
      </c>
      <c r="G8" s="33">
        <v>210.44</v>
      </c>
      <c r="H8" s="33">
        <v>267</v>
      </c>
      <c r="I8" s="33">
        <v>150</v>
      </c>
      <c r="J8" s="33">
        <v>200</v>
      </c>
      <c r="K8" s="40">
        <v>176</v>
      </c>
      <c r="L8" s="40">
        <v>320</v>
      </c>
      <c r="M8" s="40">
        <v>185</v>
      </c>
      <c r="N8" s="40">
        <v>197.84</v>
      </c>
      <c r="O8" s="40">
        <v>184</v>
      </c>
      <c r="P8" s="40">
        <v>142.53</v>
      </c>
      <c r="Q8" s="40"/>
      <c r="R8" s="40"/>
      <c r="S8" s="40"/>
      <c r="T8" s="40"/>
      <c r="U8" s="40"/>
      <c r="V8" s="40"/>
      <c r="W8" s="40"/>
      <c r="X8" s="40">
        <f t="shared" si="0"/>
        <v>202.20083333333335</v>
      </c>
      <c r="Y8" s="40">
        <f t="shared" si="1"/>
        <v>48.979862366325897</v>
      </c>
      <c r="Z8" s="40">
        <f t="shared" si="2"/>
        <v>153.22097096700745</v>
      </c>
      <c r="AA8" s="40">
        <f t="shared" si="3"/>
        <v>251.18069569965925</v>
      </c>
      <c r="AB8" s="40">
        <f t="shared" si="4"/>
        <v>193.35999999999999</v>
      </c>
      <c r="AC8" s="40">
        <f>MEDIAN(E8,F8,G8,J8,K8,M8,N8,O8)</f>
        <v>191.42000000000002</v>
      </c>
      <c r="AD8" s="40">
        <f>_xlfn.STDEV.S(E8,F8,G8,J8,K8,M8,N8,O8)</f>
        <v>14.156787367599632</v>
      </c>
      <c r="AE8" s="41">
        <f t="shared" si="5"/>
        <v>7.3214663671905419E-2</v>
      </c>
      <c r="AF8" s="40" t="str">
        <f t="shared" si="6"/>
        <v>Média</v>
      </c>
      <c r="AG8" s="50">
        <f t="shared" si="7"/>
        <v>193.35999999999999</v>
      </c>
      <c r="AH8" s="40">
        <f t="shared" si="8"/>
        <v>193.35999999999999</v>
      </c>
      <c r="AJ8" s="42">
        <f t="shared" si="9"/>
        <v>12</v>
      </c>
      <c r="AK8" s="42">
        <f t="shared" si="10"/>
        <v>8</v>
      </c>
    </row>
    <row r="9" spans="2:40" ht="30" customHeight="1" x14ac:dyDescent="0.25">
      <c r="B9" s="44" t="s">
        <v>174</v>
      </c>
      <c r="C9" s="40" t="s">
        <v>126</v>
      </c>
      <c r="D9" s="42">
        <v>2</v>
      </c>
      <c r="E9" s="33">
        <v>110</v>
      </c>
      <c r="F9" s="33">
        <v>60</v>
      </c>
      <c r="G9" s="33"/>
      <c r="H9" s="33">
        <v>125.97</v>
      </c>
      <c r="I9" s="33">
        <v>90</v>
      </c>
      <c r="J9" s="33">
        <v>65</v>
      </c>
      <c r="K9" s="40">
        <v>95</v>
      </c>
      <c r="L9" s="40">
        <v>70</v>
      </c>
      <c r="M9" s="40">
        <v>85</v>
      </c>
      <c r="N9" s="40"/>
      <c r="O9" s="40">
        <v>65.7</v>
      </c>
      <c r="P9" s="40"/>
      <c r="Q9" s="40"/>
      <c r="R9" s="40"/>
      <c r="S9" s="40"/>
      <c r="T9" s="40"/>
      <c r="U9" s="40"/>
      <c r="V9" s="40"/>
      <c r="W9" s="40"/>
      <c r="X9" s="40">
        <f t="shared" ref="X9" si="11">AVERAGE(E9:W9)</f>
        <v>85.185555555555567</v>
      </c>
      <c r="Y9" s="40">
        <f t="shared" ref="Y9" si="12">_xlfn.STDEV.S(E9:W9)</f>
        <v>22.502002750372611</v>
      </c>
      <c r="Z9" s="40">
        <f t="shared" ref="Z9" si="13">X9-Y9</f>
        <v>62.683552805182956</v>
      </c>
      <c r="AA9" s="40">
        <f t="shared" ref="AA9" si="14">X9+Y9</f>
        <v>107.68755830592818</v>
      </c>
      <c r="AB9" s="40">
        <f t="shared" ref="AB9" si="15">AVERAGEIFS(E9:W9,E9:W9,"&gt;="&amp;Z9,E9:W9,"&lt;="&amp;AA9)</f>
        <v>78.45</v>
      </c>
      <c r="AC9" s="40">
        <f>MEDIAN(I9,J9,K9,L9,M9,O9)</f>
        <v>77.5</v>
      </c>
      <c r="AD9" s="40">
        <f>_xlfn.STDEV.S(I9,J9,K9,L9,M9,O9)</f>
        <v>13.153516640047231</v>
      </c>
      <c r="AE9" s="41">
        <f t="shared" si="5"/>
        <v>0.16766751612552239</v>
      </c>
      <c r="AF9" s="40" t="str">
        <f t="shared" ref="AF9" si="16">IF(AE9&gt;=25%,"Mediana","Média")</f>
        <v>Média</v>
      </c>
      <c r="AG9" s="50">
        <f t="shared" ref="AG9" si="17">IF(AF9="Mediana",AC9,AB9)</f>
        <v>78.45</v>
      </c>
      <c r="AH9" s="40">
        <f t="shared" ref="AH9" si="18">D9*AG9</f>
        <v>156.9</v>
      </c>
      <c r="AJ9" s="42">
        <f t="shared" ref="AJ9" si="19">COUNTA(E9:W9)</f>
        <v>9</v>
      </c>
      <c r="AK9" s="42">
        <f t="shared" ref="AK9" si="20">COUNTIFS(E9:W9,"&gt;="&amp;Z9,E9:W9,"&lt;="&amp;AA9)</f>
        <v>6</v>
      </c>
    </row>
    <row r="10" spans="2:40" ht="30" customHeight="1" x14ac:dyDescent="0.25">
      <c r="B10" s="32" t="s">
        <v>175</v>
      </c>
      <c r="C10" s="33" t="s">
        <v>127</v>
      </c>
      <c r="D10" s="43">
        <v>8</v>
      </c>
      <c r="E10" s="33">
        <v>10.74</v>
      </c>
      <c r="F10" s="33">
        <v>10</v>
      </c>
      <c r="G10" s="33">
        <v>8.6</v>
      </c>
      <c r="H10" s="33">
        <v>14.8</v>
      </c>
      <c r="I10" s="33">
        <v>7</v>
      </c>
      <c r="J10" s="33">
        <v>3.5</v>
      </c>
      <c r="K10" s="40">
        <v>13.5</v>
      </c>
      <c r="L10" s="40">
        <v>8</v>
      </c>
      <c r="M10" s="40">
        <v>9.99</v>
      </c>
      <c r="N10" s="40">
        <v>1</v>
      </c>
      <c r="O10" s="40">
        <v>5</v>
      </c>
      <c r="P10" s="40">
        <v>2.2000000000000002</v>
      </c>
      <c r="Q10" s="40"/>
      <c r="R10" s="40"/>
      <c r="S10" s="40"/>
      <c r="T10" s="40"/>
      <c r="U10" s="40"/>
      <c r="V10" s="40"/>
      <c r="W10" s="40"/>
      <c r="X10" s="40">
        <f t="shared" si="0"/>
        <v>7.8608333333333329</v>
      </c>
      <c r="Y10" s="40">
        <f t="shared" si="1"/>
        <v>4.3167253125769349</v>
      </c>
      <c r="Z10" s="40">
        <f t="shared" si="2"/>
        <v>3.544108020756398</v>
      </c>
      <c r="AA10" s="40">
        <f t="shared" si="3"/>
        <v>12.177558645910267</v>
      </c>
      <c r="AB10" s="40">
        <f t="shared" si="4"/>
        <v>8.475714285714286</v>
      </c>
      <c r="AC10" s="40">
        <f>MEDIAN(E10,F10,G10,I10,L10,M10,O10)</f>
        <v>8.6</v>
      </c>
      <c r="AD10" s="40">
        <f>_xlfn.STDEV.S(E10,F10,G10,I10,L10,M10,O10)</f>
        <v>2.0101231897809702</v>
      </c>
      <c r="AE10" s="41">
        <f t="shared" si="5"/>
        <v>0.23716268883308261</v>
      </c>
      <c r="AF10" s="40" t="str">
        <f t="shared" si="6"/>
        <v>Média</v>
      </c>
      <c r="AG10" s="50">
        <f t="shared" si="7"/>
        <v>8.475714285714286</v>
      </c>
      <c r="AH10" s="40">
        <f t="shared" si="8"/>
        <v>67.805714285714288</v>
      </c>
      <c r="AJ10" s="42">
        <f t="shared" si="9"/>
        <v>12</v>
      </c>
      <c r="AK10" s="42">
        <f t="shared" si="10"/>
        <v>7</v>
      </c>
    </row>
    <row r="11" spans="2:40" ht="30" customHeight="1" x14ac:dyDescent="0.25"/>
    <row r="12" spans="2:40" ht="30" customHeight="1" x14ac:dyDescent="0.25">
      <c r="B12" s="51" t="s">
        <v>243</v>
      </c>
      <c r="C12" s="52"/>
      <c r="D12" s="54"/>
    </row>
    <row r="13" spans="2:40" ht="20.100000000000001" customHeight="1" x14ac:dyDescent="0.25">
      <c r="B13" s="55" t="s">
        <v>244</v>
      </c>
      <c r="C13" s="56">
        <f>SUM(AH4:AH10)</f>
        <v>1313.7323809523809</v>
      </c>
      <c r="D13" s="57"/>
    </row>
    <row r="14" spans="2:40" ht="20.100000000000001" customHeight="1" x14ac:dyDescent="0.25">
      <c r="B14" s="55" t="s">
        <v>245</v>
      </c>
      <c r="C14" s="56">
        <f>C13/12</f>
        <v>109.47769841269842</v>
      </c>
      <c r="D14" s="57"/>
    </row>
  </sheetData>
  <phoneticPr fontId="6" type="noConversion"/>
  <conditionalFormatting sqref="E4:W4">
    <cfRule type="cellIs" dxfId="131" priority="61" operator="notBetween">
      <formula>$Z$4</formula>
      <formula>$AA$4</formula>
    </cfRule>
    <cfRule type="cellIs" dxfId="130" priority="62" operator="between">
      <formula>$Z$4</formula>
      <formula>$AA$4</formula>
    </cfRule>
  </conditionalFormatting>
  <conditionalFormatting sqref="E5:W5">
    <cfRule type="cellIs" dxfId="129" priority="59" operator="notBetween">
      <formula>$Z$5</formula>
      <formula>$AA$5</formula>
    </cfRule>
    <cfRule type="cellIs" dxfId="128" priority="60" operator="between">
      <formula>$Z$5</formula>
      <formula>$AA$5</formula>
    </cfRule>
  </conditionalFormatting>
  <conditionalFormatting sqref="E6:W6">
    <cfRule type="cellIs" dxfId="127" priority="57" operator="notBetween">
      <formula>$Z$6</formula>
      <formula>$AA$6</formula>
    </cfRule>
    <cfRule type="cellIs" dxfId="126" priority="58" operator="between">
      <formula>$Z$6</formula>
      <formula>$AA$6</formula>
    </cfRule>
  </conditionalFormatting>
  <conditionalFormatting sqref="E7:W7">
    <cfRule type="cellIs" dxfId="125" priority="55" operator="notBetween">
      <formula>$Z$7</formula>
      <formula>$AA$7</formula>
    </cfRule>
    <cfRule type="cellIs" dxfId="124" priority="56" operator="between">
      <formula>$Z$7</formula>
      <formula>$AA$7</formula>
    </cfRule>
  </conditionalFormatting>
  <conditionalFormatting sqref="E8:W8">
    <cfRule type="cellIs" dxfId="123" priority="11" operator="notBetween">
      <formula>$Z$8</formula>
      <formula>$AA$8</formula>
    </cfRule>
    <cfRule type="cellIs" dxfId="122" priority="12" operator="between">
      <formula>$Z$8</formula>
      <formula>$AA$8</formula>
    </cfRule>
  </conditionalFormatting>
  <conditionalFormatting sqref="E9:W9">
    <cfRule type="cellIs" dxfId="121" priority="9" operator="between">
      <formula>$Z$9</formula>
      <formula>$AA$9</formula>
    </cfRule>
    <cfRule type="cellIs" dxfId="120" priority="10" operator="notBetween">
      <formula>$Z$9</formula>
      <formula>$AA$9</formula>
    </cfRule>
  </conditionalFormatting>
  <conditionalFormatting sqref="E10:W10">
    <cfRule type="cellIs" dxfId="119" priority="51" operator="notBetween">
      <formula>$Z$10</formula>
      <formula>$AA$10</formula>
    </cfRule>
    <cfRule type="cellIs" dxfId="118" priority="52" operator="between">
      <formula>$Z$10</formula>
      <formula>$AA$10</formula>
    </cfRule>
  </conditionalFormatting>
  <conditionalFormatting sqref="AK4:AK10">
    <cfRule type="cellIs" dxfId="117" priority="63" operator="lessThan">
      <formula>3</formula>
    </cfRule>
    <cfRule type="cellIs" dxfId="116" priority="64" operator="greaterThanOrEqual">
      <formula>3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1F04-DDD3-4DF9-98F9-53A18B4C3C9E}">
  <dimension ref="B2:AP26"/>
  <sheetViews>
    <sheetView showGridLines="0" tabSelected="1" topLeftCell="A14" zoomScaleNormal="100" workbookViewId="0">
      <selection activeCell="C27" sqref="C27"/>
    </sheetView>
  </sheetViews>
  <sheetFormatPr defaultRowHeight="15" x14ac:dyDescent="0.25"/>
  <cols>
    <col min="1" max="1" width="5.42578125" customWidth="1"/>
    <col min="2" max="2" width="63" customWidth="1"/>
    <col min="3" max="4" width="13.7109375" customWidth="1"/>
    <col min="5" max="36" width="14.140625" customWidth="1"/>
    <col min="37" max="37" width="13.7109375" customWidth="1"/>
    <col min="38" max="39" width="14.140625" customWidth="1"/>
    <col min="40" max="40" width="8.5703125" customWidth="1"/>
    <col min="41" max="41" width="13.7109375" customWidth="1"/>
    <col min="42" max="42" width="17.7109375" customWidth="1"/>
    <col min="43" max="43" width="13.7109375" customWidth="1"/>
    <col min="44" max="44" width="17.7109375" customWidth="1"/>
    <col min="45" max="51" width="8.7109375" customWidth="1"/>
    <col min="53" max="1047" width="8.7109375" customWidth="1"/>
  </cols>
  <sheetData>
    <row r="2" spans="2:42" ht="24" customHeight="1" x14ac:dyDescent="0.25">
      <c r="B2" s="29" t="s">
        <v>193</v>
      </c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L2" s="30"/>
      <c r="AM2" s="30"/>
    </row>
    <row r="3" spans="2:42" ht="60" customHeight="1" x14ac:dyDescent="0.25">
      <c r="B3" s="1" t="s">
        <v>124</v>
      </c>
      <c r="C3" s="35" t="s">
        <v>125</v>
      </c>
      <c r="D3" s="1" t="s">
        <v>123</v>
      </c>
      <c r="E3" s="1" t="s">
        <v>128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  <c r="U3" s="1" t="s">
        <v>157</v>
      </c>
      <c r="V3" s="1" t="s">
        <v>158</v>
      </c>
      <c r="W3" s="1" t="s">
        <v>159</v>
      </c>
      <c r="X3" s="1" t="s">
        <v>160</v>
      </c>
      <c r="Y3" s="1" t="s">
        <v>161</v>
      </c>
      <c r="Z3" s="35" t="s">
        <v>140</v>
      </c>
      <c r="AA3" s="35" t="s">
        <v>141</v>
      </c>
      <c r="AB3" s="35" t="s">
        <v>129</v>
      </c>
      <c r="AC3" s="35" t="s">
        <v>130</v>
      </c>
      <c r="AD3" s="35" t="s">
        <v>131</v>
      </c>
      <c r="AE3" s="35" t="s">
        <v>132</v>
      </c>
      <c r="AF3" s="35" t="s">
        <v>133</v>
      </c>
      <c r="AG3" s="35" t="s">
        <v>134</v>
      </c>
      <c r="AH3" s="35" t="s">
        <v>135</v>
      </c>
      <c r="AI3" s="35" t="s">
        <v>136</v>
      </c>
      <c r="AJ3" s="35" t="s">
        <v>137</v>
      </c>
      <c r="AL3" s="35" t="s">
        <v>138</v>
      </c>
      <c r="AM3" s="35" t="s">
        <v>139</v>
      </c>
    </row>
    <row r="4" spans="2:42" ht="30" customHeight="1" x14ac:dyDescent="0.25">
      <c r="B4" s="31" t="s">
        <v>176</v>
      </c>
      <c r="C4" s="37" t="s">
        <v>125</v>
      </c>
      <c r="D4" s="34">
        <v>8</v>
      </c>
      <c r="E4" s="33"/>
      <c r="F4" s="33"/>
      <c r="G4" s="33"/>
      <c r="H4" s="33"/>
      <c r="I4" s="33"/>
      <c r="J4" s="33"/>
      <c r="K4" s="33"/>
      <c r="L4" s="33">
        <v>9.61</v>
      </c>
      <c r="M4" s="40"/>
      <c r="N4" s="40"/>
      <c r="O4" s="40">
        <v>4.7</v>
      </c>
      <c r="P4" s="40">
        <v>1.5</v>
      </c>
      <c r="Q4" s="40">
        <f>(35.92+3.9)/8</f>
        <v>4.9775</v>
      </c>
      <c r="R4" s="40">
        <f>(40.4+13.7)/8</f>
        <v>6.7624999999999993</v>
      </c>
      <c r="S4" s="40"/>
      <c r="T4" s="40"/>
      <c r="U4" s="40"/>
      <c r="V4" s="40"/>
      <c r="W4" s="40"/>
      <c r="X4" s="40"/>
      <c r="Y4" s="40"/>
      <c r="Z4" s="40">
        <f>AVERAGE(E4:Y4)</f>
        <v>5.51</v>
      </c>
      <c r="AA4" s="40">
        <f>_xlfn.STDEV.S(E4:Y4)</f>
        <v>2.9748324532652259</v>
      </c>
      <c r="AB4" s="40">
        <f>Z4-AA4</f>
        <v>2.5351675467347738</v>
      </c>
      <c r="AC4" s="40">
        <f>Z4+AA4</f>
        <v>8.4848324532652253</v>
      </c>
      <c r="AD4" s="40">
        <f>AVERAGEIFS(E4:Y4,E4:Y4,"&gt;="&amp;AB4,E4:Y4,"&lt;="&amp;AC4)</f>
        <v>5.4799999999999995</v>
      </c>
      <c r="AE4" s="40">
        <f>MEDIAN(R4,Q4,O4)</f>
        <v>4.9775</v>
      </c>
      <c r="AF4" s="40">
        <f>_xlfn.STDEV.S(R4,Q4,O4)</f>
        <v>1.1193106137261519</v>
      </c>
      <c r="AG4" s="41">
        <f t="shared" ref="AG4:AG5" si="0">AF4/AD4</f>
        <v>0.20425376162885986</v>
      </c>
      <c r="AH4" s="40" t="str">
        <f>IF(AG4&gt;=25%,"Mediana","Média")</f>
        <v>Média</v>
      </c>
      <c r="AI4" s="50">
        <f>IF(AH4="Mediana",AE4,AD4)</f>
        <v>5.4799999999999995</v>
      </c>
      <c r="AJ4" s="40">
        <f>D4*AI4</f>
        <v>43.839999999999996</v>
      </c>
      <c r="AL4" s="42">
        <f>COUNTA(E4:Y4)</f>
        <v>5</v>
      </c>
      <c r="AM4" s="42">
        <f>COUNTIFS(E4:Y4,"&gt;="&amp;AB4,E4:Y4,"&lt;="&amp;AC4)</f>
        <v>3</v>
      </c>
      <c r="AO4">
        <f>COUNTA(AM4:AM20)</f>
        <v>17</v>
      </c>
      <c r="AP4" t="s">
        <v>162</v>
      </c>
    </row>
    <row r="5" spans="2:42" ht="30" customHeight="1" x14ac:dyDescent="0.25">
      <c r="B5" s="31" t="s">
        <v>177</v>
      </c>
      <c r="C5" s="37" t="s">
        <v>125</v>
      </c>
      <c r="D5" s="34">
        <v>8</v>
      </c>
      <c r="E5" s="33"/>
      <c r="F5" s="33">
        <v>5</v>
      </c>
      <c r="G5" s="33">
        <v>5.36</v>
      </c>
      <c r="H5" s="33">
        <v>7.18</v>
      </c>
      <c r="I5" s="33"/>
      <c r="J5" s="33">
        <v>2.84</v>
      </c>
      <c r="K5" s="33"/>
      <c r="L5" s="33">
        <v>8.6199999999999992</v>
      </c>
      <c r="M5" s="40"/>
      <c r="N5" s="40">
        <v>3.73</v>
      </c>
      <c r="O5" s="40">
        <v>11</v>
      </c>
      <c r="P5" s="40">
        <v>4.62</v>
      </c>
      <c r="Q5" s="40"/>
      <c r="R5" s="40"/>
      <c r="S5" s="40"/>
      <c r="T5" s="40"/>
      <c r="U5" s="40"/>
      <c r="V5" s="40"/>
      <c r="W5" s="40"/>
      <c r="X5" s="40"/>
      <c r="Y5" s="40"/>
      <c r="Z5" s="40">
        <f t="shared" ref="Z5:Z17" si="1">AVERAGE(E5:Y5)</f>
        <v>6.0437499999999993</v>
      </c>
      <c r="AA5" s="40">
        <f t="shared" ref="AA5:AA17" si="2">_xlfn.STDEV.S(E5:Y5)</f>
        <v>2.7175090353378519</v>
      </c>
      <c r="AB5" s="40">
        <f t="shared" ref="AB5:AB17" si="3">Z5-AA5</f>
        <v>3.3262409646621474</v>
      </c>
      <c r="AC5" s="40">
        <f t="shared" ref="AC5:AC17" si="4">Z5+AA5</f>
        <v>8.7612590353378508</v>
      </c>
      <c r="AD5" s="40">
        <f t="shared" ref="AD5:AD17" si="5">AVERAGEIFS(E5:Y5,E5:Y5,"&gt;="&amp;AB5,E5:Y5,"&lt;="&amp;AC5)</f>
        <v>5.751666666666666</v>
      </c>
      <c r="AE5" s="40">
        <f>MEDIAN(P5,N5,L5,H5,G5,F5)</f>
        <v>5.18</v>
      </c>
      <c r="AF5" s="40">
        <f>_xlfn.STDEV.S(P5,N5,L5,H5,G5,F5)</f>
        <v>1.8085178093307985</v>
      </c>
      <c r="AG5" s="41">
        <f t="shared" si="0"/>
        <v>0.31443369620355816</v>
      </c>
      <c r="AH5" s="40" t="str">
        <f t="shared" ref="AH5:AH17" si="6">IF(AG5&gt;=25%,"Mediana","Média")</f>
        <v>Mediana</v>
      </c>
      <c r="AI5" s="50">
        <f t="shared" ref="AI5:AI17" si="7">IF(AH5="Mediana",AE5,AD5)</f>
        <v>5.18</v>
      </c>
      <c r="AJ5" s="40">
        <f t="shared" ref="AJ5:AJ17" si="8">D5*AI5</f>
        <v>41.44</v>
      </c>
      <c r="AL5" s="42">
        <f t="shared" ref="AL5:AL17" si="9">COUNTA(E5:Y5)</f>
        <v>8</v>
      </c>
      <c r="AM5" s="42">
        <f t="shared" ref="AM5:AM17" si="10">COUNTIFS(E5:Y5,"&gt;="&amp;AB5,E5:Y5,"&lt;="&amp;AC5)</f>
        <v>6</v>
      </c>
      <c r="AO5">
        <f>COUNTIF(AM4:AM20,"&gt;="&amp;3)</f>
        <v>17</v>
      </c>
      <c r="AP5" t="s">
        <v>163</v>
      </c>
    </row>
    <row r="6" spans="2:42" ht="30" customHeight="1" x14ac:dyDescent="0.25">
      <c r="B6" s="31" t="s">
        <v>178</v>
      </c>
      <c r="C6" s="37" t="s">
        <v>125</v>
      </c>
      <c r="D6" s="34">
        <v>8</v>
      </c>
      <c r="E6" s="33"/>
      <c r="F6" s="33"/>
      <c r="G6" s="33"/>
      <c r="H6" s="33"/>
      <c r="I6" s="33"/>
      <c r="J6" s="33"/>
      <c r="K6" s="33">
        <v>7.45</v>
      </c>
      <c r="L6" s="33">
        <v>13.83</v>
      </c>
      <c r="M6" s="40"/>
      <c r="N6" s="40"/>
      <c r="O6" s="40">
        <v>16.3</v>
      </c>
      <c r="P6" s="40">
        <f>4.5*5</f>
        <v>22.5</v>
      </c>
      <c r="Q6" s="40">
        <f>(151.2+14.9)/8</f>
        <v>20.762499999999999</v>
      </c>
      <c r="R6" s="40">
        <f>(151.92+39.92)/8</f>
        <v>23.979999999999997</v>
      </c>
      <c r="S6" s="40"/>
      <c r="T6" s="40"/>
      <c r="U6" s="40"/>
      <c r="V6" s="40"/>
      <c r="W6" s="40"/>
      <c r="X6" s="40"/>
      <c r="Y6" s="40"/>
      <c r="Z6" s="40">
        <f t="shared" si="1"/>
        <v>17.470416666666665</v>
      </c>
      <c r="AA6" s="40">
        <f t="shared" si="2"/>
        <v>6.2215826798063762</v>
      </c>
      <c r="AB6" s="40">
        <f t="shared" si="3"/>
        <v>11.248833986860289</v>
      </c>
      <c r="AC6" s="40">
        <f t="shared" si="4"/>
        <v>23.69199934647304</v>
      </c>
      <c r="AD6" s="40">
        <f t="shared" si="5"/>
        <v>18.348125</v>
      </c>
      <c r="AE6" s="40">
        <f>MEDIAN(Q6,P6,O6,L6)</f>
        <v>18.53125</v>
      </c>
      <c r="AF6" s="40">
        <f>_xlfn.STDEV.S(Q6,P6,O6,L6)</f>
        <v>3.9864580012629429</v>
      </c>
      <c r="AG6" s="41">
        <f>AF6/AD6</f>
        <v>0.2172678680389927</v>
      </c>
      <c r="AH6" s="40" t="str">
        <f t="shared" si="6"/>
        <v>Média</v>
      </c>
      <c r="AI6" s="50">
        <f t="shared" si="7"/>
        <v>18.348125</v>
      </c>
      <c r="AJ6" s="40">
        <f t="shared" si="8"/>
        <v>146.785</v>
      </c>
      <c r="AL6" s="42">
        <f t="shared" si="9"/>
        <v>6</v>
      </c>
      <c r="AM6" s="42">
        <f t="shared" si="10"/>
        <v>4</v>
      </c>
      <c r="AO6">
        <f>COUNTIF(AM4:AM20,"&lt;"&amp;3)</f>
        <v>0</v>
      </c>
      <c r="AP6" t="s">
        <v>164</v>
      </c>
    </row>
    <row r="7" spans="2:42" ht="30" customHeight="1" x14ac:dyDescent="0.25">
      <c r="B7" s="31" t="s">
        <v>179</v>
      </c>
      <c r="C7" s="37" t="s">
        <v>125</v>
      </c>
      <c r="D7" s="34">
        <v>20</v>
      </c>
      <c r="E7" s="33"/>
      <c r="F7" s="33"/>
      <c r="G7" s="33">
        <v>0.43</v>
      </c>
      <c r="H7" s="33">
        <v>0.25</v>
      </c>
      <c r="I7" s="33"/>
      <c r="J7" s="33"/>
      <c r="K7" s="33"/>
      <c r="L7" s="33">
        <v>1.8</v>
      </c>
      <c r="M7" s="40"/>
      <c r="N7" s="40">
        <f>4.69/12</f>
        <v>0.39083333333333337</v>
      </c>
      <c r="O7" s="40">
        <v>5.65</v>
      </c>
      <c r="P7" s="40">
        <v>1.22</v>
      </c>
      <c r="Q7" s="40"/>
      <c r="R7" s="40"/>
      <c r="S7" s="40"/>
      <c r="T7" s="40"/>
      <c r="U7" s="40"/>
      <c r="V7" s="40"/>
      <c r="W7" s="40"/>
      <c r="X7" s="40"/>
      <c r="Y7" s="40"/>
      <c r="Z7" s="40">
        <f t="shared" si="1"/>
        <v>1.6234722222222224</v>
      </c>
      <c r="AA7" s="40">
        <f t="shared" si="2"/>
        <v>2.0609259257179278</v>
      </c>
      <c r="AB7" s="40">
        <f t="shared" si="3"/>
        <v>-0.43745370349570534</v>
      </c>
      <c r="AC7" s="40">
        <f t="shared" si="4"/>
        <v>3.6843981479401502</v>
      </c>
      <c r="AD7" s="40">
        <f t="shared" si="5"/>
        <v>0.81816666666666671</v>
      </c>
      <c r="AE7" s="40">
        <f>MEDIAN(P7,N7,L7,H7,G7)</f>
        <v>0.43</v>
      </c>
      <c r="AF7" s="40">
        <f>_xlfn.STDEV.S(P7,N7,L7,H7,G7)</f>
        <v>0.66737680927310894</v>
      </c>
      <c r="AG7" s="41">
        <f t="shared" ref="AG7:AG20" si="11">AF7/AD7</f>
        <v>0.81569787240551095</v>
      </c>
      <c r="AH7" s="40" t="str">
        <f t="shared" si="6"/>
        <v>Mediana</v>
      </c>
      <c r="AI7" s="50">
        <f t="shared" si="7"/>
        <v>0.43</v>
      </c>
      <c r="AJ7" s="40">
        <f t="shared" si="8"/>
        <v>8.6</v>
      </c>
      <c r="AL7" s="42">
        <f t="shared" si="9"/>
        <v>6</v>
      </c>
      <c r="AM7" s="42">
        <f t="shared" si="10"/>
        <v>5</v>
      </c>
    </row>
    <row r="8" spans="2:42" ht="30" customHeight="1" x14ac:dyDescent="0.25">
      <c r="B8" s="31" t="s">
        <v>180</v>
      </c>
      <c r="C8" s="37" t="s">
        <v>125</v>
      </c>
      <c r="D8" s="34">
        <v>20</v>
      </c>
      <c r="E8" s="33"/>
      <c r="F8" s="33">
        <v>3.5</v>
      </c>
      <c r="G8" s="33">
        <v>0.72</v>
      </c>
      <c r="H8" s="33">
        <v>0.25</v>
      </c>
      <c r="I8" s="33"/>
      <c r="J8" s="33">
        <v>0.86</v>
      </c>
      <c r="K8" s="33"/>
      <c r="L8" s="33">
        <v>1.8</v>
      </c>
      <c r="M8" s="40"/>
      <c r="N8" s="40">
        <f>9.09/12</f>
        <v>0.75749999999999995</v>
      </c>
      <c r="O8" s="40">
        <v>5.65</v>
      </c>
      <c r="P8" s="40">
        <v>1.98</v>
      </c>
      <c r="Q8" s="40"/>
      <c r="R8" s="40"/>
      <c r="S8" s="40"/>
      <c r="T8" s="40"/>
      <c r="U8" s="40"/>
      <c r="V8" s="40"/>
      <c r="W8" s="40"/>
      <c r="X8" s="40"/>
      <c r="Y8" s="40"/>
      <c r="Z8" s="40">
        <f t="shared" si="1"/>
        <v>1.9396875000000002</v>
      </c>
      <c r="AA8" s="40">
        <f t="shared" si="2"/>
        <v>1.8176949873299109</v>
      </c>
      <c r="AB8" s="40">
        <f t="shared" si="3"/>
        <v>0.12199251267008937</v>
      </c>
      <c r="AC8" s="40">
        <f t="shared" si="4"/>
        <v>3.7573824873299113</v>
      </c>
      <c r="AD8" s="40">
        <f t="shared" si="5"/>
        <v>1.4096428571428572</v>
      </c>
      <c r="AE8" s="40">
        <f>MEDIAN(P8,N8,L8,J8,H8,G8,F8)</f>
        <v>0.86</v>
      </c>
      <c r="AF8" s="40">
        <f>_xlfn.STDEV.S(P8,N8,L8,J8,H8,G8,F8)</f>
        <v>1.1101843208181585</v>
      </c>
      <c r="AG8" s="41">
        <f t="shared" si="11"/>
        <v>0.78756425089709747</v>
      </c>
      <c r="AH8" s="40" t="str">
        <f t="shared" si="6"/>
        <v>Mediana</v>
      </c>
      <c r="AI8" s="50">
        <f t="shared" si="7"/>
        <v>0.86</v>
      </c>
      <c r="AJ8" s="40">
        <f t="shared" si="8"/>
        <v>17.2</v>
      </c>
      <c r="AL8" s="42">
        <f t="shared" si="9"/>
        <v>8</v>
      </c>
      <c r="AM8" s="42">
        <f t="shared" si="10"/>
        <v>7</v>
      </c>
    </row>
    <row r="9" spans="2:42" ht="30" customHeight="1" x14ac:dyDescent="0.25">
      <c r="B9" s="32" t="s">
        <v>181</v>
      </c>
      <c r="C9" s="38" t="s">
        <v>125</v>
      </c>
      <c r="D9" s="34">
        <v>40</v>
      </c>
      <c r="E9" s="33"/>
      <c r="F9" s="33">
        <v>3.5</v>
      </c>
      <c r="G9" s="33">
        <v>1.1599999999999999</v>
      </c>
      <c r="H9" s="33">
        <v>0.25</v>
      </c>
      <c r="I9" s="33">
        <v>1.31</v>
      </c>
      <c r="J9" s="33">
        <v>1.04</v>
      </c>
      <c r="K9" s="33">
        <v>12</v>
      </c>
      <c r="L9" s="33">
        <v>3.89</v>
      </c>
      <c r="M9" s="40">
        <v>1.75</v>
      </c>
      <c r="N9" s="40">
        <f>15.31/12</f>
        <v>1.2758333333333334</v>
      </c>
      <c r="O9" s="40">
        <v>5.65</v>
      </c>
      <c r="P9" s="40">
        <v>2.5</v>
      </c>
      <c r="Q9" s="40"/>
      <c r="R9" s="40"/>
      <c r="S9" s="40"/>
      <c r="T9" s="40"/>
      <c r="U9" s="40"/>
      <c r="V9" s="40"/>
      <c r="W9" s="40"/>
      <c r="X9" s="40"/>
      <c r="Y9" s="40"/>
      <c r="Z9" s="40">
        <f t="shared" si="1"/>
        <v>3.1205303030303031</v>
      </c>
      <c r="AA9" s="40">
        <f t="shared" si="2"/>
        <v>3.3367026778094888</v>
      </c>
      <c r="AB9" s="40">
        <f t="shared" si="3"/>
        <v>-0.21617237477918572</v>
      </c>
      <c r="AC9" s="40">
        <f t="shared" si="4"/>
        <v>6.4572329808397919</v>
      </c>
      <c r="AD9" s="40">
        <f t="shared" si="5"/>
        <v>2.2325833333333334</v>
      </c>
      <c r="AE9" s="40">
        <f>MEDIAN(P9,O9,N9,M9,L9,J9,I9,H9,G9,F9)</f>
        <v>1.53</v>
      </c>
      <c r="AF9" s="40">
        <f>_xlfn.STDEV.S(P9,O9,N9,M9,L9,J9,I9,H9,G9,F9)</f>
        <v>1.6534935168258706</v>
      </c>
      <c r="AG9" s="41">
        <f t="shared" si="11"/>
        <v>0.7406189467325015</v>
      </c>
      <c r="AH9" s="40" t="str">
        <f t="shared" si="6"/>
        <v>Mediana</v>
      </c>
      <c r="AI9" s="50">
        <f t="shared" si="7"/>
        <v>1.53</v>
      </c>
      <c r="AJ9" s="40">
        <f t="shared" si="8"/>
        <v>61.2</v>
      </c>
      <c r="AL9" s="42">
        <f t="shared" si="9"/>
        <v>11</v>
      </c>
      <c r="AM9" s="42">
        <f t="shared" si="10"/>
        <v>10</v>
      </c>
    </row>
    <row r="10" spans="2:42" ht="30" customHeight="1" x14ac:dyDescent="0.25">
      <c r="B10" s="32" t="s">
        <v>182</v>
      </c>
      <c r="C10" s="38" t="s">
        <v>125</v>
      </c>
      <c r="D10" s="34">
        <v>20</v>
      </c>
      <c r="E10" s="33">
        <v>9</v>
      </c>
      <c r="F10" s="33">
        <v>12</v>
      </c>
      <c r="G10" s="33"/>
      <c r="H10" s="33"/>
      <c r="I10" s="33">
        <v>5.64</v>
      </c>
      <c r="J10" s="33"/>
      <c r="K10" s="33">
        <v>19.3</v>
      </c>
      <c r="L10" s="33">
        <v>10.11</v>
      </c>
      <c r="M10" s="40">
        <v>15.9</v>
      </c>
      <c r="N10" s="40"/>
      <c r="O10" s="40">
        <v>6.5</v>
      </c>
      <c r="P10" s="40">
        <v>7</v>
      </c>
      <c r="Q10" s="40"/>
      <c r="R10" s="40"/>
      <c r="S10" s="40"/>
      <c r="T10" s="40"/>
      <c r="U10" s="40"/>
      <c r="V10" s="40"/>
      <c r="W10" s="40"/>
      <c r="X10" s="40"/>
      <c r="Y10" s="40"/>
      <c r="Z10" s="40">
        <f t="shared" si="1"/>
        <v>10.68125</v>
      </c>
      <c r="AA10" s="40">
        <f t="shared" si="2"/>
        <v>4.823438126185807</v>
      </c>
      <c r="AB10" s="40">
        <f t="shared" si="3"/>
        <v>5.8578118738141933</v>
      </c>
      <c r="AC10" s="40">
        <f t="shared" si="4"/>
        <v>15.504688126185808</v>
      </c>
      <c r="AD10" s="40">
        <f t="shared" si="5"/>
        <v>8.9220000000000006</v>
      </c>
      <c r="AE10" s="40">
        <f>MEDIAN(P10,O10,L10,F10,E10)</f>
        <v>9</v>
      </c>
      <c r="AF10" s="40">
        <f>_xlfn.STDEV.S(P10,O10,L10,F10,E10)</f>
        <v>2.2611766848258457</v>
      </c>
      <c r="AG10" s="41">
        <f t="shared" si="11"/>
        <v>0.25343831930350208</v>
      </c>
      <c r="AH10" s="40" t="str">
        <f t="shared" si="6"/>
        <v>Mediana</v>
      </c>
      <c r="AI10" s="50">
        <f t="shared" si="7"/>
        <v>9</v>
      </c>
      <c r="AJ10" s="40">
        <f t="shared" si="8"/>
        <v>180</v>
      </c>
      <c r="AL10" s="42">
        <f t="shared" si="9"/>
        <v>8</v>
      </c>
      <c r="AM10" s="42">
        <f t="shared" si="10"/>
        <v>5</v>
      </c>
    </row>
    <row r="11" spans="2:42" ht="30" customHeight="1" x14ac:dyDescent="0.25">
      <c r="B11" s="32" t="s">
        <v>183</v>
      </c>
      <c r="C11" s="38" t="s">
        <v>125</v>
      </c>
      <c r="D11" s="34">
        <v>400</v>
      </c>
      <c r="E11" s="33"/>
      <c r="F11" s="33">
        <v>1.5</v>
      </c>
      <c r="G11" s="33"/>
      <c r="H11" s="33">
        <v>0.25</v>
      </c>
      <c r="I11" s="33">
        <v>0.33</v>
      </c>
      <c r="J11" s="33"/>
      <c r="K11" s="33">
        <f>12/10</f>
        <v>1.2</v>
      </c>
      <c r="L11" s="33">
        <v>0.76</v>
      </c>
      <c r="M11" s="40">
        <f>13.72/10</f>
        <v>1.3720000000000001</v>
      </c>
      <c r="N11" s="40">
        <v>0.5</v>
      </c>
      <c r="O11" s="40">
        <v>4.3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>
        <f t="shared" si="1"/>
        <v>1.2765</v>
      </c>
      <c r="AA11" s="40">
        <f t="shared" si="2"/>
        <v>1.3107122382233909</v>
      </c>
      <c r="AB11" s="40">
        <f t="shared" si="3"/>
        <v>-3.4212238223390923E-2</v>
      </c>
      <c r="AC11" s="40">
        <f t="shared" si="4"/>
        <v>2.5872122382233909</v>
      </c>
      <c r="AD11" s="40">
        <f t="shared" si="5"/>
        <v>0.84457142857142853</v>
      </c>
      <c r="AE11" s="40">
        <f>MEDIAN(N11,M11,L11,K11,I11,H11,F11)</f>
        <v>0.76</v>
      </c>
      <c r="AF11" s="40">
        <f>_xlfn.STDEV.S(N11,M11,L11,K11,I11,H11,F11)</f>
        <v>0.5128803814870343</v>
      </c>
      <c r="AG11" s="41">
        <f t="shared" si="11"/>
        <v>0.60726702814770639</v>
      </c>
      <c r="AH11" s="40" t="str">
        <f t="shared" si="6"/>
        <v>Mediana</v>
      </c>
      <c r="AI11" s="50">
        <f t="shared" si="7"/>
        <v>0.76</v>
      </c>
      <c r="AJ11" s="40">
        <f t="shared" si="8"/>
        <v>304</v>
      </c>
      <c r="AL11" s="42">
        <f t="shared" si="9"/>
        <v>8</v>
      </c>
      <c r="AM11" s="42">
        <f t="shared" si="10"/>
        <v>7</v>
      </c>
    </row>
    <row r="12" spans="2:42" ht="30" customHeight="1" x14ac:dyDescent="0.25">
      <c r="B12" s="32" t="s">
        <v>184</v>
      </c>
      <c r="C12" s="38" t="s">
        <v>125</v>
      </c>
      <c r="D12" s="34">
        <v>20</v>
      </c>
      <c r="E12" s="33"/>
      <c r="F12" s="33">
        <v>2.5</v>
      </c>
      <c r="G12" s="33">
        <v>0.46</v>
      </c>
      <c r="H12" s="33">
        <v>0.17</v>
      </c>
      <c r="I12" s="33">
        <v>0.54</v>
      </c>
      <c r="J12" s="33">
        <v>0.03</v>
      </c>
      <c r="K12" s="33">
        <f>12/10</f>
        <v>1.2</v>
      </c>
      <c r="L12" s="33">
        <v>1.7</v>
      </c>
      <c r="M12" s="40">
        <v>1.4</v>
      </c>
      <c r="N12" s="40"/>
      <c r="O12" s="40">
        <v>4.3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>
        <f t="shared" si="1"/>
        <v>1.3666666666666667</v>
      </c>
      <c r="AA12" s="40">
        <f t="shared" si="2"/>
        <v>1.3579856405720936</v>
      </c>
      <c r="AB12" s="40">
        <f t="shared" si="3"/>
        <v>8.6810260945731077E-3</v>
      </c>
      <c r="AC12" s="40">
        <f t="shared" si="4"/>
        <v>2.7246523072387605</v>
      </c>
      <c r="AD12" s="40">
        <f t="shared" si="5"/>
        <v>1</v>
      </c>
      <c r="AE12" s="40">
        <f>MEDIAN(M12,L12,K12,J12,I12,H12,G12,F12)</f>
        <v>0.87</v>
      </c>
      <c r="AF12" s="40">
        <f>_xlfn.STDEV.S(M12,L12,K12,J12,I12,H12,G12,F12)</f>
        <v>0.85130152455771246</v>
      </c>
      <c r="AG12" s="41">
        <f t="shared" si="11"/>
        <v>0.85130152455771246</v>
      </c>
      <c r="AH12" s="40" t="str">
        <f t="shared" si="6"/>
        <v>Mediana</v>
      </c>
      <c r="AI12" s="50">
        <f t="shared" si="7"/>
        <v>0.87</v>
      </c>
      <c r="AJ12" s="40">
        <f t="shared" si="8"/>
        <v>17.399999999999999</v>
      </c>
      <c r="AL12" s="42">
        <f t="shared" si="9"/>
        <v>9</v>
      </c>
      <c r="AM12" s="42">
        <f t="shared" si="10"/>
        <v>8</v>
      </c>
    </row>
    <row r="13" spans="2:42" ht="30" customHeight="1" x14ac:dyDescent="0.25">
      <c r="B13" s="32" t="s">
        <v>185</v>
      </c>
      <c r="C13" s="38" t="s">
        <v>125</v>
      </c>
      <c r="D13" s="34">
        <v>4</v>
      </c>
      <c r="E13" s="33"/>
      <c r="F13" s="33">
        <v>3</v>
      </c>
      <c r="G13" s="33">
        <v>3.49</v>
      </c>
      <c r="H13" s="33"/>
      <c r="I13" s="33">
        <v>7.56</v>
      </c>
      <c r="J13" s="33">
        <v>3.25</v>
      </c>
      <c r="K13" s="33">
        <v>5</v>
      </c>
      <c r="L13" s="33">
        <v>13.04</v>
      </c>
      <c r="M13" s="40">
        <v>12</v>
      </c>
      <c r="N13" s="40">
        <v>4.47</v>
      </c>
      <c r="O13" s="40">
        <v>9.9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>
        <f t="shared" si="1"/>
        <v>6.8566666666666665</v>
      </c>
      <c r="AA13" s="40">
        <f t="shared" si="2"/>
        <v>3.9179682234546012</v>
      </c>
      <c r="AB13" s="40">
        <f t="shared" si="3"/>
        <v>2.9386984432120653</v>
      </c>
      <c r="AC13" s="40">
        <f t="shared" si="4"/>
        <v>10.774634890121268</v>
      </c>
      <c r="AD13" s="40">
        <f t="shared" si="5"/>
        <v>5.2385714285714284</v>
      </c>
      <c r="AE13" s="40">
        <f>MEDIAN(O13,N13,K13,J13,I13,G13,F13)</f>
        <v>4.47</v>
      </c>
      <c r="AF13" s="40">
        <f>_xlfn.STDEV.S(O13,N13,K13,J13,I13,G13,F13)</f>
        <v>2.5751597268999871</v>
      </c>
      <c r="AG13" s="41">
        <f t="shared" si="11"/>
        <v>0.49157671361603245</v>
      </c>
      <c r="AH13" s="40" t="str">
        <f t="shared" si="6"/>
        <v>Mediana</v>
      </c>
      <c r="AI13" s="50">
        <f t="shared" si="7"/>
        <v>4.47</v>
      </c>
      <c r="AJ13" s="40">
        <f t="shared" si="8"/>
        <v>17.88</v>
      </c>
      <c r="AL13" s="42">
        <f t="shared" si="9"/>
        <v>9</v>
      </c>
      <c r="AM13" s="42">
        <f t="shared" si="10"/>
        <v>7</v>
      </c>
    </row>
    <row r="14" spans="2:42" ht="30" customHeight="1" x14ac:dyDescent="0.25">
      <c r="B14" s="32" t="s">
        <v>186</v>
      </c>
      <c r="C14" s="38" t="s">
        <v>125</v>
      </c>
      <c r="D14" s="34">
        <v>8</v>
      </c>
      <c r="E14" s="33"/>
      <c r="F14" s="33"/>
      <c r="G14" s="33">
        <v>5.19</v>
      </c>
      <c r="H14" s="33">
        <v>0.21</v>
      </c>
      <c r="I14" s="33">
        <v>2.31</v>
      </c>
      <c r="J14" s="33">
        <v>2.76</v>
      </c>
      <c r="K14" s="33">
        <v>15.2</v>
      </c>
      <c r="L14" s="33"/>
      <c r="M14" s="40"/>
      <c r="N14" s="40">
        <v>6.48</v>
      </c>
      <c r="O14" s="40">
        <v>5.5</v>
      </c>
      <c r="P14" s="40">
        <v>5</v>
      </c>
      <c r="Q14" s="40"/>
      <c r="R14" s="40"/>
      <c r="S14" s="40"/>
      <c r="T14" s="40"/>
      <c r="U14" s="40"/>
      <c r="V14" s="40"/>
      <c r="W14" s="40"/>
      <c r="X14" s="40"/>
      <c r="Y14" s="40"/>
      <c r="Z14" s="40">
        <f t="shared" si="1"/>
        <v>5.3312500000000007</v>
      </c>
      <c r="AA14" s="40">
        <f t="shared" si="2"/>
        <v>4.4854763642544935</v>
      </c>
      <c r="AB14" s="40">
        <f t="shared" si="3"/>
        <v>0.84577363574550724</v>
      </c>
      <c r="AC14" s="40">
        <f t="shared" si="4"/>
        <v>9.8167263642544942</v>
      </c>
      <c r="AD14" s="40">
        <f t="shared" si="5"/>
        <v>4.54</v>
      </c>
      <c r="AE14" s="40">
        <f>MEDIAN(P14,O14,N14,J14,I14,G14)</f>
        <v>5.0950000000000006</v>
      </c>
      <c r="AF14" s="40">
        <f>_xlfn.STDEV.S(O13,N13,K13,J13,I13,G13,F13)</f>
        <v>2.5751597268999871</v>
      </c>
      <c r="AG14" s="41">
        <f t="shared" si="11"/>
        <v>0.56721579887664908</v>
      </c>
      <c r="AH14" s="40" t="str">
        <f t="shared" si="6"/>
        <v>Mediana</v>
      </c>
      <c r="AI14" s="50">
        <f t="shared" si="7"/>
        <v>5.0950000000000006</v>
      </c>
      <c r="AJ14" s="40">
        <f t="shared" si="8"/>
        <v>40.760000000000005</v>
      </c>
      <c r="AL14" s="42">
        <f t="shared" si="9"/>
        <v>8</v>
      </c>
      <c r="AM14" s="42">
        <f t="shared" si="10"/>
        <v>6</v>
      </c>
    </row>
    <row r="15" spans="2:42" ht="30" customHeight="1" x14ac:dyDescent="0.25">
      <c r="B15" s="32" t="s">
        <v>187</v>
      </c>
      <c r="C15" s="38" t="s">
        <v>125</v>
      </c>
      <c r="D15" s="34">
        <v>8</v>
      </c>
      <c r="E15" s="33"/>
      <c r="F15" s="33">
        <v>15</v>
      </c>
      <c r="G15" s="33">
        <v>7.67</v>
      </c>
      <c r="H15" s="33">
        <v>11.87</v>
      </c>
      <c r="I15" s="33"/>
      <c r="J15" s="33">
        <v>5.31</v>
      </c>
      <c r="K15" s="33">
        <v>12</v>
      </c>
      <c r="L15" s="33">
        <v>14.2</v>
      </c>
      <c r="M15" s="40"/>
      <c r="N15" s="40">
        <v>6.76</v>
      </c>
      <c r="O15" s="40">
        <v>25</v>
      </c>
      <c r="P15" s="40">
        <v>5</v>
      </c>
      <c r="Q15" s="40"/>
      <c r="R15" s="40"/>
      <c r="S15" s="40"/>
      <c r="T15" s="40"/>
      <c r="U15" s="40"/>
      <c r="V15" s="40"/>
      <c r="W15" s="40"/>
      <c r="X15" s="40"/>
      <c r="Y15" s="40"/>
      <c r="Z15" s="40">
        <f t="shared" si="1"/>
        <v>11.423333333333334</v>
      </c>
      <c r="AA15" s="40">
        <f t="shared" si="2"/>
        <v>6.3228415289330151</v>
      </c>
      <c r="AB15" s="40">
        <f t="shared" si="3"/>
        <v>5.1004918044003187</v>
      </c>
      <c r="AC15" s="40">
        <f t="shared" si="4"/>
        <v>17.746174862266351</v>
      </c>
      <c r="AD15" s="40">
        <f t="shared" si="5"/>
        <v>10.401428571428571</v>
      </c>
      <c r="AE15" s="40">
        <f>MEDIAN(N15,L15,K15,J15,H15,G15,F15)</f>
        <v>11.87</v>
      </c>
      <c r="AF15" s="40">
        <f>_xlfn.STDEV.S(N15,L15,K15,J15,H15,G15,F15)</f>
        <v>3.8063868632051729</v>
      </c>
      <c r="AG15" s="41">
        <f t="shared" si="11"/>
        <v>0.36594846919978313</v>
      </c>
      <c r="AH15" s="40" t="str">
        <f t="shared" si="6"/>
        <v>Mediana</v>
      </c>
      <c r="AI15" s="50">
        <f t="shared" si="7"/>
        <v>11.87</v>
      </c>
      <c r="AJ15" s="40">
        <f t="shared" si="8"/>
        <v>94.96</v>
      </c>
      <c r="AL15" s="42">
        <f t="shared" si="9"/>
        <v>9</v>
      </c>
      <c r="AM15" s="42">
        <f t="shared" si="10"/>
        <v>7</v>
      </c>
    </row>
    <row r="16" spans="2:42" ht="30" customHeight="1" x14ac:dyDescent="0.25">
      <c r="B16" s="32" t="s">
        <v>188</v>
      </c>
      <c r="C16" s="38" t="s">
        <v>125</v>
      </c>
      <c r="D16" s="34">
        <v>20</v>
      </c>
      <c r="E16" s="33"/>
      <c r="F16" s="33">
        <v>2.5</v>
      </c>
      <c r="G16" s="33">
        <v>3.07</v>
      </c>
      <c r="H16" s="33">
        <v>5</v>
      </c>
      <c r="I16" s="33">
        <v>4.7699999999999996</v>
      </c>
      <c r="J16" s="33"/>
      <c r="K16" s="33">
        <v>3.5</v>
      </c>
      <c r="L16" s="33">
        <v>12.09</v>
      </c>
      <c r="M16" s="40">
        <v>6.99</v>
      </c>
      <c r="N16" s="40">
        <v>2.25</v>
      </c>
      <c r="O16" s="40">
        <v>6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>
        <f t="shared" si="1"/>
        <v>5.13</v>
      </c>
      <c r="AA16" s="40">
        <f t="shared" si="2"/>
        <v>3.0601552248211203</v>
      </c>
      <c r="AB16" s="40">
        <f t="shared" si="3"/>
        <v>2.0698447751788795</v>
      </c>
      <c r="AC16" s="40">
        <f t="shared" si="4"/>
        <v>8.1901552248211207</v>
      </c>
      <c r="AD16" s="40">
        <f t="shared" si="5"/>
        <v>4.26</v>
      </c>
      <c r="AE16" s="40">
        <f>MEDIAN(F16,G16,H16,I16,K16,M16,N16,O16)</f>
        <v>4.1349999999999998</v>
      </c>
      <c r="AF16" s="40">
        <f>_xlfn.STDEV.S(F16,G16,H16,I16,K16,M16,N16,O16)</f>
        <v>1.7079478078342192</v>
      </c>
      <c r="AG16" s="41">
        <f t="shared" si="11"/>
        <v>0.40092671545404207</v>
      </c>
      <c r="AH16" s="40" t="str">
        <f t="shared" si="6"/>
        <v>Mediana</v>
      </c>
      <c r="AI16" s="50">
        <f t="shared" si="7"/>
        <v>4.1349999999999998</v>
      </c>
      <c r="AJ16" s="40">
        <f t="shared" si="8"/>
        <v>82.699999999999989</v>
      </c>
      <c r="AL16" s="42">
        <f t="shared" si="9"/>
        <v>9</v>
      </c>
      <c r="AM16" s="42">
        <f t="shared" si="10"/>
        <v>8</v>
      </c>
    </row>
    <row r="17" spans="2:39" ht="30" customHeight="1" x14ac:dyDescent="0.25">
      <c r="B17" s="32" t="s">
        <v>189</v>
      </c>
      <c r="C17" s="38" t="s">
        <v>234</v>
      </c>
      <c r="D17" s="34">
        <v>2</v>
      </c>
      <c r="E17" s="33"/>
      <c r="F17" s="33"/>
      <c r="G17" s="33">
        <v>16.77</v>
      </c>
      <c r="H17" s="33">
        <f>2*25.99</f>
        <v>51.98</v>
      </c>
      <c r="I17" s="33">
        <v>15.15</v>
      </c>
      <c r="J17" s="33">
        <v>8.0500000000000007</v>
      </c>
      <c r="K17" s="33">
        <f>31*2</f>
        <v>62</v>
      </c>
      <c r="L17" s="33">
        <v>24.85</v>
      </c>
      <c r="M17" s="40">
        <v>42.9</v>
      </c>
      <c r="N17" s="40"/>
      <c r="O17" s="40">
        <v>38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>
        <f t="shared" si="1"/>
        <v>32.462499999999999</v>
      </c>
      <c r="AA17" s="40">
        <f t="shared" si="2"/>
        <v>19.246148223178878</v>
      </c>
      <c r="AB17" s="40">
        <f t="shared" si="3"/>
        <v>13.216351776821121</v>
      </c>
      <c r="AC17" s="40">
        <f t="shared" si="4"/>
        <v>51.708648223178876</v>
      </c>
      <c r="AD17" s="40">
        <f t="shared" si="5"/>
        <v>27.534000000000002</v>
      </c>
      <c r="AE17" s="40">
        <f>MEDIAN(G17,I17,L17,M17,O17)</f>
        <v>24.85</v>
      </c>
      <c r="AF17" s="40">
        <f>_xlfn.STDEV.S(G17,I17,L17,M17,O17)</f>
        <v>12.470787064175211</v>
      </c>
      <c r="AG17" s="41">
        <f t="shared" si="11"/>
        <v>0.45292318821003885</v>
      </c>
      <c r="AH17" s="40" t="str">
        <f t="shared" si="6"/>
        <v>Mediana</v>
      </c>
      <c r="AI17" s="50">
        <f t="shared" si="7"/>
        <v>24.85</v>
      </c>
      <c r="AJ17" s="40">
        <f t="shared" si="8"/>
        <v>49.7</v>
      </c>
      <c r="AL17" s="42">
        <f t="shared" si="9"/>
        <v>8</v>
      </c>
      <c r="AM17" s="42">
        <f t="shared" si="10"/>
        <v>5</v>
      </c>
    </row>
    <row r="18" spans="2:39" ht="30" customHeight="1" x14ac:dyDescent="0.25">
      <c r="B18" s="31" t="s">
        <v>190</v>
      </c>
      <c r="C18" s="37" t="s">
        <v>234</v>
      </c>
      <c r="D18" s="34">
        <v>2</v>
      </c>
      <c r="E18" s="33"/>
      <c r="F18" s="33">
        <v>20</v>
      </c>
      <c r="G18" s="33">
        <v>6.34</v>
      </c>
      <c r="H18" s="33">
        <v>6.22</v>
      </c>
      <c r="I18" s="33">
        <v>6.18</v>
      </c>
      <c r="J18" s="33">
        <v>9.2100000000000009</v>
      </c>
      <c r="K18" s="33">
        <v>15</v>
      </c>
      <c r="L18" s="33">
        <v>8.17</v>
      </c>
      <c r="M18" s="40">
        <v>19.899999999999999</v>
      </c>
      <c r="N18" s="40"/>
      <c r="O18" s="40">
        <v>30</v>
      </c>
      <c r="P18" s="40">
        <v>25</v>
      </c>
      <c r="Q18" s="40"/>
      <c r="R18" s="40"/>
      <c r="S18" s="40"/>
      <c r="T18" s="40"/>
      <c r="U18" s="40"/>
      <c r="V18" s="40"/>
      <c r="W18" s="40"/>
      <c r="X18" s="40"/>
      <c r="Y18" s="40"/>
      <c r="Z18" s="40">
        <f>AVERAGE(E18:Y18)</f>
        <v>14.602</v>
      </c>
      <c r="AA18" s="40">
        <f>_xlfn.STDEV.S(E18:Y18)</f>
        <v>8.7080764555414589</v>
      </c>
      <c r="AB18" s="40">
        <f>Z18-AA18</f>
        <v>5.8939235444585414</v>
      </c>
      <c r="AC18" s="40">
        <f>Z18+AA18</f>
        <v>23.310076455541459</v>
      </c>
      <c r="AD18" s="40">
        <f>AVERAGEIFS(E18:Y18,E18:Y18,"&gt;="&amp;AB18,E18:Y18,"&lt;="&amp;AC18)</f>
        <v>11.377500000000001</v>
      </c>
      <c r="AE18" s="40">
        <f>MEDIAN(F18,G18,H18,I18,J18,K18,L18,M18)</f>
        <v>8.6900000000000013</v>
      </c>
      <c r="AF18" s="40">
        <f>_xlfn.STDEV.S(F18,G18,H18,I18,J18,K18,L18,M18)</f>
        <v>6.0247033121972038</v>
      </c>
      <c r="AG18" s="41">
        <f t="shared" si="11"/>
        <v>0.52952786747503433</v>
      </c>
      <c r="AH18" s="40" t="str">
        <f>IF(AG18&gt;=25%,"Mediana","Média")</f>
        <v>Mediana</v>
      </c>
      <c r="AI18" s="50">
        <f>IF(AH18="Mediana",AE18,AD18)</f>
        <v>8.6900000000000013</v>
      </c>
      <c r="AJ18" s="40">
        <f>D18*AI18</f>
        <v>17.380000000000003</v>
      </c>
      <c r="AL18" s="42">
        <f>COUNTA(E18:Y18)</f>
        <v>10</v>
      </c>
      <c r="AM18" s="42">
        <f>COUNTIFS(E18:Y18,"&gt;="&amp;AB18,E18:Y18,"&lt;="&amp;AC18)</f>
        <v>8</v>
      </c>
    </row>
    <row r="19" spans="2:39" ht="30" customHeight="1" x14ac:dyDescent="0.25">
      <c r="B19" s="31" t="s">
        <v>191</v>
      </c>
      <c r="C19" s="37" t="s">
        <v>125</v>
      </c>
      <c r="D19" s="34">
        <v>20</v>
      </c>
      <c r="E19" s="33"/>
      <c r="F19" s="33">
        <v>7.5</v>
      </c>
      <c r="G19" s="33">
        <v>13.85</v>
      </c>
      <c r="H19" s="33">
        <v>16.87</v>
      </c>
      <c r="I19" s="33">
        <v>2.98</v>
      </c>
      <c r="J19" s="33"/>
      <c r="K19" s="33">
        <v>95</v>
      </c>
      <c r="L19" s="33">
        <v>15.04</v>
      </c>
      <c r="M19" s="40">
        <v>16.899999999999999</v>
      </c>
      <c r="N19" s="40">
        <v>1.39</v>
      </c>
      <c r="O19" s="40">
        <v>31</v>
      </c>
      <c r="P19" s="40">
        <f>7.5*2</f>
        <v>15</v>
      </c>
      <c r="Q19" s="40"/>
      <c r="R19" s="40"/>
      <c r="S19" s="40"/>
      <c r="T19" s="40"/>
      <c r="U19" s="40"/>
      <c r="V19" s="40"/>
      <c r="W19" s="40"/>
      <c r="X19" s="40"/>
      <c r="Y19" s="40"/>
      <c r="Z19" s="40">
        <f t="shared" ref="Z19:Z20" si="12">AVERAGE(E19:Y19)</f>
        <v>21.552999999999997</v>
      </c>
      <c r="AA19" s="40">
        <f t="shared" ref="AA19:AA20" si="13">_xlfn.STDEV.S(E19:Y19)</f>
        <v>27.123125454940563</v>
      </c>
      <c r="AB19" s="40">
        <f t="shared" ref="AB19" si="14">Z19-AA19</f>
        <v>-5.5701254549405661</v>
      </c>
      <c r="AC19" s="40">
        <f t="shared" ref="AC19" si="15">Z19+AA19</f>
        <v>48.676125454940561</v>
      </c>
      <c r="AD19" s="40">
        <f t="shared" ref="AD19:AD20" si="16">AVERAGEIFS(E19:Y19,E19:Y19,"&gt;="&amp;AB19,E19:Y19,"&lt;="&amp;AC19)</f>
        <v>13.392222222222221</v>
      </c>
      <c r="AE19" s="40">
        <f>MEDIAN(F19,G19,H19,I19,L19,M19,N19,O19,P19)</f>
        <v>15</v>
      </c>
      <c r="AF19" s="40">
        <f>_xlfn.STDEV.S(F19,G19,H19,I19,L19,M19,N19,O19,P19)</f>
        <v>8.8538759560118336</v>
      </c>
      <c r="AG19" s="41">
        <f t="shared" si="11"/>
        <v>0.6611207467361363</v>
      </c>
      <c r="AH19" s="40" t="str">
        <f t="shared" ref="AH19:AH20" si="17">IF(AG19&gt;=25%,"Mediana","Média")</f>
        <v>Mediana</v>
      </c>
      <c r="AI19" s="50">
        <f t="shared" ref="AI19:AI20" si="18">IF(AH19="Mediana",AE19,AD19)</f>
        <v>15</v>
      </c>
      <c r="AJ19" s="40">
        <f t="shared" ref="AJ19:AJ20" si="19">D19*AI19</f>
        <v>300</v>
      </c>
      <c r="AL19" s="42">
        <f t="shared" ref="AL19:AL20" si="20">COUNTA(E19:Y19)</f>
        <v>10</v>
      </c>
      <c r="AM19" s="42">
        <f t="shared" ref="AM19:AM20" si="21">COUNTIFS(E19:Y19,"&gt;="&amp;AB19,E19:Y19,"&lt;="&amp;AC19)</f>
        <v>9</v>
      </c>
    </row>
    <row r="20" spans="2:39" ht="30" customHeight="1" x14ac:dyDescent="0.25">
      <c r="B20" s="31" t="s">
        <v>192</v>
      </c>
      <c r="C20" s="37" t="s">
        <v>125</v>
      </c>
      <c r="D20" s="34">
        <v>4</v>
      </c>
      <c r="E20" s="33"/>
      <c r="F20" s="33"/>
      <c r="G20" s="33"/>
      <c r="H20" s="33"/>
      <c r="I20" s="33"/>
      <c r="J20" s="33"/>
      <c r="K20" s="33"/>
      <c r="L20" s="33"/>
      <c r="M20" s="40"/>
      <c r="N20" s="40"/>
      <c r="O20" s="40">
        <v>22</v>
      </c>
      <c r="P20" s="40">
        <v>25</v>
      </c>
      <c r="Q20" s="40">
        <f>(77.96+5.9)/4</f>
        <v>20.965</v>
      </c>
      <c r="R20" s="40">
        <f>(101.16+5.9)/4</f>
        <v>26.765000000000001</v>
      </c>
      <c r="S20" s="40"/>
      <c r="T20" s="40"/>
      <c r="U20" s="40"/>
      <c r="V20" s="40"/>
      <c r="W20" s="40"/>
      <c r="X20" s="40"/>
      <c r="Y20" s="40"/>
      <c r="Z20" s="40">
        <f t="shared" si="12"/>
        <v>23.682500000000001</v>
      </c>
      <c r="AA20" s="40">
        <f t="shared" si="13"/>
        <v>2.6741493974720263</v>
      </c>
      <c r="AB20" s="40">
        <f>Z20-(AA20*1.2)</f>
        <v>20.47352072303357</v>
      </c>
      <c r="AC20" s="40">
        <f>Z20+(AA20*1.2)</f>
        <v>26.891479276966432</v>
      </c>
      <c r="AD20" s="40">
        <f t="shared" si="16"/>
        <v>23.682500000000001</v>
      </c>
      <c r="AE20" s="40">
        <f>MEDIAN(O20,P20,Q20,R20)</f>
        <v>23.5</v>
      </c>
      <c r="AF20" s="40">
        <f>_xlfn.STDEV.S(O20,P20,Q20,R20)</f>
        <v>2.6741493974720263</v>
      </c>
      <c r="AG20" s="41">
        <f t="shared" si="11"/>
        <v>0.11291668520941735</v>
      </c>
      <c r="AH20" s="40" t="str">
        <f t="shared" si="17"/>
        <v>Média</v>
      </c>
      <c r="AI20" s="50">
        <f t="shared" si="18"/>
        <v>23.682500000000001</v>
      </c>
      <c r="AJ20" s="40">
        <f t="shared" si="19"/>
        <v>94.73</v>
      </c>
      <c r="AL20" s="42">
        <f t="shared" si="20"/>
        <v>4</v>
      </c>
      <c r="AM20" s="42">
        <f t="shared" si="21"/>
        <v>4</v>
      </c>
    </row>
    <row r="21" spans="2:39" ht="30" customHeight="1" x14ac:dyDescent="0.25"/>
    <row r="22" spans="2:39" ht="30" customHeight="1" x14ac:dyDescent="0.25">
      <c r="B22" s="51" t="s">
        <v>124</v>
      </c>
      <c r="C22" s="52"/>
      <c r="D22" s="53"/>
    </row>
    <row r="23" spans="2:39" ht="20.100000000000001" customHeight="1" x14ac:dyDescent="0.25">
      <c r="B23" s="55" t="s">
        <v>246</v>
      </c>
      <c r="C23" s="60">
        <f>SUM(AJ4:AJ20)</f>
        <v>1518.5750000000003</v>
      </c>
      <c r="D23" s="59"/>
    </row>
    <row r="24" spans="2:39" ht="20.100000000000001" customHeight="1" x14ac:dyDescent="0.25">
      <c r="B24" s="55" t="s">
        <v>247</v>
      </c>
      <c r="C24" s="60">
        <f>C23/12</f>
        <v>126.54791666666669</v>
      </c>
      <c r="D24" s="59"/>
    </row>
    <row r="25" spans="2:39" ht="20.100000000000001" customHeight="1" x14ac:dyDescent="0.25">
      <c r="B25" s="55" t="s">
        <v>248</v>
      </c>
      <c r="C25" s="58">
        <f>Resumo!I7*2</f>
        <v>28</v>
      </c>
      <c r="D25" s="59"/>
    </row>
    <row r="26" spans="2:39" ht="20.100000000000001" customHeight="1" x14ac:dyDescent="0.25">
      <c r="B26" s="55" t="s">
        <v>249</v>
      </c>
      <c r="C26" s="60">
        <f>C24/C25</f>
        <v>4.5195684523809536</v>
      </c>
      <c r="D26" s="59"/>
    </row>
  </sheetData>
  <phoneticPr fontId="6" type="noConversion"/>
  <conditionalFormatting sqref="E4:Y4">
    <cfRule type="cellIs" dxfId="115" priority="78" operator="notBetween">
      <formula>$AB$4</formula>
      <formula>$AC$4</formula>
    </cfRule>
    <cfRule type="cellIs" dxfId="114" priority="79" operator="between">
      <formula>$AB$4</formula>
      <formula>$AC$4</formula>
    </cfRule>
  </conditionalFormatting>
  <conditionalFormatting sqref="E5:Y5">
    <cfRule type="cellIs" dxfId="113" priority="76" operator="notBetween">
      <formula>$AB$5</formula>
      <formula>$AC$5</formula>
    </cfRule>
    <cfRule type="cellIs" dxfId="112" priority="77" operator="between">
      <formula>$AB$5</formula>
      <formula>$AC$5</formula>
    </cfRule>
  </conditionalFormatting>
  <conditionalFormatting sqref="E6:Y6">
    <cfRule type="cellIs" dxfId="111" priority="74" operator="notBetween">
      <formula>$AB$6</formula>
      <formula>$AC$6</formula>
    </cfRule>
    <cfRule type="cellIs" dxfId="110" priority="75" operator="between">
      <formula>$AB$6</formula>
      <formula>$AC$6</formula>
    </cfRule>
  </conditionalFormatting>
  <conditionalFormatting sqref="E7:Y7">
    <cfRule type="cellIs" dxfId="109" priority="72" operator="notBetween">
      <formula>$AB$7</formula>
      <formula>$AC$7</formula>
    </cfRule>
    <cfRule type="cellIs" dxfId="108" priority="73" operator="between">
      <formula>$AB$7</formula>
      <formula>$AC$7</formula>
    </cfRule>
  </conditionalFormatting>
  <conditionalFormatting sqref="E8:Y8">
    <cfRule type="cellIs" dxfId="107" priority="70" operator="notBetween">
      <formula>$AB$8</formula>
      <formula>$AC$8</formula>
    </cfRule>
    <cfRule type="cellIs" dxfId="106" priority="71" operator="between">
      <formula>$AB$8</formula>
      <formula>$AC$8</formula>
    </cfRule>
  </conditionalFormatting>
  <conditionalFormatting sqref="E9:Y9">
    <cfRule type="cellIs" dxfId="105" priority="68" operator="notBetween">
      <formula>$AB$9</formula>
      <formula>$AC$9</formula>
    </cfRule>
    <cfRule type="cellIs" dxfId="104" priority="69" operator="between">
      <formula>$AB$9</formula>
      <formula>$AC$9</formula>
    </cfRule>
  </conditionalFormatting>
  <conditionalFormatting sqref="E10:Y10">
    <cfRule type="cellIs" dxfId="103" priority="66" operator="notBetween">
      <formula>$AB$10</formula>
      <formula>$AC$10</formula>
    </cfRule>
    <cfRule type="cellIs" dxfId="102" priority="67" operator="between">
      <formula>$AB$10</formula>
      <formula>$AC$10</formula>
    </cfRule>
  </conditionalFormatting>
  <conditionalFormatting sqref="E11:Y11">
    <cfRule type="cellIs" dxfId="101" priority="64" operator="notBetween">
      <formula>$AB$11</formula>
      <formula>$AC$11</formula>
    </cfRule>
    <cfRule type="cellIs" dxfId="100" priority="65" operator="between">
      <formula>$AB$11</formula>
      <formula>$AC$11</formula>
    </cfRule>
  </conditionalFormatting>
  <conditionalFormatting sqref="E12:Y12">
    <cfRule type="cellIs" dxfId="99" priority="63" operator="between">
      <formula>$AB$12</formula>
      <formula>$AC$12</formula>
    </cfRule>
    <cfRule type="cellIs" dxfId="98" priority="62" operator="notBetween">
      <formula>$AB$12</formula>
      <formula>$AC$12</formula>
    </cfRule>
  </conditionalFormatting>
  <conditionalFormatting sqref="E13:Y13">
    <cfRule type="cellIs" dxfId="97" priority="60" operator="notBetween">
      <formula>$AB$13</formula>
      <formula>$AC$13</formula>
    </cfRule>
    <cfRule type="cellIs" dxfId="96" priority="61" operator="between">
      <formula>$AB$13</formula>
      <formula>$AC$13</formula>
    </cfRule>
  </conditionalFormatting>
  <conditionalFormatting sqref="E14:Y14">
    <cfRule type="cellIs" dxfId="95" priority="58" operator="notBetween">
      <formula>$AB$14</formula>
      <formula>$AC$14</formula>
    </cfRule>
    <cfRule type="cellIs" dxfId="94" priority="59" operator="between">
      <formula>$AB$14</formula>
      <formula>$AC$14</formula>
    </cfRule>
  </conditionalFormatting>
  <conditionalFormatting sqref="E15:Y15">
    <cfRule type="cellIs" dxfId="93" priority="56" operator="notBetween">
      <formula>$AB$15</formula>
      <formula>$AC$15</formula>
    </cfRule>
    <cfRule type="cellIs" dxfId="92" priority="57" operator="between">
      <formula>$AB$15</formula>
      <formula>$AC$15</formula>
    </cfRule>
  </conditionalFormatting>
  <conditionalFormatting sqref="E16:Y16">
    <cfRule type="cellIs" dxfId="91" priority="54" operator="notBetween">
      <formula>$AB$16</formula>
      <formula>$AC$16</formula>
    </cfRule>
    <cfRule type="cellIs" dxfId="90" priority="55" operator="between">
      <formula>$AB$16</formula>
      <formula>$AC$16</formula>
    </cfRule>
  </conditionalFormatting>
  <conditionalFormatting sqref="E17:Y17">
    <cfRule type="cellIs" dxfId="89" priority="52" operator="notBetween">
      <formula>$AB$17</formula>
      <formula>$AC$17</formula>
    </cfRule>
    <cfRule type="cellIs" dxfId="88" priority="53" operator="between">
      <formula>$AB$17</formula>
      <formula>$AC$17</formula>
    </cfRule>
  </conditionalFormatting>
  <conditionalFormatting sqref="E18:Y18">
    <cfRule type="cellIs" dxfId="87" priority="50" operator="notBetween">
      <formula>$AB$18</formula>
      <formula>$AC$18</formula>
    </cfRule>
    <cfRule type="cellIs" dxfId="86" priority="51" operator="between">
      <formula>$AB$18</formula>
      <formula>$AC$18</formula>
    </cfRule>
  </conditionalFormatting>
  <conditionalFormatting sqref="E19:Y19">
    <cfRule type="cellIs" dxfId="85" priority="48" operator="notBetween">
      <formula>$AB$19</formula>
      <formula>$AC$19</formula>
    </cfRule>
    <cfRule type="cellIs" dxfId="84" priority="49" operator="between">
      <formula>$AB$19</formula>
      <formula>$AC$19</formula>
    </cfRule>
  </conditionalFormatting>
  <conditionalFormatting sqref="E20:Y20">
    <cfRule type="cellIs" dxfId="83" priority="46" operator="notBetween">
      <formula>$AB$20</formula>
      <formula>$AC$20</formula>
    </cfRule>
    <cfRule type="cellIs" dxfId="82" priority="47" operator="between">
      <formula>$AB$20</formula>
      <formula>$AC$20</formula>
    </cfRule>
  </conditionalFormatting>
  <conditionalFormatting sqref="AM4:AM20">
    <cfRule type="cellIs" dxfId="81" priority="80" operator="lessThan">
      <formula>3</formula>
    </cfRule>
    <cfRule type="cellIs" dxfId="80" priority="81" operator="greaterThanOrEqual">
      <formula>3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ignoredErrors>
    <ignoredError sqref="Z5:AM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43BCB-02E0-495D-8B13-74B3FF788BC0}">
  <dimension ref="B2:AP51"/>
  <sheetViews>
    <sheetView showGridLines="0" topLeftCell="A35" zoomScaleNormal="100" workbookViewId="0">
      <selection activeCell="C52" sqref="C52"/>
    </sheetView>
  </sheetViews>
  <sheetFormatPr defaultRowHeight="15" x14ac:dyDescent="0.25"/>
  <cols>
    <col min="1" max="1" width="5.42578125" customWidth="1"/>
    <col min="2" max="2" width="63" customWidth="1"/>
    <col min="3" max="4" width="13.7109375" customWidth="1"/>
    <col min="5" max="36" width="14.140625" customWidth="1"/>
    <col min="37" max="37" width="13.7109375" customWidth="1"/>
    <col min="38" max="39" width="14.140625" customWidth="1"/>
    <col min="40" max="40" width="8.5703125" customWidth="1"/>
    <col min="41" max="41" width="13.7109375" customWidth="1"/>
    <col min="42" max="42" width="17.7109375" customWidth="1"/>
    <col min="43" max="43" width="13.7109375" customWidth="1"/>
    <col min="44" max="44" width="17.7109375" customWidth="1"/>
    <col min="45" max="51" width="8.7109375" customWidth="1"/>
    <col min="53" max="1047" width="8.7109375" customWidth="1"/>
  </cols>
  <sheetData>
    <row r="2" spans="2:42" ht="24" customHeight="1" x14ac:dyDescent="0.25">
      <c r="B2" s="29" t="s">
        <v>194</v>
      </c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L2" s="30"/>
      <c r="AM2" s="30"/>
    </row>
    <row r="3" spans="2:42" ht="60" customHeight="1" x14ac:dyDescent="0.25">
      <c r="B3" s="1" t="s">
        <v>124</v>
      </c>
      <c r="C3" s="35" t="s">
        <v>125</v>
      </c>
      <c r="D3" s="1" t="s">
        <v>122</v>
      </c>
      <c r="E3" s="1" t="s">
        <v>128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  <c r="R3" s="1" t="s">
        <v>154</v>
      </c>
      <c r="S3" s="1" t="s">
        <v>155</v>
      </c>
      <c r="T3" s="1" t="s">
        <v>156</v>
      </c>
      <c r="U3" s="1" t="s">
        <v>157</v>
      </c>
      <c r="V3" s="1" t="s">
        <v>158</v>
      </c>
      <c r="W3" s="1" t="s">
        <v>159</v>
      </c>
      <c r="X3" s="1" t="s">
        <v>160</v>
      </c>
      <c r="Y3" s="1" t="s">
        <v>161</v>
      </c>
      <c r="Z3" s="35" t="s">
        <v>140</v>
      </c>
      <c r="AA3" s="35" t="s">
        <v>141</v>
      </c>
      <c r="AB3" s="35" t="s">
        <v>129</v>
      </c>
      <c r="AC3" s="35" t="s">
        <v>130</v>
      </c>
      <c r="AD3" s="35" t="s">
        <v>131</v>
      </c>
      <c r="AE3" s="35" t="s">
        <v>132</v>
      </c>
      <c r="AF3" s="35" t="s">
        <v>133</v>
      </c>
      <c r="AG3" s="35" t="s">
        <v>134</v>
      </c>
      <c r="AH3" s="35" t="s">
        <v>135</v>
      </c>
      <c r="AI3" s="35" t="s">
        <v>136</v>
      </c>
      <c r="AJ3" s="35" t="s">
        <v>137</v>
      </c>
      <c r="AL3" s="35" t="s">
        <v>138</v>
      </c>
      <c r="AM3" s="35" t="s">
        <v>139</v>
      </c>
    </row>
    <row r="4" spans="2:42" ht="30" customHeight="1" x14ac:dyDescent="0.25">
      <c r="B4" s="31" t="s">
        <v>195</v>
      </c>
      <c r="C4" s="37" t="s">
        <v>125</v>
      </c>
      <c r="D4" s="34">
        <v>2</v>
      </c>
      <c r="E4" s="33"/>
      <c r="F4" s="33">
        <v>350</v>
      </c>
      <c r="G4" s="33"/>
      <c r="H4" s="33">
        <v>308</v>
      </c>
      <c r="I4" s="33"/>
      <c r="J4" s="33"/>
      <c r="K4" s="33"/>
      <c r="L4" s="33"/>
      <c r="M4" s="40"/>
      <c r="N4" s="40"/>
      <c r="O4" s="40">
        <v>55.03</v>
      </c>
      <c r="P4" s="40">
        <v>150</v>
      </c>
      <c r="Q4" s="40">
        <f>(579.8+24.51)/2</f>
        <v>302.15499999999997</v>
      </c>
      <c r="R4" s="40"/>
      <c r="S4" s="40"/>
      <c r="T4" s="40"/>
      <c r="U4" s="40"/>
      <c r="V4" s="40"/>
      <c r="W4" s="40"/>
      <c r="X4" s="40"/>
      <c r="Y4" s="40"/>
      <c r="Z4" s="40">
        <f>AVERAGE(E4:Y4)</f>
        <v>233.03699999999998</v>
      </c>
      <c r="AA4" s="40">
        <f>_xlfn.STDEV.S(E4:Y4)</f>
        <v>125.1586274293546</v>
      </c>
      <c r="AB4" s="40">
        <f>Z4-AA4</f>
        <v>107.87837257064538</v>
      </c>
      <c r="AC4" s="40">
        <f>Z4+AA4</f>
        <v>358.19562742935454</v>
      </c>
      <c r="AD4" s="40">
        <f>AVERAGEIFS(E4:Y4,E4:Y4,"&gt;="&amp;AB4,E4:Y4,"&lt;="&amp;AC4)</f>
        <v>277.53874999999999</v>
      </c>
      <c r="AE4" s="40">
        <f>MEDIAN(F4,H4,P4,Q4)</f>
        <v>305.07749999999999</v>
      </c>
      <c r="AF4" s="40">
        <f>_xlfn.STDEV.S(F4,H4,P4,Q4)</f>
        <v>87.655790869266937</v>
      </c>
      <c r="AG4" s="41">
        <f>AF4/AD4</f>
        <v>0.31583262109981736</v>
      </c>
      <c r="AH4" s="40" t="str">
        <f>IF(AG4&gt;=25%,"Mediana","Média")</f>
        <v>Mediana</v>
      </c>
      <c r="AI4" s="50">
        <f>IF(AH4="Mediana",AE4,AD4)</f>
        <v>305.07749999999999</v>
      </c>
      <c r="AJ4" s="40">
        <f>D4*AI4</f>
        <v>610.15499999999997</v>
      </c>
      <c r="AL4" s="42">
        <f>COUNTA(E4:Y4)</f>
        <v>5</v>
      </c>
      <c r="AM4" s="42">
        <f>COUNTIFS(E4:Y4,"&gt;="&amp;AB4,E4:Y4,"&lt;="&amp;AC4)</f>
        <v>4</v>
      </c>
      <c r="AO4">
        <f>COUNTA(AM4:AM42)</f>
        <v>39</v>
      </c>
      <c r="AP4" t="s">
        <v>162</v>
      </c>
    </row>
    <row r="5" spans="2:42" ht="30" customHeight="1" x14ac:dyDescent="0.25">
      <c r="B5" s="31" t="s">
        <v>196</v>
      </c>
      <c r="C5" s="37" t="s">
        <v>125</v>
      </c>
      <c r="D5" s="34">
        <v>4</v>
      </c>
      <c r="E5" s="33"/>
      <c r="F5" s="33">
        <v>55.03</v>
      </c>
      <c r="G5" s="33"/>
      <c r="H5" s="33"/>
      <c r="I5" s="33"/>
      <c r="J5" s="33"/>
      <c r="K5" s="33">
        <v>120</v>
      </c>
      <c r="L5" s="33"/>
      <c r="M5" s="40"/>
      <c r="N5" s="40"/>
      <c r="O5" s="40">
        <v>89</v>
      </c>
      <c r="P5" s="40">
        <v>15</v>
      </c>
      <c r="Q5" s="40">
        <f>(140.22+14.05)/4</f>
        <v>38.567500000000003</v>
      </c>
      <c r="R5" s="40"/>
      <c r="S5" s="40"/>
      <c r="T5" s="40"/>
      <c r="U5" s="40"/>
      <c r="V5" s="40"/>
      <c r="W5" s="40"/>
      <c r="X5" s="40"/>
      <c r="Y5" s="40"/>
      <c r="Z5" s="40">
        <f t="shared" ref="Z5:Z17" si="0">AVERAGE(E5:Y5)</f>
        <v>63.519499999999994</v>
      </c>
      <c r="AA5" s="40">
        <f t="shared" ref="AA5:AA17" si="1">_xlfn.STDEV.S(E5:Y5)</f>
        <v>41.497344960250182</v>
      </c>
      <c r="AB5" s="40">
        <f t="shared" ref="AB5:AB17" si="2">Z5-AA5</f>
        <v>22.022155039749812</v>
      </c>
      <c r="AC5" s="40">
        <f t="shared" ref="AC5:AC17" si="3">Z5+AA5</f>
        <v>105.01684496025018</v>
      </c>
      <c r="AD5" s="40">
        <f t="shared" ref="AD5:AD17" si="4">AVERAGEIFS(E5:Y5,E5:Y5,"&gt;="&amp;AB5,E5:Y5,"&lt;="&amp;AC5)</f>
        <v>60.865833333333335</v>
      </c>
      <c r="AE5" s="40">
        <f>MEDIAN(F5,O5,Q5)</f>
        <v>55.03</v>
      </c>
      <c r="AF5" s="40">
        <f>_xlfn.STDEV.S(F5,O5,Q5)</f>
        <v>25.717736624425832</v>
      </c>
      <c r="AG5" s="41">
        <f t="shared" ref="AG5:AG42" si="5">AF5/AD5</f>
        <v>0.42253157832542887</v>
      </c>
      <c r="AH5" s="40" t="str">
        <f t="shared" ref="AH5:AH17" si="6">IF(AG5&gt;=25%,"Mediana","Média")</f>
        <v>Mediana</v>
      </c>
      <c r="AI5" s="50">
        <f t="shared" ref="AI5:AI17" si="7">IF(AH5="Mediana",AE5,AD5)</f>
        <v>55.03</v>
      </c>
      <c r="AJ5" s="40">
        <f t="shared" ref="AJ5:AJ17" si="8">D5*AI5</f>
        <v>220.12</v>
      </c>
      <c r="AL5" s="42">
        <f t="shared" ref="AL5:AL17" si="9">COUNTA(E5:Y5)</f>
        <v>5</v>
      </c>
      <c r="AM5" s="42">
        <f t="shared" ref="AM5:AM17" si="10">COUNTIFS(E5:Y5,"&gt;="&amp;AB5,E5:Y5,"&lt;="&amp;AC5)</f>
        <v>3</v>
      </c>
      <c r="AO5">
        <f>COUNTIF(AM4:AM42,"&gt;="&amp;3)</f>
        <v>39</v>
      </c>
      <c r="AP5" t="s">
        <v>163</v>
      </c>
    </row>
    <row r="6" spans="2:42" ht="30" customHeight="1" x14ac:dyDescent="0.25">
      <c r="B6" s="31" t="s">
        <v>197</v>
      </c>
      <c r="C6" s="37" t="s">
        <v>125</v>
      </c>
      <c r="D6" s="34">
        <v>2</v>
      </c>
      <c r="E6" s="33"/>
      <c r="F6" s="33">
        <v>400</v>
      </c>
      <c r="G6" s="33"/>
      <c r="H6" s="33">
        <v>775.83</v>
      </c>
      <c r="I6" s="33"/>
      <c r="J6" s="33">
        <v>460.54</v>
      </c>
      <c r="K6" s="33"/>
      <c r="L6" s="33">
        <v>1500</v>
      </c>
      <c r="M6" s="40"/>
      <c r="N6" s="40"/>
      <c r="O6" s="40">
        <v>625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>
        <f t="shared" si="0"/>
        <v>752.274</v>
      </c>
      <c r="AA6" s="40">
        <f t="shared" si="1"/>
        <v>443.01620317997418</v>
      </c>
      <c r="AB6" s="40">
        <f t="shared" si="2"/>
        <v>309.25779682002582</v>
      </c>
      <c r="AC6" s="40">
        <f t="shared" si="3"/>
        <v>1195.2902031799742</v>
      </c>
      <c r="AD6" s="40">
        <f t="shared" si="4"/>
        <v>565.34249999999997</v>
      </c>
      <c r="AE6" s="40">
        <f>MEDIAN(F6,H6,J6,O6)</f>
        <v>542.77</v>
      </c>
      <c r="AF6" s="40">
        <f>_xlfn.STDEV.S(F6,H6,J6,O6)</f>
        <v>169.49504542906274</v>
      </c>
      <c r="AG6" s="41">
        <f t="shared" si="5"/>
        <v>0.29980948792822537</v>
      </c>
      <c r="AH6" s="40" t="str">
        <f t="shared" si="6"/>
        <v>Mediana</v>
      </c>
      <c r="AI6" s="50">
        <f t="shared" si="7"/>
        <v>542.77</v>
      </c>
      <c r="AJ6" s="40">
        <f t="shared" si="8"/>
        <v>1085.54</v>
      </c>
      <c r="AL6" s="42">
        <f t="shared" si="9"/>
        <v>5</v>
      </c>
      <c r="AM6" s="42">
        <f t="shared" si="10"/>
        <v>4</v>
      </c>
      <c r="AO6">
        <f>COUNTIF(AM4:AM42,"&lt;"&amp;3)</f>
        <v>0</v>
      </c>
      <c r="AP6" t="s">
        <v>164</v>
      </c>
    </row>
    <row r="7" spans="2:42" ht="30" customHeight="1" x14ac:dyDescent="0.25">
      <c r="B7" s="31" t="s">
        <v>198</v>
      </c>
      <c r="C7" s="37" t="s">
        <v>125</v>
      </c>
      <c r="D7" s="34">
        <v>4</v>
      </c>
      <c r="E7" s="33">
        <v>169</v>
      </c>
      <c r="F7" s="33">
        <v>100</v>
      </c>
      <c r="G7" s="33">
        <v>253.47</v>
      </c>
      <c r="H7" s="33">
        <v>176.75</v>
      </c>
      <c r="I7" s="33">
        <v>211.54</v>
      </c>
      <c r="J7" s="33">
        <v>111.34</v>
      </c>
      <c r="K7" s="33">
        <v>101</v>
      </c>
      <c r="L7" s="33">
        <v>84.92</v>
      </c>
      <c r="M7" s="40">
        <v>181.5</v>
      </c>
      <c r="N7" s="40"/>
      <c r="O7" s="40">
        <v>150</v>
      </c>
      <c r="P7" s="40">
        <v>250</v>
      </c>
      <c r="Q7" s="40"/>
      <c r="R7" s="40"/>
      <c r="S7" s="40"/>
      <c r="T7" s="40"/>
      <c r="U7" s="40"/>
      <c r="V7" s="40"/>
      <c r="W7" s="40"/>
      <c r="X7" s="40"/>
      <c r="Y7" s="40"/>
      <c r="Z7" s="40">
        <f t="shared" si="0"/>
        <v>162.68363636363637</v>
      </c>
      <c r="AA7" s="40">
        <f t="shared" si="1"/>
        <v>59.517565520227294</v>
      </c>
      <c r="AB7" s="40">
        <f t="shared" si="2"/>
        <v>103.16607084340907</v>
      </c>
      <c r="AC7" s="40">
        <f t="shared" si="3"/>
        <v>222.20120188386366</v>
      </c>
      <c r="AD7" s="40">
        <f t="shared" si="4"/>
        <v>166.68833333333333</v>
      </c>
      <c r="AE7" s="40">
        <f>MEDIAN(E7,H7,I7,J7,M7,O7)</f>
        <v>172.875</v>
      </c>
      <c r="AF7" s="40">
        <f>_xlfn.STDEV.S(E7,H7,I7,J7,M7,O7)</f>
        <v>33.703343701577523</v>
      </c>
      <c r="AG7" s="41">
        <f t="shared" si="5"/>
        <v>0.20219377701845273</v>
      </c>
      <c r="AH7" s="40" t="str">
        <f t="shared" si="6"/>
        <v>Média</v>
      </c>
      <c r="AI7" s="50">
        <f t="shared" si="7"/>
        <v>166.68833333333333</v>
      </c>
      <c r="AJ7" s="40">
        <f t="shared" si="8"/>
        <v>666.75333333333333</v>
      </c>
      <c r="AL7" s="42">
        <f t="shared" si="9"/>
        <v>11</v>
      </c>
      <c r="AM7" s="42">
        <f t="shared" si="10"/>
        <v>6</v>
      </c>
    </row>
    <row r="8" spans="2:42" ht="30" customHeight="1" x14ac:dyDescent="0.25">
      <c r="B8" s="31" t="s">
        <v>199</v>
      </c>
      <c r="C8" s="37" t="s">
        <v>125</v>
      </c>
      <c r="D8" s="34">
        <v>2</v>
      </c>
      <c r="E8" s="33"/>
      <c r="F8" s="33">
        <v>250</v>
      </c>
      <c r="G8" s="33"/>
      <c r="H8" s="33"/>
      <c r="I8" s="33"/>
      <c r="J8" s="33"/>
      <c r="K8" s="33"/>
      <c r="L8" s="33"/>
      <c r="M8" s="40"/>
      <c r="N8" s="40"/>
      <c r="O8" s="40">
        <v>135</v>
      </c>
      <c r="P8" s="40"/>
      <c r="Q8" s="40">
        <f>(780+18.32)/2</f>
        <v>399.16</v>
      </c>
      <c r="R8" s="40">
        <f>(737.59+71.91)/2</f>
        <v>404.75</v>
      </c>
      <c r="S8" s="40"/>
      <c r="T8" s="40"/>
      <c r="U8" s="40"/>
      <c r="V8" s="40"/>
      <c r="W8" s="40"/>
      <c r="X8" s="40"/>
      <c r="Y8" s="40"/>
      <c r="Z8" s="40">
        <f t="shared" si="0"/>
        <v>297.22750000000002</v>
      </c>
      <c r="AA8" s="40">
        <f t="shared" si="1"/>
        <v>129.74272115100194</v>
      </c>
      <c r="AB8" s="40">
        <f t="shared" si="2"/>
        <v>167.48477884899808</v>
      </c>
      <c r="AC8" s="40">
        <f t="shared" si="3"/>
        <v>426.97022115100197</v>
      </c>
      <c r="AD8" s="40">
        <f t="shared" si="4"/>
        <v>351.30333333333334</v>
      </c>
      <c r="AE8" s="40">
        <f>MEDIAN(F8,Q8,R8)</f>
        <v>399.16</v>
      </c>
      <c r="AF8" s="40">
        <f>_xlfn.STDEV.S(F8,Q8,R8)</f>
        <v>87.775771334311244</v>
      </c>
      <c r="AG8" s="41">
        <f t="shared" si="5"/>
        <v>0.24985749637344148</v>
      </c>
      <c r="AH8" s="40" t="str">
        <f t="shared" si="6"/>
        <v>Média</v>
      </c>
      <c r="AI8" s="50">
        <f t="shared" si="7"/>
        <v>351.30333333333334</v>
      </c>
      <c r="AJ8" s="40">
        <f t="shared" si="8"/>
        <v>702.60666666666668</v>
      </c>
      <c r="AL8" s="42">
        <f t="shared" si="9"/>
        <v>4</v>
      </c>
      <c r="AM8" s="42">
        <f t="shared" si="10"/>
        <v>3</v>
      </c>
    </row>
    <row r="9" spans="2:42" ht="30" customHeight="1" x14ac:dyDescent="0.25">
      <c r="B9" s="32" t="s">
        <v>200</v>
      </c>
      <c r="C9" s="38" t="s">
        <v>125</v>
      </c>
      <c r="D9" s="34">
        <v>2</v>
      </c>
      <c r="E9" s="33"/>
      <c r="F9" s="33"/>
      <c r="G9" s="33"/>
      <c r="H9" s="33">
        <v>7775.64</v>
      </c>
      <c r="I9" s="33"/>
      <c r="J9" s="33"/>
      <c r="K9" s="33"/>
      <c r="L9" s="33"/>
      <c r="M9" s="40"/>
      <c r="N9" s="40"/>
      <c r="O9" s="40">
        <v>7950</v>
      </c>
      <c r="P9" s="40">
        <v>2000</v>
      </c>
      <c r="Q9" s="40">
        <f>(17873.68+0)/2</f>
        <v>8936.84</v>
      </c>
      <c r="R9" s="40">
        <f>(13998+0)/2</f>
        <v>6999</v>
      </c>
      <c r="S9" s="40"/>
      <c r="T9" s="40"/>
      <c r="U9" s="40"/>
      <c r="V9" s="40"/>
      <c r="W9" s="40"/>
      <c r="X9" s="40"/>
      <c r="Y9" s="40"/>
      <c r="Z9" s="40">
        <f t="shared" si="0"/>
        <v>6732.2959999999994</v>
      </c>
      <c r="AA9" s="40">
        <f t="shared" si="1"/>
        <v>2733.9138811016001</v>
      </c>
      <c r="AB9" s="40">
        <f t="shared" si="2"/>
        <v>3998.3821188983993</v>
      </c>
      <c r="AC9" s="40">
        <f t="shared" si="3"/>
        <v>9466.2098811016003</v>
      </c>
      <c r="AD9" s="40">
        <f t="shared" si="4"/>
        <v>7915.37</v>
      </c>
      <c r="AE9" s="40">
        <f>MEDIAN(H9,O9,Q9,R9)</f>
        <v>7862.82</v>
      </c>
      <c r="AF9" s="40">
        <f>_xlfn.STDEV.S(H9,O9,Q9,R9)</f>
        <v>796.63012069592253</v>
      </c>
      <c r="AG9" s="41">
        <f t="shared" si="5"/>
        <v>0.10064344695142774</v>
      </c>
      <c r="AH9" s="40" t="str">
        <f t="shared" si="6"/>
        <v>Média</v>
      </c>
      <c r="AI9" s="50">
        <f t="shared" si="7"/>
        <v>7915.37</v>
      </c>
      <c r="AJ9" s="40">
        <f t="shared" si="8"/>
        <v>15830.74</v>
      </c>
      <c r="AL9" s="42">
        <f t="shared" si="9"/>
        <v>5</v>
      </c>
      <c r="AM9" s="42">
        <f t="shared" si="10"/>
        <v>4</v>
      </c>
    </row>
    <row r="10" spans="2:42" ht="30" customHeight="1" x14ac:dyDescent="0.25">
      <c r="B10" s="32" t="s">
        <v>201</v>
      </c>
      <c r="C10" s="38" t="s">
        <v>125</v>
      </c>
      <c r="D10" s="34">
        <v>2</v>
      </c>
      <c r="E10" s="33"/>
      <c r="F10" s="33">
        <v>400</v>
      </c>
      <c r="G10" s="33">
        <v>307.94</v>
      </c>
      <c r="H10" s="33"/>
      <c r="I10" s="33"/>
      <c r="J10" s="33">
        <v>319.61</v>
      </c>
      <c r="K10" s="33"/>
      <c r="L10" s="33">
        <v>250</v>
      </c>
      <c r="M10" s="40"/>
      <c r="N10" s="40">
        <v>117.8</v>
      </c>
      <c r="O10" s="40">
        <v>250</v>
      </c>
      <c r="P10" s="40">
        <v>250</v>
      </c>
      <c r="Q10" s="40"/>
      <c r="R10" s="40"/>
      <c r="S10" s="40"/>
      <c r="T10" s="40"/>
      <c r="U10" s="40"/>
      <c r="V10" s="40"/>
      <c r="W10" s="40"/>
      <c r="X10" s="40"/>
      <c r="Y10" s="40"/>
      <c r="Z10" s="40">
        <f t="shared" si="0"/>
        <v>270.76428571428573</v>
      </c>
      <c r="AA10" s="40">
        <f t="shared" si="1"/>
        <v>86.757657463600424</v>
      </c>
      <c r="AB10" s="40">
        <f t="shared" si="2"/>
        <v>184.00662825068531</v>
      </c>
      <c r="AC10" s="40">
        <f t="shared" si="3"/>
        <v>357.52194317788616</v>
      </c>
      <c r="AD10" s="40">
        <f t="shared" si="4"/>
        <v>275.51</v>
      </c>
      <c r="AE10" s="40">
        <f>MEDIAN(G10,J10,L10,O10,P10)</f>
        <v>250</v>
      </c>
      <c r="AF10" s="40">
        <f>_xlfn.STDEV.S(G10,J10,L10,O10,P10)</f>
        <v>35.173836867762923</v>
      </c>
      <c r="AG10" s="41">
        <f t="shared" si="5"/>
        <v>0.12766809505195065</v>
      </c>
      <c r="AH10" s="40" t="str">
        <f t="shared" si="6"/>
        <v>Média</v>
      </c>
      <c r="AI10" s="50">
        <f t="shared" si="7"/>
        <v>275.51</v>
      </c>
      <c r="AJ10" s="40">
        <f t="shared" si="8"/>
        <v>551.02</v>
      </c>
      <c r="AL10" s="42">
        <f t="shared" si="9"/>
        <v>7</v>
      </c>
      <c r="AM10" s="42">
        <f t="shared" si="10"/>
        <v>5</v>
      </c>
    </row>
    <row r="11" spans="2:42" ht="30" customHeight="1" x14ac:dyDescent="0.25">
      <c r="B11" s="32" t="s">
        <v>202</v>
      </c>
      <c r="C11" s="38" t="s">
        <v>125</v>
      </c>
      <c r="D11" s="34">
        <v>4</v>
      </c>
      <c r="E11" s="33">
        <v>80</v>
      </c>
      <c r="F11" s="33">
        <v>50</v>
      </c>
      <c r="G11" s="33">
        <v>51.5</v>
      </c>
      <c r="H11" s="33">
        <v>45.37</v>
      </c>
      <c r="I11" s="33">
        <v>79.5</v>
      </c>
      <c r="J11" s="33">
        <v>23.84</v>
      </c>
      <c r="K11" s="33">
        <v>98</v>
      </c>
      <c r="L11" s="33">
        <v>47.74</v>
      </c>
      <c r="M11" s="40">
        <v>80.5</v>
      </c>
      <c r="N11" s="40"/>
      <c r="O11" s="40">
        <v>79.900000000000006</v>
      </c>
      <c r="P11" s="40">
        <v>25</v>
      </c>
      <c r="Q11" s="40"/>
      <c r="R11" s="40"/>
      <c r="S11" s="40"/>
      <c r="T11" s="40"/>
      <c r="U11" s="40"/>
      <c r="V11" s="40"/>
      <c r="W11" s="40"/>
      <c r="X11" s="40"/>
      <c r="Y11" s="40"/>
      <c r="Z11" s="40">
        <f t="shared" si="0"/>
        <v>60.122727272727275</v>
      </c>
      <c r="AA11" s="40">
        <f t="shared" si="1"/>
        <v>24.717371256227523</v>
      </c>
      <c r="AB11" s="40">
        <f t="shared" si="2"/>
        <v>35.405356016499752</v>
      </c>
      <c r="AC11" s="40">
        <f t="shared" si="3"/>
        <v>84.840098528954798</v>
      </c>
      <c r="AD11" s="40">
        <f t="shared" si="4"/>
        <v>64.313749999999999</v>
      </c>
      <c r="AE11" s="40">
        <f>MEDIAN(E11,F11,G11,H11,I11,L11,M11,O11)</f>
        <v>65.5</v>
      </c>
      <c r="AF11" s="40">
        <f>_xlfn.STDEV.S(E11,F11,G11,H11,I11,L11,M11,O11)</f>
        <v>16.836342440854377</v>
      </c>
      <c r="AG11" s="41">
        <f t="shared" si="5"/>
        <v>0.2617844930649259</v>
      </c>
      <c r="AH11" s="40" t="str">
        <f t="shared" si="6"/>
        <v>Mediana</v>
      </c>
      <c r="AI11" s="50">
        <f t="shared" si="7"/>
        <v>65.5</v>
      </c>
      <c r="AJ11" s="40">
        <f t="shared" si="8"/>
        <v>262</v>
      </c>
      <c r="AL11" s="42">
        <f t="shared" si="9"/>
        <v>11</v>
      </c>
      <c r="AM11" s="42">
        <f t="shared" si="10"/>
        <v>8</v>
      </c>
    </row>
    <row r="12" spans="2:42" ht="30" customHeight="1" x14ac:dyDescent="0.25">
      <c r="B12" s="32" t="s">
        <v>203</v>
      </c>
      <c r="C12" s="38" t="s">
        <v>127</v>
      </c>
      <c r="D12" s="34">
        <v>4</v>
      </c>
      <c r="E12" s="33">
        <v>119</v>
      </c>
      <c r="F12" s="33">
        <v>100</v>
      </c>
      <c r="G12" s="33"/>
      <c r="H12" s="33">
        <v>275.99</v>
      </c>
      <c r="I12" s="33"/>
      <c r="J12" s="33">
        <v>54.07</v>
      </c>
      <c r="K12" s="33"/>
      <c r="L12" s="33">
        <v>120</v>
      </c>
      <c r="M12" s="40"/>
      <c r="N12" s="40"/>
      <c r="O12" s="40">
        <v>130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>
        <f t="shared" si="0"/>
        <v>133.17666666666668</v>
      </c>
      <c r="AA12" s="40">
        <f t="shared" si="1"/>
        <v>75.018528022526937</v>
      </c>
      <c r="AB12" s="40">
        <f t="shared" si="2"/>
        <v>58.15813864413974</v>
      </c>
      <c r="AC12" s="40">
        <f t="shared" si="3"/>
        <v>208.19519468919361</v>
      </c>
      <c r="AD12" s="40">
        <f t="shared" si="4"/>
        <v>117.25</v>
      </c>
      <c r="AE12" s="40">
        <f>MEDIAN(E12,F12,L12,O12)</f>
        <v>119.5</v>
      </c>
      <c r="AF12" s="40">
        <f>_xlfn.STDEV.S(E12,F12,L12,O12)</f>
        <v>12.526638282742368</v>
      </c>
      <c r="AG12" s="41">
        <f t="shared" si="5"/>
        <v>0.10683700027925261</v>
      </c>
      <c r="AH12" s="40" t="str">
        <f t="shared" si="6"/>
        <v>Média</v>
      </c>
      <c r="AI12" s="50">
        <f t="shared" si="7"/>
        <v>117.25</v>
      </c>
      <c r="AJ12" s="40">
        <f t="shared" si="8"/>
        <v>469</v>
      </c>
      <c r="AL12" s="42">
        <f t="shared" si="9"/>
        <v>6</v>
      </c>
      <c r="AM12" s="42">
        <f t="shared" si="10"/>
        <v>4</v>
      </c>
    </row>
    <row r="13" spans="2:42" ht="30" customHeight="1" x14ac:dyDescent="0.25">
      <c r="B13" s="32" t="s">
        <v>204</v>
      </c>
      <c r="C13" s="38" t="s">
        <v>125</v>
      </c>
      <c r="D13" s="34">
        <v>4</v>
      </c>
      <c r="E13" s="33"/>
      <c r="F13" s="33">
        <v>99</v>
      </c>
      <c r="G13" s="33">
        <v>93.56</v>
      </c>
      <c r="H13" s="33">
        <v>357.67</v>
      </c>
      <c r="I13" s="33"/>
      <c r="J13" s="33">
        <v>57.27</v>
      </c>
      <c r="K13" s="33">
        <v>72</v>
      </c>
      <c r="L13" s="33">
        <v>98</v>
      </c>
      <c r="M13" s="40">
        <v>79.5</v>
      </c>
      <c r="N13" s="40"/>
      <c r="O13" s="40">
        <v>75</v>
      </c>
      <c r="P13" s="40">
        <v>90</v>
      </c>
      <c r="Q13" s="40"/>
      <c r="R13" s="40"/>
      <c r="S13" s="40"/>
      <c r="T13" s="40"/>
      <c r="U13" s="40"/>
      <c r="V13" s="40"/>
      <c r="W13" s="40"/>
      <c r="X13" s="40"/>
      <c r="Y13" s="40"/>
      <c r="Z13" s="40">
        <f t="shared" si="0"/>
        <v>113.55555555555556</v>
      </c>
      <c r="AA13" s="40">
        <f t="shared" si="1"/>
        <v>92.561889850941242</v>
      </c>
      <c r="AB13" s="40">
        <f t="shared" si="2"/>
        <v>20.993665704614315</v>
      </c>
      <c r="AC13" s="40">
        <f t="shared" si="3"/>
        <v>206.11744540649681</v>
      </c>
      <c r="AD13" s="40">
        <f t="shared" si="4"/>
        <v>83.041250000000005</v>
      </c>
      <c r="AE13" s="40">
        <f>MEDIAN(F13,G13,J13,K13,L13,M13,O13,P13)</f>
        <v>84.75</v>
      </c>
      <c r="AF13" s="40">
        <f>_xlfn.STDEV.S(F13,G13,J13,K13,L13,M13,O13,P13)</f>
        <v>14.64232069574842</v>
      </c>
      <c r="AG13" s="41">
        <f t="shared" si="5"/>
        <v>0.17632587052517176</v>
      </c>
      <c r="AH13" s="40" t="str">
        <f t="shared" si="6"/>
        <v>Média</v>
      </c>
      <c r="AI13" s="50">
        <f t="shared" si="7"/>
        <v>83.041250000000005</v>
      </c>
      <c r="AJ13" s="40">
        <f t="shared" si="8"/>
        <v>332.16500000000002</v>
      </c>
      <c r="AL13" s="42">
        <f t="shared" si="9"/>
        <v>9</v>
      </c>
      <c r="AM13" s="42">
        <f t="shared" si="10"/>
        <v>8</v>
      </c>
    </row>
    <row r="14" spans="2:42" ht="45" customHeight="1" x14ac:dyDescent="0.25">
      <c r="B14" s="32" t="s">
        <v>205</v>
      </c>
      <c r="C14" s="38" t="s">
        <v>125</v>
      </c>
      <c r="D14" s="34">
        <v>4</v>
      </c>
      <c r="E14" s="33"/>
      <c r="F14" s="33"/>
      <c r="G14" s="33"/>
      <c r="H14" s="33">
        <v>28.39</v>
      </c>
      <c r="I14" s="33"/>
      <c r="J14" s="33"/>
      <c r="K14" s="33"/>
      <c r="L14" s="33">
        <v>120</v>
      </c>
      <c r="M14" s="40"/>
      <c r="N14" s="40"/>
      <c r="O14" s="40">
        <v>75</v>
      </c>
      <c r="P14" s="40">
        <v>25</v>
      </c>
      <c r="Q14" s="40"/>
      <c r="R14" s="40"/>
      <c r="S14" s="40"/>
      <c r="T14" s="40"/>
      <c r="U14" s="40"/>
      <c r="V14" s="40"/>
      <c r="W14" s="40"/>
      <c r="X14" s="40"/>
      <c r="Y14" s="40"/>
      <c r="Z14" s="40">
        <f t="shared" si="0"/>
        <v>62.097499999999997</v>
      </c>
      <c r="AA14" s="40">
        <f t="shared" si="1"/>
        <v>44.838949121643495</v>
      </c>
      <c r="AB14" s="40">
        <f t="shared" si="2"/>
        <v>17.258550878356502</v>
      </c>
      <c r="AC14" s="40">
        <f t="shared" si="3"/>
        <v>106.93644912164349</v>
      </c>
      <c r="AD14" s="40">
        <f t="shared" si="4"/>
        <v>42.79666666666666</v>
      </c>
      <c r="AE14" s="40">
        <f>MEDIAN(H14,O14,P14)</f>
        <v>28.39</v>
      </c>
      <c r="AF14" s="40">
        <f>_xlfn.STDEV.S(H14,O14,P14)</f>
        <v>27.940365662126442</v>
      </c>
      <c r="AG14" s="41">
        <f t="shared" si="5"/>
        <v>0.65286312786337986</v>
      </c>
      <c r="AH14" s="40" t="str">
        <f t="shared" si="6"/>
        <v>Mediana</v>
      </c>
      <c r="AI14" s="50">
        <f t="shared" si="7"/>
        <v>28.39</v>
      </c>
      <c r="AJ14" s="40">
        <f t="shared" si="8"/>
        <v>113.56</v>
      </c>
      <c r="AL14" s="42">
        <f t="shared" si="9"/>
        <v>4</v>
      </c>
      <c r="AM14" s="42">
        <f t="shared" si="10"/>
        <v>3</v>
      </c>
    </row>
    <row r="15" spans="2:42" ht="45" customHeight="1" x14ac:dyDescent="0.25">
      <c r="B15" s="32" t="s">
        <v>206</v>
      </c>
      <c r="C15" s="38" t="s">
        <v>125</v>
      </c>
      <c r="D15" s="34">
        <v>4</v>
      </c>
      <c r="E15" s="33"/>
      <c r="F15" s="33"/>
      <c r="G15" s="33"/>
      <c r="H15" s="33">
        <v>74.66</v>
      </c>
      <c r="I15" s="33"/>
      <c r="J15" s="33"/>
      <c r="K15" s="33"/>
      <c r="L15" s="33"/>
      <c r="M15" s="40"/>
      <c r="N15" s="40"/>
      <c r="O15" s="40">
        <v>75</v>
      </c>
      <c r="P15" s="40">
        <v>50</v>
      </c>
      <c r="Q15" s="40"/>
      <c r="R15" s="40"/>
      <c r="S15" s="40"/>
      <c r="T15" s="40"/>
      <c r="U15" s="40"/>
      <c r="V15" s="40"/>
      <c r="W15" s="40"/>
      <c r="X15" s="40"/>
      <c r="Y15" s="40"/>
      <c r="Z15" s="40">
        <f t="shared" si="0"/>
        <v>66.553333333333327</v>
      </c>
      <c r="AA15" s="40">
        <f t="shared" si="1"/>
        <v>14.336615128172108</v>
      </c>
      <c r="AB15" s="40">
        <f>Z15-(AA15*1.2)</f>
        <v>49.349395179526795</v>
      </c>
      <c r="AC15" s="40">
        <f t="shared" si="3"/>
        <v>80.88994846150544</v>
      </c>
      <c r="AD15" s="40">
        <f t="shared" si="4"/>
        <v>66.553333333333327</v>
      </c>
      <c r="AE15" s="40">
        <f>MEDIAN(H15,O15,P15)</f>
        <v>74.66</v>
      </c>
      <c r="AF15" s="40">
        <f>_xlfn.STDEV.S(H15,O15,P15)</f>
        <v>14.336615128172108</v>
      </c>
      <c r="AG15" s="41">
        <f t="shared" si="5"/>
        <v>0.21541543315895184</v>
      </c>
      <c r="AH15" s="40" t="str">
        <f t="shared" si="6"/>
        <v>Média</v>
      </c>
      <c r="AI15" s="50">
        <f t="shared" si="7"/>
        <v>66.553333333333327</v>
      </c>
      <c r="AJ15" s="40">
        <f t="shared" si="8"/>
        <v>266.21333333333331</v>
      </c>
      <c r="AL15" s="42">
        <f t="shared" si="9"/>
        <v>3</v>
      </c>
      <c r="AM15" s="42">
        <f t="shared" si="10"/>
        <v>3</v>
      </c>
    </row>
    <row r="16" spans="2:42" ht="30" customHeight="1" x14ac:dyDescent="0.25">
      <c r="B16" s="32" t="s">
        <v>207</v>
      </c>
      <c r="C16" s="38" t="s">
        <v>127</v>
      </c>
      <c r="D16" s="34">
        <v>20</v>
      </c>
      <c r="E16" s="33">
        <v>11</v>
      </c>
      <c r="F16" s="33"/>
      <c r="G16" s="33">
        <v>4.9400000000000004</v>
      </c>
      <c r="H16" s="33">
        <v>5.25</v>
      </c>
      <c r="I16" s="33">
        <v>5.77</v>
      </c>
      <c r="J16" s="33">
        <v>1.7</v>
      </c>
      <c r="K16" s="33">
        <v>13.9</v>
      </c>
      <c r="L16" s="33">
        <v>8.08</v>
      </c>
      <c r="M16" s="40"/>
      <c r="N16" s="40">
        <v>0.87</v>
      </c>
      <c r="O16" s="40">
        <v>15.8</v>
      </c>
      <c r="P16" s="40">
        <v>6.9</v>
      </c>
      <c r="Q16" s="40"/>
      <c r="R16" s="40"/>
      <c r="S16" s="40"/>
      <c r="T16" s="40"/>
      <c r="U16" s="40"/>
      <c r="V16" s="40"/>
      <c r="W16" s="40"/>
      <c r="X16" s="40"/>
      <c r="Y16" s="40"/>
      <c r="Z16" s="40">
        <f t="shared" si="0"/>
        <v>7.4210000000000012</v>
      </c>
      <c r="AA16" s="40">
        <f t="shared" si="1"/>
        <v>4.886942807113666</v>
      </c>
      <c r="AB16" s="40">
        <f t="shared" si="2"/>
        <v>2.5340571928863351</v>
      </c>
      <c r="AC16" s="40">
        <f t="shared" si="3"/>
        <v>12.307942807113667</v>
      </c>
      <c r="AD16" s="40">
        <f t="shared" si="4"/>
        <v>6.9899999999999993</v>
      </c>
      <c r="AE16" s="40">
        <f>MEDIAN(E16,G16,H16,I16,L16,P16)</f>
        <v>6.335</v>
      </c>
      <c r="AF16" s="40">
        <f>_xlfn.STDEV.S(E16,G16,H16,I16,L16,P16)</f>
        <v>2.280122803710364</v>
      </c>
      <c r="AG16" s="41">
        <f t="shared" si="5"/>
        <v>0.32619782599576025</v>
      </c>
      <c r="AH16" s="40" t="str">
        <f t="shared" si="6"/>
        <v>Mediana</v>
      </c>
      <c r="AI16" s="50">
        <f t="shared" si="7"/>
        <v>6.335</v>
      </c>
      <c r="AJ16" s="40">
        <f t="shared" si="8"/>
        <v>126.7</v>
      </c>
      <c r="AL16" s="42">
        <f t="shared" si="9"/>
        <v>10</v>
      </c>
      <c r="AM16" s="42">
        <f t="shared" si="10"/>
        <v>6</v>
      </c>
    </row>
    <row r="17" spans="2:39" ht="30" customHeight="1" x14ac:dyDescent="0.25">
      <c r="B17" s="32" t="s">
        <v>208</v>
      </c>
      <c r="C17" s="38" t="s">
        <v>125</v>
      </c>
      <c r="D17" s="34">
        <v>10</v>
      </c>
      <c r="E17" s="33">
        <v>350</v>
      </c>
      <c r="F17" s="33"/>
      <c r="G17" s="33"/>
      <c r="H17" s="33">
        <v>269</v>
      </c>
      <c r="I17" s="33">
        <v>238.85</v>
      </c>
      <c r="J17" s="33">
        <v>40.64</v>
      </c>
      <c r="K17" s="33">
        <v>232.5</v>
      </c>
      <c r="L17" s="33">
        <v>391.93</v>
      </c>
      <c r="M17" s="40">
        <v>45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>
        <f t="shared" si="0"/>
        <v>223.98857142857145</v>
      </c>
      <c r="AA17" s="40">
        <f t="shared" si="1"/>
        <v>136.66025152771758</v>
      </c>
      <c r="AB17" s="40">
        <f t="shared" si="2"/>
        <v>87.32831990085387</v>
      </c>
      <c r="AC17" s="40">
        <f t="shared" si="3"/>
        <v>360.648822956289</v>
      </c>
      <c r="AD17" s="40">
        <f t="shared" si="4"/>
        <v>272.58749999999998</v>
      </c>
      <c r="AE17" s="40">
        <f>MEDIAN(E17,H17,I17,K17)</f>
        <v>253.92500000000001</v>
      </c>
      <c r="AF17" s="40">
        <f>_xlfn.STDEV.S(E17,H17,I17,K17)</f>
        <v>54.008616210749352</v>
      </c>
      <c r="AG17" s="41">
        <f t="shared" si="5"/>
        <v>0.19813313600495017</v>
      </c>
      <c r="AH17" s="40" t="str">
        <f t="shared" si="6"/>
        <v>Média</v>
      </c>
      <c r="AI17" s="50">
        <f t="shared" si="7"/>
        <v>272.58749999999998</v>
      </c>
      <c r="AJ17" s="40">
        <f t="shared" si="8"/>
        <v>2725.875</v>
      </c>
      <c r="AL17" s="42">
        <f t="shared" si="9"/>
        <v>7</v>
      </c>
      <c r="AM17" s="42">
        <f t="shared" si="10"/>
        <v>4</v>
      </c>
    </row>
    <row r="18" spans="2:39" ht="30" customHeight="1" x14ac:dyDescent="0.25">
      <c r="B18" s="31" t="s">
        <v>209</v>
      </c>
      <c r="C18" s="37" t="s">
        <v>125</v>
      </c>
      <c r="D18" s="34">
        <v>2</v>
      </c>
      <c r="E18" s="33"/>
      <c r="F18" s="33">
        <v>25</v>
      </c>
      <c r="G18" s="33"/>
      <c r="H18" s="33">
        <v>41.81</v>
      </c>
      <c r="I18" s="33"/>
      <c r="J18" s="33">
        <v>27.01</v>
      </c>
      <c r="K18" s="33"/>
      <c r="L18" s="33"/>
      <c r="M18" s="40"/>
      <c r="N18" s="40">
        <v>77.97</v>
      </c>
      <c r="O18" s="40">
        <v>60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>
        <f>AVERAGE(E18:Y18)</f>
        <v>46.358000000000004</v>
      </c>
      <c r="AA18" s="40">
        <f>_xlfn.STDEV.S(E18:Y18)</f>
        <v>22.564442603352717</v>
      </c>
      <c r="AB18" s="40">
        <f>Z18-AA18</f>
        <v>23.793557396647287</v>
      </c>
      <c r="AC18" s="40">
        <f>Z18+AA18</f>
        <v>68.922442603352721</v>
      </c>
      <c r="AD18" s="40">
        <f>AVERAGEIFS(E18:Y18,E18:Y18,"&gt;="&amp;AB18,E18:Y18,"&lt;="&amp;AC18)</f>
        <v>38.454999999999998</v>
      </c>
      <c r="AE18" s="40">
        <f>MEDIAN(F18,H18,J18,O18)</f>
        <v>34.410000000000004</v>
      </c>
      <c r="AF18" s="40">
        <f>_xlfn.STDEV.S(F18,H18,J18,O18)</f>
        <v>16.201523590905484</v>
      </c>
      <c r="AG18" s="41">
        <f t="shared" si="5"/>
        <v>0.42131123627370914</v>
      </c>
      <c r="AH18" s="40" t="str">
        <f>IF(AG18&gt;=25%,"Mediana","Média")</f>
        <v>Mediana</v>
      </c>
      <c r="AI18" s="50">
        <f>IF(AH18="Mediana",AE18,AD18)</f>
        <v>34.410000000000004</v>
      </c>
      <c r="AJ18" s="40">
        <f>D18*AI18</f>
        <v>68.820000000000007</v>
      </c>
      <c r="AL18" s="42">
        <f>COUNTA(E18:Y18)</f>
        <v>5</v>
      </c>
      <c r="AM18" s="42">
        <f>COUNTIFS(E18:Y18,"&gt;="&amp;AB18,E18:Y18,"&lt;="&amp;AC18)</f>
        <v>4</v>
      </c>
    </row>
    <row r="19" spans="2:39" ht="30" customHeight="1" x14ac:dyDescent="0.25">
      <c r="B19" s="31" t="s">
        <v>210</v>
      </c>
      <c r="C19" s="37" t="s">
        <v>125</v>
      </c>
      <c r="D19" s="34">
        <v>2</v>
      </c>
      <c r="E19" s="33"/>
      <c r="F19" s="33">
        <v>25</v>
      </c>
      <c r="G19" s="33">
        <v>25.83</v>
      </c>
      <c r="H19" s="33">
        <v>85.95</v>
      </c>
      <c r="I19" s="33"/>
      <c r="J19" s="33">
        <v>40.01</v>
      </c>
      <c r="K19" s="33"/>
      <c r="L19" s="33">
        <v>42.72</v>
      </c>
      <c r="M19" s="40"/>
      <c r="N19" s="40">
        <v>19.899999999999999</v>
      </c>
      <c r="O19" s="40">
        <v>45</v>
      </c>
      <c r="P19" s="40">
        <v>15</v>
      </c>
      <c r="Q19" s="40"/>
      <c r="R19" s="40"/>
      <c r="S19" s="40"/>
      <c r="T19" s="40"/>
      <c r="U19" s="40"/>
      <c r="V19" s="40"/>
      <c r="W19" s="40"/>
      <c r="X19" s="40"/>
      <c r="Y19" s="40"/>
      <c r="Z19" s="40">
        <f t="shared" ref="Z19:Z42" si="11">AVERAGE(E19:Y19)</f>
        <v>37.426249999999996</v>
      </c>
      <c r="AA19" s="40">
        <f t="shared" ref="AA19:AA42" si="12">_xlfn.STDEV.S(E19:Y19)</f>
        <v>22.505892522054889</v>
      </c>
      <c r="AB19" s="40">
        <f t="shared" ref="AB19:AB42" si="13">Z19-AA19</f>
        <v>14.920357477945107</v>
      </c>
      <c r="AC19" s="40">
        <f t="shared" ref="AC19:AC42" si="14">Z19+AA19</f>
        <v>59.932142522054889</v>
      </c>
      <c r="AD19" s="40">
        <f t="shared" ref="AD19:AD42" si="15">AVERAGEIFS(E19:Y19,E19:Y19,"&gt;="&amp;AB19,E19:Y19,"&lt;="&amp;AC19)</f>
        <v>30.494285714285716</v>
      </c>
      <c r="AE19" s="40">
        <f>MEDIAN(F19,G19,J19,L19,N19,O19,P19)</f>
        <v>25.83</v>
      </c>
      <c r="AF19" s="40">
        <f>_xlfn.STDEV.S(F19,G19,J19,L19,N19,O19,P19)</f>
        <v>11.935152362025461</v>
      </c>
      <c r="AG19" s="41">
        <f t="shared" si="5"/>
        <v>0.39138979918569389</v>
      </c>
      <c r="AH19" s="40" t="str">
        <f t="shared" ref="AH19:AH42" si="16">IF(AG19&gt;=25%,"Mediana","Média")</f>
        <v>Mediana</v>
      </c>
      <c r="AI19" s="50">
        <f t="shared" ref="AI19:AI42" si="17">IF(AH19="Mediana",AE19,AD19)</f>
        <v>25.83</v>
      </c>
      <c r="AJ19" s="40">
        <f t="shared" ref="AJ19:AJ42" si="18">D19*AI19</f>
        <v>51.66</v>
      </c>
      <c r="AL19" s="42">
        <f t="shared" ref="AL19:AL42" si="19">COUNTA(E19:Y19)</f>
        <v>8</v>
      </c>
      <c r="AM19" s="42">
        <f t="shared" ref="AM19:AM42" si="20">COUNTIFS(E19:Y19,"&gt;="&amp;AB19,E19:Y19,"&lt;="&amp;AC19)</f>
        <v>7</v>
      </c>
    </row>
    <row r="20" spans="2:39" ht="30" customHeight="1" x14ac:dyDescent="0.25">
      <c r="B20" s="31" t="s">
        <v>211</v>
      </c>
      <c r="C20" s="37" t="s">
        <v>125</v>
      </c>
      <c r="D20" s="34">
        <v>2</v>
      </c>
      <c r="E20" s="33"/>
      <c r="F20" s="33">
        <f>25+5+5</f>
        <v>35</v>
      </c>
      <c r="G20" s="33">
        <v>12.74</v>
      </c>
      <c r="H20" s="33">
        <v>72.52</v>
      </c>
      <c r="I20" s="33"/>
      <c r="J20" s="33">
        <v>13.49</v>
      </c>
      <c r="K20" s="33"/>
      <c r="L20" s="33">
        <v>37.049999999999997</v>
      </c>
      <c r="M20" s="40"/>
      <c r="N20" s="40"/>
      <c r="O20" s="40">
        <v>35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>
        <f t="shared" si="11"/>
        <v>34.300000000000004</v>
      </c>
      <c r="AA20" s="40">
        <f t="shared" si="12"/>
        <v>21.758679187855119</v>
      </c>
      <c r="AB20" s="40">
        <f t="shared" si="13"/>
        <v>12.541320812144885</v>
      </c>
      <c r="AC20" s="40">
        <f t="shared" si="14"/>
        <v>56.05867918785512</v>
      </c>
      <c r="AD20" s="40">
        <f t="shared" si="15"/>
        <v>26.655999999999999</v>
      </c>
      <c r="AE20" s="40">
        <f>MEDIAN(F20,G20,J20,L20,O20)</f>
        <v>35</v>
      </c>
      <c r="AF20" s="40">
        <f>_xlfn.STDEV.S(F20,G20,J20,L20,O20)</f>
        <v>12.392321412874988</v>
      </c>
      <c r="AG20" s="41">
        <f t="shared" si="5"/>
        <v>0.46489801218768717</v>
      </c>
      <c r="AH20" s="40" t="str">
        <f t="shared" si="16"/>
        <v>Mediana</v>
      </c>
      <c r="AI20" s="50">
        <f t="shared" si="17"/>
        <v>35</v>
      </c>
      <c r="AJ20" s="40">
        <f t="shared" si="18"/>
        <v>70</v>
      </c>
      <c r="AL20" s="42">
        <f t="shared" si="19"/>
        <v>6</v>
      </c>
      <c r="AM20" s="42">
        <f t="shared" si="20"/>
        <v>5</v>
      </c>
    </row>
    <row r="21" spans="2:39" ht="30" customHeight="1" x14ac:dyDescent="0.25">
      <c r="B21" s="31" t="s">
        <v>212</v>
      </c>
      <c r="C21" s="37" t="s">
        <v>125</v>
      </c>
      <c r="D21" s="34">
        <v>2</v>
      </c>
      <c r="E21" s="33"/>
      <c r="F21" s="33">
        <v>75</v>
      </c>
      <c r="G21" s="33">
        <v>56.46</v>
      </c>
      <c r="H21" s="33">
        <v>153.97</v>
      </c>
      <c r="I21" s="33"/>
      <c r="J21" s="33">
        <v>64.48</v>
      </c>
      <c r="K21" s="33"/>
      <c r="L21" s="33"/>
      <c r="M21" s="40"/>
      <c r="N21" s="40">
        <v>40.47</v>
      </c>
      <c r="O21" s="40">
        <v>65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>
        <f t="shared" si="11"/>
        <v>75.896666666666661</v>
      </c>
      <c r="AA21" s="40">
        <f t="shared" si="12"/>
        <v>39.945362016968467</v>
      </c>
      <c r="AB21" s="40">
        <f t="shared" si="13"/>
        <v>35.951304649698194</v>
      </c>
      <c r="AC21" s="40">
        <f t="shared" si="14"/>
        <v>115.84202868363514</v>
      </c>
      <c r="AD21" s="40">
        <f t="shared" si="15"/>
        <v>60.281999999999996</v>
      </c>
      <c r="AE21" s="40">
        <f>MEDIAN(F21,G21,J21,N21,O21)</f>
        <v>64.48</v>
      </c>
      <c r="AF21" s="40">
        <f>_xlfn.STDEV.S(F21,G21,J21,N21,O21)</f>
        <v>12.88046272460741</v>
      </c>
      <c r="AG21" s="41">
        <f t="shared" si="5"/>
        <v>0.21367012913651523</v>
      </c>
      <c r="AH21" s="40" t="str">
        <f t="shared" si="16"/>
        <v>Média</v>
      </c>
      <c r="AI21" s="50">
        <f t="shared" si="17"/>
        <v>60.281999999999996</v>
      </c>
      <c r="AJ21" s="40">
        <f t="shared" si="18"/>
        <v>120.56399999999999</v>
      </c>
      <c r="AL21" s="42">
        <f t="shared" si="19"/>
        <v>6</v>
      </c>
      <c r="AM21" s="42">
        <f t="shared" si="20"/>
        <v>5</v>
      </c>
    </row>
    <row r="22" spans="2:39" ht="30" customHeight="1" x14ac:dyDescent="0.25">
      <c r="B22" s="31" t="s">
        <v>213</v>
      </c>
      <c r="C22" s="37" t="s">
        <v>125</v>
      </c>
      <c r="D22" s="34">
        <v>2</v>
      </c>
      <c r="E22" s="33"/>
      <c r="F22" s="33">
        <f>25+25+25</f>
        <v>75</v>
      </c>
      <c r="G22" s="33">
        <f>4.32*3</f>
        <v>12.96</v>
      </c>
      <c r="H22" s="33">
        <f>7.25+10.51+11.97</f>
        <v>29.729999999999997</v>
      </c>
      <c r="I22" s="33"/>
      <c r="J22" s="33">
        <v>10.29</v>
      </c>
      <c r="K22" s="33"/>
      <c r="L22" s="33"/>
      <c r="M22" s="40"/>
      <c r="N22" s="40">
        <v>21.84</v>
      </c>
      <c r="O22" s="40">
        <v>55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>
        <f t="shared" si="11"/>
        <v>34.136666666666663</v>
      </c>
      <c r="AA22" s="40">
        <f t="shared" si="12"/>
        <v>25.662549106950905</v>
      </c>
      <c r="AB22" s="40">
        <f t="shared" si="13"/>
        <v>8.4741175597157579</v>
      </c>
      <c r="AC22" s="40">
        <f t="shared" si="14"/>
        <v>59.799215773617568</v>
      </c>
      <c r="AD22" s="40">
        <f t="shared" si="15"/>
        <v>25.963999999999999</v>
      </c>
      <c r="AE22" s="40">
        <f>MEDIAN(G22,H22,J22,N22,O22)</f>
        <v>21.84</v>
      </c>
      <c r="AF22" s="40">
        <f>_xlfn.STDEV.S(G22,H22,J22,N22,O22)</f>
        <v>17.951724986752669</v>
      </c>
      <c r="AG22" s="41">
        <f t="shared" si="5"/>
        <v>0.69140829559207639</v>
      </c>
      <c r="AH22" s="40" t="str">
        <f t="shared" si="16"/>
        <v>Mediana</v>
      </c>
      <c r="AI22" s="50">
        <f t="shared" si="17"/>
        <v>21.84</v>
      </c>
      <c r="AJ22" s="40">
        <f t="shared" si="18"/>
        <v>43.68</v>
      </c>
      <c r="AL22" s="42">
        <f t="shared" si="19"/>
        <v>6</v>
      </c>
      <c r="AM22" s="42">
        <f t="shared" si="20"/>
        <v>5</v>
      </c>
    </row>
    <row r="23" spans="2:39" ht="30" customHeight="1" x14ac:dyDescent="0.25">
      <c r="B23" s="32" t="s">
        <v>214</v>
      </c>
      <c r="C23" s="38" t="s">
        <v>125</v>
      </c>
      <c r="D23" s="34">
        <v>2</v>
      </c>
      <c r="E23" s="33"/>
      <c r="F23" s="33">
        <f>25+25+25</f>
        <v>75</v>
      </c>
      <c r="G23" s="33">
        <f>5.12*3</f>
        <v>15.36</v>
      </c>
      <c r="H23" s="33"/>
      <c r="I23" s="33"/>
      <c r="J23" s="33">
        <v>12.7</v>
      </c>
      <c r="K23" s="33"/>
      <c r="L23" s="33"/>
      <c r="M23" s="40"/>
      <c r="N23" s="40"/>
      <c r="O23" s="40">
        <v>55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>
        <f t="shared" si="11"/>
        <v>39.515000000000001</v>
      </c>
      <c r="AA23" s="40">
        <f t="shared" si="12"/>
        <v>30.558570538121273</v>
      </c>
      <c r="AB23" s="40">
        <f t="shared" si="13"/>
        <v>8.9564294618787272</v>
      </c>
      <c r="AC23" s="40">
        <f t="shared" si="14"/>
        <v>70.073570538121274</v>
      </c>
      <c r="AD23" s="40">
        <f t="shared" si="15"/>
        <v>27.686666666666667</v>
      </c>
      <c r="AE23" s="40">
        <f>MEDIAN(G23,J23,O23)</f>
        <v>15.36</v>
      </c>
      <c r="AF23" s="40">
        <f>_xlfn.STDEV.S(G23,J23,O23)</f>
        <v>23.691402097244758</v>
      </c>
      <c r="AG23" s="41">
        <f t="shared" si="5"/>
        <v>0.85569716219280367</v>
      </c>
      <c r="AH23" s="40" t="str">
        <f t="shared" si="16"/>
        <v>Mediana</v>
      </c>
      <c r="AI23" s="50">
        <f t="shared" si="17"/>
        <v>15.36</v>
      </c>
      <c r="AJ23" s="40">
        <f t="shared" si="18"/>
        <v>30.72</v>
      </c>
      <c r="AL23" s="42">
        <f t="shared" si="19"/>
        <v>4</v>
      </c>
      <c r="AM23" s="42">
        <f t="shared" si="20"/>
        <v>3</v>
      </c>
    </row>
    <row r="24" spans="2:39" ht="30" customHeight="1" x14ac:dyDescent="0.25">
      <c r="B24" s="32" t="s">
        <v>215</v>
      </c>
      <c r="C24" s="38" t="s">
        <v>125</v>
      </c>
      <c r="D24" s="34">
        <v>2</v>
      </c>
      <c r="E24" s="33"/>
      <c r="F24" s="33"/>
      <c r="G24" s="33">
        <v>144.33000000000001</v>
      </c>
      <c r="H24" s="33"/>
      <c r="I24" s="33"/>
      <c r="J24" s="33">
        <v>143.87</v>
      </c>
      <c r="K24" s="33"/>
      <c r="L24" s="33"/>
      <c r="M24" s="40"/>
      <c r="N24" s="40"/>
      <c r="O24" s="40">
        <v>65</v>
      </c>
      <c r="P24" s="40"/>
      <c r="Q24" s="40">
        <f>(795.8+42.18)/2</f>
        <v>418.98999999999995</v>
      </c>
      <c r="R24" s="40"/>
      <c r="S24" s="40"/>
      <c r="T24" s="40"/>
      <c r="U24" s="40"/>
      <c r="V24" s="40"/>
      <c r="W24" s="40"/>
      <c r="X24" s="40"/>
      <c r="Y24" s="40"/>
      <c r="Z24" s="40">
        <f t="shared" si="11"/>
        <v>193.04750000000001</v>
      </c>
      <c r="AA24" s="40">
        <f t="shared" si="12"/>
        <v>155.17516647861746</v>
      </c>
      <c r="AB24" s="40">
        <f t="shared" si="13"/>
        <v>37.872333521382558</v>
      </c>
      <c r="AC24" s="40">
        <f t="shared" si="14"/>
        <v>348.2226664786175</v>
      </c>
      <c r="AD24" s="40">
        <f t="shared" si="15"/>
        <v>117.73333333333335</v>
      </c>
      <c r="AE24" s="40">
        <f>MEDIAN(G24,J24,O24)</f>
        <v>143.87</v>
      </c>
      <c r="AF24" s="40">
        <f>_xlfn.STDEV.S(G24,J24,O24)</f>
        <v>45.668985464243974</v>
      </c>
      <c r="AG24" s="41">
        <f t="shared" si="5"/>
        <v>0.38790191504170979</v>
      </c>
      <c r="AH24" s="40" t="str">
        <f t="shared" si="16"/>
        <v>Mediana</v>
      </c>
      <c r="AI24" s="50">
        <f t="shared" si="17"/>
        <v>143.87</v>
      </c>
      <c r="AJ24" s="40">
        <f t="shared" si="18"/>
        <v>287.74</v>
      </c>
      <c r="AL24" s="42">
        <f t="shared" si="19"/>
        <v>4</v>
      </c>
      <c r="AM24" s="42">
        <f t="shared" si="20"/>
        <v>3</v>
      </c>
    </row>
    <row r="25" spans="2:39" ht="30" customHeight="1" x14ac:dyDescent="0.25">
      <c r="B25" s="32" t="s">
        <v>216</v>
      </c>
      <c r="C25" s="38" t="s">
        <v>125</v>
      </c>
      <c r="D25" s="34">
        <v>2</v>
      </c>
      <c r="E25" s="33"/>
      <c r="F25" s="33">
        <v>25</v>
      </c>
      <c r="G25" s="33">
        <v>207.39</v>
      </c>
      <c r="H25" s="33">
        <v>151.79</v>
      </c>
      <c r="I25" s="33"/>
      <c r="J25" s="33"/>
      <c r="K25" s="33"/>
      <c r="L25" s="33">
        <v>148.81</v>
      </c>
      <c r="M25" s="40"/>
      <c r="N25" s="40"/>
      <c r="O25" s="40">
        <v>65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>
        <f t="shared" si="11"/>
        <v>119.598</v>
      </c>
      <c r="AA25" s="40">
        <f t="shared" si="12"/>
        <v>73.360112254548767</v>
      </c>
      <c r="AB25" s="40">
        <f t="shared" si="13"/>
        <v>46.237887745451232</v>
      </c>
      <c r="AC25" s="40">
        <f t="shared" si="14"/>
        <v>192.95811225454878</v>
      </c>
      <c r="AD25" s="40">
        <f t="shared" si="15"/>
        <v>121.86666666666667</v>
      </c>
      <c r="AE25" s="40">
        <f>MEDIAN(H25,L25,O25)</f>
        <v>148.81</v>
      </c>
      <c r="AF25" s="40">
        <f>_xlfn.STDEV.S(H25,L25,O25)</f>
        <v>49.270512817844036</v>
      </c>
      <c r="AG25" s="41">
        <f t="shared" si="5"/>
        <v>0.40429851874598494</v>
      </c>
      <c r="AH25" s="40" t="str">
        <f t="shared" si="16"/>
        <v>Mediana</v>
      </c>
      <c r="AI25" s="50">
        <f t="shared" si="17"/>
        <v>148.81</v>
      </c>
      <c r="AJ25" s="40">
        <f t="shared" si="18"/>
        <v>297.62</v>
      </c>
      <c r="AL25" s="42">
        <f t="shared" si="19"/>
        <v>5</v>
      </c>
      <c r="AM25" s="42">
        <f t="shared" si="20"/>
        <v>3</v>
      </c>
    </row>
    <row r="26" spans="2:39" ht="30" customHeight="1" x14ac:dyDescent="0.25">
      <c r="B26" s="32" t="s">
        <v>217</v>
      </c>
      <c r="C26" s="38" t="s">
        <v>125</v>
      </c>
      <c r="D26" s="34">
        <v>2</v>
      </c>
      <c r="E26" s="33"/>
      <c r="F26" s="33"/>
      <c r="G26" s="33">
        <v>19.54</v>
      </c>
      <c r="H26" s="33">
        <v>53.09</v>
      </c>
      <c r="I26" s="33"/>
      <c r="J26" s="33">
        <v>19.940000000000001</v>
      </c>
      <c r="K26" s="33"/>
      <c r="L26" s="33">
        <v>34.24</v>
      </c>
      <c r="M26" s="40"/>
      <c r="N26" s="40">
        <v>17.97</v>
      </c>
      <c r="O26" s="40">
        <v>55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>
        <f t="shared" si="11"/>
        <v>33.296666666666667</v>
      </c>
      <c r="AA26" s="40">
        <f t="shared" si="12"/>
        <v>17.124565590597232</v>
      </c>
      <c r="AB26" s="40">
        <f t="shared" si="13"/>
        <v>16.172101076069435</v>
      </c>
      <c r="AC26" s="40">
        <f t="shared" si="14"/>
        <v>50.421232257263895</v>
      </c>
      <c r="AD26" s="40">
        <f t="shared" si="15"/>
        <v>22.922499999999999</v>
      </c>
      <c r="AE26" s="40">
        <f>MEDIAN(G26,J26,L26,N26)</f>
        <v>19.740000000000002</v>
      </c>
      <c r="AF26" s="40">
        <f>_xlfn.STDEV.S(G26,J26,L26,N26)</f>
        <v>7.5927525750986122</v>
      </c>
      <c r="AG26" s="41">
        <f t="shared" si="5"/>
        <v>0.33123579780122642</v>
      </c>
      <c r="AH26" s="40" t="str">
        <f t="shared" si="16"/>
        <v>Mediana</v>
      </c>
      <c r="AI26" s="50">
        <f t="shared" si="17"/>
        <v>19.740000000000002</v>
      </c>
      <c r="AJ26" s="40">
        <f t="shared" si="18"/>
        <v>39.480000000000004</v>
      </c>
      <c r="AL26" s="42">
        <f t="shared" si="19"/>
        <v>6</v>
      </c>
      <c r="AM26" s="42">
        <f t="shared" si="20"/>
        <v>4</v>
      </c>
    </row>
    <row r="27" spans="2:39" ht="30" customHeight="1" x14ac:dyDescent="0.25">
      <c r="B27" s="36" t="s">
        <v>218</v>
      </c>
      <c r="C27" s="38" t="s">
        <v>125</v>
      </c>
      <c r="D27" s="39">
        <v>2</v>
      </c>
      <c r="E27" s="40"/>
      <c r="F27" s="40">
        <v>40</v>
      </c>
      <c r="G27" s="40">
        <v>8.4</v>
      </c>
      <c r="H27" s="40">
        <v>22.15</v>
      </c>
      <c r="I27" s="40">
        <v>24.23</v>
      </c>
      <c r="J27" s="40">
        <v>8.94</v>
      </c>
      <c r="K27" s="40">
        <v>22</v>
      </c>
      <c r="L27" s="40">
        <v>11.57</v>
      </c>
      <c r="M27" s="40">
        <v>58.5</v>
      </c>
      <c r="N27" s="40">
        <v>9</v>
      </c>
      <c r="O27" s="40">
        <v>45</v>
      </c>
      <c r="P27" s="40">
        <v>15</v>
      </c>
      <c r="Q27" s="40"/>
      <c r="R27" s="40"/>
      <c r="S27" s="40"/>
      <c r="T27" s="40"/>
      <c r="U27" s="40"/>
      <c r="V27" s="40"/>
      <c r="W27" s="40"/>
      <c r="X27" s="40"/>
      <c r="Y27" s="40"/>
      <c r="Z27" s="40">
        <f t="shared" si="11"/>
        <v>24.071818181818177</v>
      </c>
      <c r="AA27" s="40">
        <f t="shared" si="12"/>
        <v>16.808739285372852</v>
      </c>
      <c r="AB27" s="40">
        <f t="shared" si="13"/>
        <v>7.2630788964453252</v>
      </c>
      <c r="AC27" s="40">
        <f t="shared" si="14"/>
        <v>40.880557467191025</v>
      </c>
      <c r="AD27" s="40">
        <f t="shared" si="15"/>
        <v>17.921111111111109</v>
      </c>
      <c r="AE27" s="40">
        <f>MEDIAN(F27,G27,H27,I27,J27,K27,L27,N27,P27)</f>
        <v>15</v>
      </c>
      <c r="AF27" s="40">
        <f>_xlfn.STDEV.S(F27,G27,H27,I27,J27,K27,L27,N27,P27)</f>
        <v>10.377667662394627</v>
      </c>
      <c r="AG27" s="41">
        <f t="shared" si="5"/>
        <v>0.57907501371164771</v>
      </c>
      <c r="AH27" s="40" t="str">
        <f t="shared" si="16"/>
        <v>Mediana</v>
      </c>
      <c r="AI27" s="50">
        <f t="shared" si="17"/>
        <v>15</v>
      </c>
      <c r="AJ27" s="40">
        <f t="shared" si="18"/>
        <v>30</v>
      </c>
      <c r="AL27" s="42">
        <f t="shared" si="19"/>
        <v>11</v>
      </c>
      <c r="AM27" s="42">
        <f t="shared" si="20"/>
        <v>9</v>
      </c>
    </row>
    <row r="28" spans="2:39" ht="30" customHeight="1" x14ac:dyDescent="0.25">
      <c r="B28" s="36" t="s">
        <v>219</v>
      </c>
      <c r="C28" s="38" t="s">
        <v>125</v>
      </c>
      <c r="D28" s="39">
        <v>2</v>
      </c>
      <c r="E28" s="40"/>
      <c r="F28" s="40">
        <v>25</v>
      </c>
      <c r="G28" s="40">
        <v>98.89</v>
      </c>
      <c r="H28" s="40">
        <v>296.41000000000003</v>
      </c>
      <c r="I28" s="40"/>
      <c r="J28" s="40"/>
      <c r="K28" s="40"/>
      <c r="L28" s="40"/>
      <c r="M28" s="40"/>
      <c r="N28" s="40"/>
      <c r="O28" s="40">
        <v>68</v>
      </c>
      <c r="P28" s="40">
        <v>100</v>
      </c>
      <c r="Q28" s="40"/>
      <c r="R28" s="40"/>
      <c r="S28" s="40"/>
      <c r="T28" s="40"/>
      <c r="U28" s="40"/>
      <c r="V28" s="40"/>
      <c r="W28" s="40"/>
      <c r="X28" s="40"/>
      <c r="Y28" s="40"/>
      <c r="Z28" s="40">
        <f t="shared" si="11"/>
        <v>117.66</v>
      </c>
      <c r="AA28" s="40">
        <f t="shared" si="12"/>
        <v>104.484140184049</v>
      </c>
      <c r="AB28" s="40">
        <f t="shared" si="13"/>
        <v>13.175859815951</v>
      </c>
      <c r="AC28" s="40">
        <f t="shared" si="14"/>
        <v>222.14414018404898</v>
      </c>
      <c r="AD28" s="40">
        <f t="shared" si="15"/>
        <v>72.972499999999997</v>
      </c>
      <c r="AE28" s="40">
        <f>MEDIAN(F28,G28,O28,P28)</f>
        <v>83.444999999999993</v>
      </c>
      <c r="AF28" s="40">
        <f>_xlfn.STDEV.S(F28,G28,O28,P28)</f>
        <v>35.252844211495919</v>
      </c>
      <c r="AG28" s="41">
        <f t="shared" si="5"/>
        <v>0.48309766297572265</v>
      </c>
      <c r="AH28" s="40" t="str">
        <f t="shared" si="16"/>
        <v>Mediana</v>
      </c>
      <c r="AI28" s="50">
        <f t="shared" si="17"/>
        <v>83.444999999999993</v>
      </c>
      <c r="AJ28" s="40">
        <f t="shared" si="18"/>
        <v>166.89</v>
      </c>
      <c r="AL28" s="42">
        <f t="shared" si="19"/>
        <v>5</v>
      </c>
      <c r="AM28" s="42">
        <f t="shared" si="20"/>
        <v>4</v>
      </c>
    </row>
    <row r="29" spans="2:39" ht="30" customHeight="1" x14ac:dyDescent="0.25">
      <c r="B29" s="36" t="s">
        <v>220</v>
      </c>
      <c r="C29" s="38" t="s">
        <v>125</v>
      </c>
      <c r="D29" s="39">
        <v>2</v>
      </c>
      <c r="E29" s="40"/>
      <c r="F29" s="40"/>
      <c r="G29" s="40"/>
      <c r="H29" s="40">
        <v>22.9</v>
      </c>
      <c r="I29" s="40"/>
      <c r="J29" s="40"/>
      <c r="K29" s="40"/>
      <c r="L29" s="40"/>
      <c r="M29" s="40"/>
      <c r="N29" s="40"/>
      <c r="O29" s="40">
        <v>12.5</v>
      </c>
      <c r="P29" s="40">
        <v>20</v>
      </c>
      <c r="Q29" s="40">
        <f>(213.8+14.94)/2</f>
        <v>114.37</v>
      </c>
      <c r="R29" s="40">
        <f>(179.82+0)/2</f>
        <v>89.91</v>
      </c>
      <c r="S29" s="40"/>
      <c r="T29" s="40"/>
      <c r="U29" s="40"/>
      <c r="V29" s="40"/>
      <c r="W29" s="40"/>
      <c r="X29" s="40"/>
      <c r="Y29" s="40"/>
      <c r="Z29" s="40">
        <f t="shared" si="11"/>
        <v>51.936</v>
      </c>
      <c r="AA29" s="40">
        <f t="shared" si="12"/>
        <v>46.792693126170882</v>
      </c>
      <c r="AB29" s="40">
        <f t="shared" si="13"/>
        <v>5.1433068738291183</v>
      </c>
      <c r="AC29" s="40">
        <f t="shared" si="14"/>
        <v>98.728693126170882</v>
      </c>
      <c r="AD29" s="40">
        <f t="shared" si="15"/>
        <v>36.327500000000001</v>
      </c>
      <c r="AE29" s="40">
        <f>MEDIAN(H29,O29,P29,R29)</f>
        <v>21.45</v>
      </c>
      <c r="AF29" s="40">
        <f>_xlfn.STDEV.S(H29,O29,P29,R29)</f>
        <v>35.989438612830099</v>
      </c>
      <c r="AG29" s="41">
        <f t="shared" si="5"/>
        <v>0.99069406407900618</v>
      </c>
      <c r="AH29" s="40" t="str">
        <f t="shared" si="16"/>
        <v>Mediana</v>
      </c>
      <c r="AI29" s="50">
        <f t="shared" si="17"/>
        <v>21.45</v>
      </c>
      <c r="AJ29" s="40">
        <f t="shared" si="18"/>
        <v>42.9</v>
      </c>
      <c r="AL29" s="42">
        <f t="shared" si="19"/>
        <v>5</v>
      </c>
      <c r="AM29" s="42">
        <f t="shared" si="20"/>
        <v>4</v>
      </c>
    </row>
    <row r="30" spans="2:39" ht="30" customHeight="1" x14ac:dyDescent="0.25">
      <c r="B30" s="36" t="s">
        <v>221</v>
      </c>
      <c r="C30" s="38" t="s">
        <v>125</v>
      </c>
      <c r="D30" s="39">
        <v>2</v>
      </c>
      <c r="E30" s="40"/>
      <c r="F30" s="40">
        <v>50</v>
      </c>
      <c r="G30" s="40">
        <v>103.86</v>
      </c>
      <c r="H30" s="40">
        <v>149.61000000000001</v>
      </c>
      <c r="I30" s="40">
        <v>170.28</v>
      </c>
      <c r="J30" s="40">
        <v>51.96</v>
      </c>
      <c r="K30" s="40">
        <v>110</v>
      </c>
      <c r="L30" s="40">
        <v>120</v>
      </c>
      <c r="M30" s="40">
        <v>175</v>
      </c>
      <c r="N30" s="40">
        <v>59.9</v>
      </c>
      <c r="O30" s="40">
        <v>112</v>
      </c>
      <c r="P30" s="40">
        <v>90</v>
      </c>
      <c r="Q30" s="40"/>
      <c r="R30" s="40"/>
      <c r="S30" s="40"/>
      <c r="T30" s="40"/>
      <c r="U30" s="40"/>
      <c r="V30" s="40"/>
      <c r="W30" s="40"/>
      <c r="X30" s="40"/>
      <c r="Y30" s="40"/>
      <c r="Z30" s="40">
        <f t="shared" si="11"/>
        <v>108.41909090909093</v>
      </c>
      <c r="AA30" s="40">
        <f t="shared" si="12"/>
        <v>44.068684676206402</v>
      </c>
      <c r="AB30" s="40">
        <f t="shared" si="13"/>
        <v>64.350406232884524</v>
      </c>
      <c r="AC30" s="40">
        <f t="shared" si="14"/>
        <v>152.48777558529733</v>
      </c>
      <c r="AD30" s="40">
        <f t="shared" si="15"/>
        <v>114.245</v>
      </c>
      <c r="AE30" s="40">
        <f>MEDIAN(G30,H30,K30,L30,O30,P30)</f>
        <v>111</v>
      </c>
      <c r="AF30" s="40">
        <f>_xlfn.STDEV.S(G30,H30,K30,L30,O30,P30)</f>
        <v>20.012653747067127</v>
      </c>
      <c r="AG30" s="41">
        <f t="shared" si="5"/>
        <v>0.17517312571287255</v>
      </c>
      <c r="AH30" s="40" t="str">
        <f t="shared" si="16"/>
        <v>Média</v>
      </c>
      <c r="AI30" s="50">
        <f t="shared" si="17"/>
        <v>114.245</v>
      </c>
      <c r="AJ30" s="40">
        <f t="shared" si="18"/>
        <v>228.49</v>
      </c>
      <c r="AL30" s="42">
        <f t="shared" si="19"/>
        <v>11</v>
      </c>
      <c r="AM30" s="42">
        <f t="shared" si="20"/>
        <v>6</v>
      </c>
    </row>
    <row r="31" spans="2:39" ht="30" customHeight="1" x14ac:dyDescent="0.25">
      <c r="B31" s="36" t="s">
        <v>222</v>
      </c>
      <c r="C31" s="38" t="s">
        <v>125</v>
      </c>
      <c r="D31" s="39">
        <v>10</v>
      </c>
      <c r="E31" s="40">
        <v>69.45</v>
      </c>
      <c r="F31" s="40">
        <v>20</v>
      </c>
      <c r="G31" s="40">
        <v>32.71</v>
      </c>
      <c r="H31" s="40">
        <v>25.8</v>
      </c>
      <c r="I31" s="40"/>
      <c r="J31" s="40">
        <v>13.27</v>
      </c>
      <c r="K31" s="40"/>
      <c r="L31" s="40">
        <v>34.08</v>
      </c>
      <c r="M31" s="40"/>
      <c r="N31" s="40">
        <v>17.100000000000001</v>
      </c>
      <c r="O31" s="40">
        <v>21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>
        <f t="shared" si="11"/>
        <v>29.17625</v>
      </c>
      <c r="AA31" s="40">
        <f t="shared" si="12"/>
        <v>17.807732620168931</v>
      </c>
      <c r="AB31" s="40">
        <f t="shared" si="13"/>
        <v>11.368517379831069</v>
      </c>
      <c r="AC31" s="40">
        <f t="shared" si="14"/>
        <v>46.983982620168931</v>
      </c>
      <c r="AD31" s="40">
        <f t="shared" si="15"/>
        <v>23.422857142857143</v>
      </c>
      <c r="AE31" s="40">
        <f>MEDIAN(F31,G31,H31,J31,L31,N31,O31)</f>
        <v>21</v>
      </c>
      <c r="AF31" s="40">
        <f>_xlfn.STDEV.S(F31,G31,H31,J31,L31,N31,O31)</f>
        <v>7.8115485325376071</v>
      </c>
      <c r="AG31" s="41">
        <f t="shared" si="5"/>
        <v>0.33350109616835355</v>
      </c>
      <c r="AH31" s="40" t="str">
        <f t="shared" si="16"/>
        <v>Mediana</v>
      </c>
      <c r="AI31" s="50">
        <f t="shared" si="17"/>
        <v>21</v>
      </c>
      <c r="AJ31" s="40">
        <f t="shared" si="18"/>
        <v>210</v>
      </c>
      <c r="AL31" s="42">
        <f t="shared" si="19"/>
        <v>8</v>
      </c>
      <c r="AM31" s="42">
        <f t="shared" si="20"/>
        <v>7</v>
      </c>
    </row>
    <row r="32" spans="2:39" ht="30" customHeight="1" x14ac:dyDescent="0.25">
      <c r="B32" s="36" t="s">
        <v>223</v>
      </c>
      <c r="C32" s="38" t="s">
        <v>125</v>
      </c>
      <c r="D32" s="39">
        <v>4</v>
      </c>
      <c r="E32" s="40">
        <f>(33+33+28)/3</f>
        <v>31.333333333333332</v>
      </c>
      <c r="F32" s="40">
        <v>15</v>
      </c>
      <c r="G32" s="40">
        <v>8.58</v>
      </c>
      <c r="H32" s="40">
        <v>18.09</v>
      </c>
      <c r="I32" s="40">
        <f>(20.5+21.43+20.01)/3</f>
        <v>20.646666666666665</v>
      </c>
      <c r="J32" s="40">
        <v>28.66</v>
      </c>
      <c r="K32" s="40">
        <v>48.9</v>
      </c>
      <c r="L32" s="40">
        <v>17.82</v>
      </c>
      <c r="M32" s="40">
        <v>125.9</v>
      </c>
      <c r="N32" s="40">
        <v>20.64</v>
      </c>
      <c r="O32" s="40">
        <v>45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>
        <f t="shared" si="11"/>
        <v>34.597272727272724</v>
      </c>
      <c r="AA32" s="40">
        <f t="shared" si="12"/>
        <v>32.709663159996076</v>
      </c>
      <c r="AB32" s="40">
        <f t="shared" si="13"/>
        <v>1.8876095672766482</v>
      </c>
      <c r="AC32" s="40">
        <f t="shared" si="14"/>
        <v>67.306935887268793</v>
      </c>
      <c r="AD32" s="40">
        <f t="shared" si="15"/>
        <v>25.466999999999995</v>
      </c>
      <c r="AE32" s="40">
        <f>MEDIAN(E32,F32,G32,H32,I32,J32,K32,L32,N32,O32)</f>
        <v>20.643333333333331</v>
      </c>
      <c r="AF32" s="40">
        <f>_xlfn.STDEV.S(E32,F32,G32,H32,I32,J32,K32,L32,N32,O32)</f>
        <v>13.035906959123094</v>
      </c>
      <c r="AG32" s="41">
        <f t="shared" si="5"/>
        <v>0.5118744633888207</v>
      </c>
      <c r="AH32" s="40" t="str">
        <f t="shared" si="16"/>
        <v>Mediana</v>
      </c>
      <c r="AI32" s="50">
        <f t="shared" si="17"/>
        <v>20.643333333333331</v>
      </c>
      <c r="AJ32" s="40">
        <f t="shared" si="18"/>
        <v>82.573333333333323</v>
      </c>
      <c r="AL32" s="42">
        <f t="shared" si="19"/>
        <v>11</v>
      </c>
      <c r="AM32" s="42">
        <f t="shared" si="20"/>
        <v>10</v>
      </c>
    </row>
    <row r="33" spans="2:39" ht="30" customHeight="1" x14ac:dyDescent="0.25">
      <c r="B33" s="36" t="s">
        <v>224</v>
      </c>
      <c r="C33" s="38" t="s">
        <v>125</v>
      </c>
      <c r="D33" s="39">
        <v>2</v>
      </c>
      <c r="E33" s="40"/>
      <c r="F33" s="40"/>
      <c r="G33" s="40">
        <v>81.08</v>
      </c>
      <c r="H33" s="40"/>
      <c r="I33" s="40"/>
      <c r="J33" s="40"/>
      <c r="K33" s="40"/>
      <c r="L33" s="40">
        <v>17.39</v>
      </c>
      <c r="M33" s="40"/>
      <c r="N33" s="40">
        <v>68.599999999999994</v>
      </c>
      <c r="O33" s="40">
        <v>120</v>
      </c>
      <c r="P33" s="40"/>
      <c r="Q33" s="40">
        <f>(406+26.97)/2</f>
        <v>216.48500000000001</v>
      </c>
      <c r="R33" s="40">
        <f>(308.78+53.66)/2</f>
        <v>181.21999999999997</v>
      </c>
      <c r="S33" s="40"/>
      <c r="T33" s="40"/>
      <c r="U33" s="40"/>
      <c r="V33" s="40"/>
      <c r="W33" s="40"/>
      <c r="X33" s="40"/>
      <c r="Y33" s="40"/>
      <c r="Z33" s="40">
        <f t="shared" si="11"/>
        <v>114.12916666666666</v>
      </c>
      <c r="AA33" s="40">
        <f t="shared" si="12"/>
        <v>74.210487157588901</v>
      </c>
      <c r="AB33" s="40">
        <f t="shared" si="13"/>
        <v>39.918679509077762</v>
      </c>
      <c r="AC33" s="40">
        <f t="shared" si="14"/>
        <v>188.33965382425555</v>
      </c>
      <c r="AD33" s="40">
        <f t="shared" si="15"/>
        <v>112.72499999999999</v>
      </c>
      <c r="AE33" s="40">
        <f>MEDIAN(G33,N33,O33,R33)</f>
        <v>100.53999999999999</v>
      </c>
      <c r="AF33" s="40">
        <f>_xlfn.STDEV.S(G33,N33,O33,R33)</f>
        <v>50.638958322619544</v>
      </c>
      <c r="AG33" s="41">
        <f t="shared" si="5"/>
        <v>0.44922562273337369</v>
      </c>
      <c r="AH33" s="40" t="str">
        <f t="shared" si="16"/>
        <v>Mediana</v>
      </c>
      <c r="AI33" s="50">
        <f t="shared" si="17"/>
        <v>100.53999999999999</v>
      </c>
      <c r="AJ33" s="40">
        <f t="shared" si="18"/>
        <v>201.07999999999998</v>
      </c>
      <c r="AL33" s="42">
        <f t="shared" si="19"/>
        <v>6</v>
      </c>
      <c r="AM33" s="42">
        <f t="shared" si="20"/>
        <v>4</v>
      </c>
    </row>
    <row r="34" spans="2:39" ht="30" customHeight="1" x14ac:dyDescent="0.25">
      <c r="B34" s="36" t="s">
        <v>225</v>
      </c>
      <c r="C34" s="38" t="s">
        <v>125</v>
      </c>
      <c r="D34" s="39">
        <v>2</v>
      </c>
      <c r="E34" s="40"/>
      <c r="F34" s="40">
        <v>50</v>
      </c>
      <c r="G34" s="40">
        <v>129.75</v>
      </c>
      <c r="H34" s="40">
        <v>183.94</v>
      </c>
      <c r="I34" s="40"/>
      <c r="J34" s="40">
        <v>138.56</v>
      </c>
      <c r="K34" s="40"/>
      <c r="L34" s="40"/>
      <c r="M34" s="40"/>
      <c r="N34" s="40"/>
      <c r="O34" s="40">
        <v>200</v>
      </c>
      <c r="P34" s="40">
        <v>150</v>
      </c>
      <c r="Q34" s="40"/>
      <c r="R34" s="40"/>
      <c r="S34" s="40"/>
      <c r="T34" s="40"/>
      <c r="U34" s="40"/>
      <c r="V34" s="40"/>
      <c r="W34" s="40"/>
      <c r="X34" s="40"/>
      <c r="Y34" s="40"/>
      <c r="Z34" s="40">
        <f t="shared" si="11"/>
        <v>142.04166666666666</v>
      </c>
      <c r="AA34" s="40">
        <f t="shared" si="12"/>
        <v>52.560154648427989</v>
      </c>
      <c r="AB34" s="40">
        <f t="shared" si="13"/>
        <v>89.481512018238675</v>
      </c>
      <c r="AC34" s="40">
        <f t="shared" si="14"/>
        <v>194.60182131509464</v>
      </c>
      <c r="AD34" s="40">
        <f t="shared" si="15"/>
        <v>150.5625</v>
      </c>
      <c r="AE34" s="40">
        <f>MEDIAN(G34,H34,J34,P34)</f>
        <v>144.28</v>
      </c>
      <c r="AF34" s="40">
        <f>_xlfn.STDEV.S(G34,H34,J34,P34)</f>
        <v>23.745835248874002</v>
      </c>
      <c r="AG34" s="41">
        <f t="shared" si="5"/>
        <v>0.15771414029970279</v>
      </c>
      <c r="AH34" s="40" t="str">
        <f t="shared" si="16"/>
        <v>Média</v>
      </c>
      <c r="AI34" s="50">
        <f t="shared" si="17"/>
        <v>150.5625</v>
      </c>
      <c r="AJ34" s="40">
        <f t="shared" si="18"/>
        <v>301.125</v>
      </c>
      <c r="AL34" s="42">
        <f t="shared" si="19"/>
        <v>6</v>
      </c>
      <c r="AM34" s="42">
        <f t="shared" si="20"/>
        <v>4</v>
      </c>
    </row>
    <row r="35" spans="2:39" ht="30" customHeight="1" x14ac:dyDescent="0.25">
      <c r="B35" s="36" t="s">
        <v>226</v>
      </c>
      <c r="C35" s="38" t="s">
        <v>125</v>
      </c>
      <c r="D35" s="39">
        <v>2</v>
      </c>
      <c r="E35" s="40"/>
      <c r="F35" s="40"/>
      <c r="G35" s="40">
        <v>26.45</v>
      </c>
      <c r="H35" s="40">
        <v>130.16</v>
      </c>
      <c r="I35" s="40"/>
      <c r="J35" s="40">
        <v>21.72</v>
      </c>
      <c r="K35" s="40"/>
      <c r="L35" s="40"/>
      <c r="M35" s="40"/>
      <c r="N35" s="40">
        <v>19.8</v>
      </c>
      <c r="O35" s="40">
        <v>130</v>
      </c>
      <c r="P35" s="40">
        <v>75</v>
      </c>
      <c r="Q35" s="40"/>
      <c r="R35" s="40"/>
      <c r="S35" s="40"/>
      <c r="T35" s="40"/>
      <c r="U35" s="40"/>
      <c r="V35" s="40"/>
      <c r="W35" s="40"/>
      <c r="X35" s="40"/>
      <c r="Y35" s="40"/>
      <c r="Z35" s="40">
        <f t="shared" si="11"/>
        <v>67.188333333333333</v>
      </c>
      <c r="AA35" s="40">
        <f t="shared" si="12"/>
        <v>52.809835605374374</v>
      </c>
      <c r="AB35" s="40">
        <f t="shared" si="13"/>
        <v>14.378497727958958</v>
      </c>
      <c r="AC35" s="40">
        <f t="shared" si="14"/>
        <v>119.99816893870771</v>
      </c>
      <c r="AD35" s="40">
        <f t="shared" si="15"/>
        <v>35.7425</v>
      </c>
      <c r="AE35" s="40">
        <f>MEDIAN(G35,J35,N35,P35)</f>
        <v>24.085000000000001</v>
      </c>
      <c r="AF35" s="40">
        <f>_xlfn.STDEV.S(G35,J35,N35,P35)</f>
        <v>26.320433602051462</v>
      </c>
      <c r="AG35" s="41">
        <f t="shared" si="5"/>
        <v>0.73639039244740745</v>
      </c>
      <c r="AH35" s="40" t="str">
        <f t="shared" si="16"/>
        <v>Mediana</v>
      </c>
      <c r="AI35" s="50">
        <f t="shared" si="17"/>
        <v>24.085000000000001</v>
      </c>
      <c r="AJ35" s="40">
        <f t="shared" si="18"/>
        <v>48.17</v>
      </c>
      <c r="AL35" s="42">
        <f t="shared" si="19"/>
        <v>6</v>
      </c>
      <c r="AM35" s="42">
        <f t="shared" si="20"/>
        <v>4</v>
      </c>
    </row>
    <row r="36" spans="2:39" ht="30" customHeight="1" x14ac:dyDescent="0.25">
      <c r="B36" s="36" t="s">
        <v>227</v>
      </c>
      <c r="C36" s="38" t="s">
        <v>125</v>
      </c>
      <c r="D36" s="39">
        <v>2</v>
      </c>
      <c r="E36" s="40">
        <v>410</v>
      </c>
      <c r="F36" s="40">
        <v>100</v>
      </c>
      <c r="G36" s="40">
        <v>245.93</v>
      </c>
      <c r="H36" s="40">
        <v>452.94</v>
      </c>
      <c r="I36" s="40">
        <v>485.96</v>
      </c>
      <c r="J36" s="40">
        <v>270.36</v>
      </c>
      <c r="K36" s="40"/>
      <c r="L36" s="40">
        <v>350</v>
      </c>
      <c r="M36" s="40">
        <v>845</v>
      </c>
      <c r="N36" s="40">
        <v>272.76</v>
      </c>
      <c r="O36" s="40">
        <v>380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>
        <f t="shared" si="11"/>
        <v>381.29499999999996</v>
      </c>
      <c r="AA36" s="40">
        <f t="shared" si="12"/>
        <v>198.45293510049177</v>
      </c>
      <c r="AB36" s="40">
        <f t="shared" si="13"/>
        <v>182.84206489950819</v>
      </c>
      <c r="AC36" s="40">
        <f t="shared" si="14"/>
        <v>579.74793510049176</v>
      </c>
      <c r="AD36" s="40">
        <f t="shared" si="15"/>
        <v>358.49374999999998</v>
      </c>
      <c r="AE36" s="40">
        <f>MEDIAN(E36,G36,H36,I36,J36,L36,N36,O36)</f>
        <v>365</v>
      </c>
      <c r="AF36" s="40">
        <f>_xlfn.STDEV.S(E36,G36,H36,I36,J36,L36,N36,O36)</f>
        <v>89.557425302348577</v>
      </c>
      <c r="AG36" s="41">
        <f t="shared" si="5"/>
        <v>0.24981586234724756</v>
      </c>
      <c r="AH36" s="40" t="str">
        <f t="shared" si="16"/>
        <v>Média</v>
      </c>
      <c r="AI36" s="50">
        <f t="shared" si="17"/>
        <v>358.49374999999998</v>
      </c>
      <c r="AJ36" s="40">
        <f t="shared" si="18"/>
        <v>716.98749999999995</v>
      </c>
      <c r="AL36" s="42">
        <f t="shared" si="19"/>
        <v>10</v>
      </c>
      <c r="AM36" s="42">
        <f t="shared" si="20"/>
        <v>8</v>
      </c>
    </row>
    <row r="37" spans="2:39" ht="30" customHeight="1" x14ac:dyDescent="0.25">
      <c r="B37" s="36" t="s">
        <v>228</v>
      </c>
      <c r="C37" s="38" t="s">
        <v>125</v>
      </c>
      <c r="D37" s="39">
        <v>4</v>
      </c>
      <c r="E37" s="40">
        <v>189</v>
      </c>
      <c r="F37" s="40"/>
      <c r="G37" s="40">
        <v>114.26</v>
      </c>
      <c r="H37" s="40">
        <v>147.88</v>
      </c>
      <c r="I37" s="40">
        <v>198.08</v>
      </c>
      <c r="J37" s="40">
        <v>64.48</v>
      </c>
      <c r="K37" s="40">
        <v>212.4</v>
      </c>
      <c r="L37" s="40">
        <v>158.91999999999999</v>
      </c>
      <c r="M37" s="40">
        <v>329</v>
      </c>
      <c r="N37" s="40">
        <v>46.72</v>
      </c>
      <c r="O37" s="40">
        <v>275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>
        <f t="shared" si="11"/>
        <v>173.57400000000001</v>
      </c>
      <c r="AA37" s="40">
        <f t="shared" si="12"/>
        <v>87.671703809660798</v>
      </c>
      <c r="AB37" s="40">
        <f t="shared" si="13"/>
        <v>85.902296190339214</v>
      </c>
      <c r="AC37" s="40">
        <f t="shared" si="14"/>
        <v>261.24570380966082</v>
      </c>
      <c r="AD37" s="40">
        <f t="shared" si="15"/>
        <v>170.09</v>
      </c>
      <c r="AE37" s="40">
        <f>MEDIAN(E37,G37,H37,I37,K37,L37)</f>
        <v>173.95999999999998</v>
      </c>
      <c r="AF37" s="40">
        <f>_xlfn.STDEV.S(E37,G37,H37,I37,K37,L37)</f>
        <v>36.513576105333875</v>
      </c>
      <c r="AG37" s="41">
        <f t="shared" si="5"/>
        <v>0.2146720918650942</v>
      </c>
      <c r="AH37" s="40" t="str">
        <f t="shared" si="16"/>
        <v>Média</v>
      </c>
      <c r="AI37" s="50">
        <f t="shared" si="17"/>
        <v>170.09</v>
      </c>
      <c r="AJ37" s="40">
        <f t="shared" si="18"/>
        <v>680.36</v>
      </c>
      <c r="AL37" s="42">
        <f t="shared" si="19"/>
        <v>10</v>
      </c>
      <c r="AM37" s="42">
        <f t="shared" si="20"/>
        <v>6</v>
      </c>
    </row>
    <row r="38" spans="2:39" ht="30" customHeight="1" x14ac:dyDescent="0.25">
      <c r="B38" s="36" t="s">
        <v>229</v>
      </c>
      <c r="C38" s="38" t="s">
        <v>125</v>
      </c>
      <c r="D38" s="39">
        <v>12</v>
      </c>
      <c r="E38" s="40">
        <v>15</v>
      </c>
      <c r="F38" s="40">
        <v>20</v>
      </c>
      <c r="G38" s="40"/>
      <c r="H38" s="40"/>
      <c r="I38" s="40">
        <v>18.46</v>
      </c>
      <c r="J38" s="40"/>
      <c r="K38" s="40">
        <v>29.59</v>
      </c>
      <c r="L38" s="40">
        <v>22.49</v>
      </c>
      <c r="M38" s="40">
        <v>36.9</v>
      </c>
      <c r="N38" s="40">
        <v>11.78</v>
      </c>
      <c r="O38" s="40">
        <v>38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>
        <f t="shared" si="11"/>
        <v>24.0275</v>
      </c>
      <c r="AA38" s="40">
        <f t="shared" si="12"/>
        <v>9.8048978285636057</v>
      </c>
      <c r="AB38" s="40">
        <f t="shared" si="13"/>
        <v>14.222602171436394</v>
      </c>
      <c r="AC38" s="40">
        <f t="shared" si="14"/>
        <v>33.832397828563607</v>
      </c>
      <c r="AD38" s="40">
        <f t="shared" si="15"/>
        <v>21.107999999999997</v>
      </c>
      <c r="AE38" s="40">
        <f>MEDIAN(E38,F38,I38,K38,L38)</f>
        <v>20</v>
      </c>
      <c r="AF38" s="40">
        <f>_xlfn.STDEV.S(E38,F38,I38,K38,L38)</f>
        <v>5.4635492127370933</v>
      </c>
      <c r="AG38" s="41">
        <f t="shared" si="5"/>
        <v>0.25883784407509447</v>
      </c>
      <c r="AH38" s="40" t="str">
        <f t="shared" si="16"/>
        <v>Mediana</v>
      </c>
      <c r="AI38" s="50">
        <f t="shared" si="17"/>
        <v>20</v>
      </c>
      <c r="AJ38" s="40">
        <f t="shared" si="18"/>
        <v>240</v>
      </c>
      <c r="AL38" s="42">
        <f t="shared" si="19"/>
        <v>8</v>
      </c>
      <c r="AM38" s="42">
        <f t="shared" si="20"/>
        <v>5</v>
      </c>
    </row>
    <row r="39" spans="2:39" ht="30" customHeight="1" x14ac:dyDescent="0.25">
      <c r="B39" s="36" t="s">
        <v>230</v>
      </c>
      <c r="C39" s="38" t="s">
        <v>125</v>
      </c>
      <c r="D39" s="39">
        <v>12</v>
      </c>
      <c r="E39" s="40">
        <v>14</v>
      </c>
      <c r="F39" s="40">
        <v>15</v>
      </c>
      <c r="G39" s="40"/>
      <c r="H39" s="40"/>
      <c r="I39" s="40">
        <v>22.54</v>
      </c>
      <c r="J39" s="40"/>
      <c r="K39" s="40">
        <v>28</v>
      </c>
      <c r="L39" s="40">
        <v>15.57</v>
      </c>
      <c r="M39" s="40">
        <v>29.9</v>
      </c>
      <c r="N39" s="40">
        <v>10.08</v>
      </c>
      <c r="O39" s="40">
        <v>38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>
        <f t="shared" si="11"/>
        <v>21.63625</v>
      </c>
      <c r="AA39" s="40">
        <f t="shared" si="12"/>
        <v>9.6367924976548629</v>
      </c>
      <c r="AB39" s="40">
        <f t="shared" si="13"/>
        <v>11.999457502345138</v>
      </c>
      <c r="AC39" s="40">
        <f t="shared" si="14"/>
        <v>31.273042497654863</v>
      </c>
      <c r="AD39" s="40">
        <f t="shared" si="15"/>
        <v>20.834999999999997</v>
      </c>
      <c r="AE39" s="40">
        <f>MEDIAN(E39,F39,I39,K39,L39,M39)</f>
        <v>19.055</v>
      </c>
      <c r="AF39" s="40">
        <f>_xlfn.STDEV.S(E39,F39,I39,K39,L39,M39)</f>
        <v>6.9986162918108397</v>
      </c>
      <c r="AG39" s="41">
        <f t="shared" si="5"/>
        <v>0.33590670947016271</v>
      </c>
      <c r="AH39" s="40" t="str">
        <f t="shared" si="16"/>
        <v>Mediana</v>
      </c>
      <c r="AI39" s="50">
        <f t="shared" si="17"/>
        <v>19.055</v>
      </c>
      <c r="AJ39" s="40">
        <f t="shared" si="18"/>
        <v>228.66</v>
      </c>
      <c r="AL39" s="42">
        <f t="shared" si="19"/>
        <v>8</v>
      </c>
      <c r="AM39" s="42">
        <f t="shared" si="20"/>
        <v>6</v>
      </c>
    </row>
    <row r="40" spans="2:39" ht="30" customHeight="1" x14ac:dyDescent="0.25">
      <c r="B40" s="36" t="s">
        <v>231</v>
      </c>
      <c r="C40" s="38" t="s">
        <v>125</v>
      </c>
      <c r="D40" s="39">
        <v>12</v>
      </c>
      <c r="E40" s="40">
        <v>11</v>
      </c>
      <c r="F40" s="40">
        <v>12</v>
      </c>
      <c r="G40" s="40"/>
      <c r="H40" s="40"/>
      <c r="I40" s="40">
        <v>12.1</v>
      </c>
      <c r="J40" s="40"/>
      <c r="K40" s="40">
        <v>16.670000000000002</v>
      </c>
      <c r="L40" s="40">
        <v>9.5</v>
      </c>
      <c r="M40" s="40">
        <v>16.899999999999999</v>
      </c>
      <c r="N40" s="40">
        <v>8.65</v>
      </c>
      <c r="O40" s="40">
        <v>38</v>
      </c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>
        <f t="shared" si="11"/>
        <v>15.602500000000001</v>
      </c>
      <c r="AA40" s="40">
        <f t="shared" si="12"/>
        <v>9.5354777391741443</v>
      </c>
      <c r="AB40" s="40">
        <f t="shared" si="13"/>
        <v>6.0670222608258566</v>
      </c>
      <c r="AC40" s="40">
        <f t="shared" si="14"/>
        <v>25.137977739174147</v>
      </c>
      <c r="AD40" s="40">
        <f t="shared" si="15"/>
        <v>12.402857142857144</v>
      </c>
      <c r="AE40" s="40">
        <f>MEDIAN(E40,F40,I40,K40,L40,M40,N40)</f>
        <v>12</v>
      </c>
      <c r="AF40" s="40">
        <f>_xlfn.STDEV.S(E40,F40,I40,K40,L40,M40,N40)</f>
        <v>3.2446197223799742</v>
      </c>
      <c r="AG40" s="41">
        <f t="shared" si="5"/>
        <v>0.26160260373945887</v>
      </c>
      <c r="AH40" s="40" t="str">
        <f t="shared" si="16"/>
        <v>Mediana</v>
      </c>
      <c r="AI40" s="50">
        <f t="shared" si="17"/>
        <v>12</v>
      </c>
      <c r="AJ40" s="40">
        <f t="shared" si="18"/>
        <v>144</v>
      </c>
      <c r="AL40" s="42">
        <f t="shared" si="19"/>
        <v>8</v>
      </c>
      <c r="AM40" s="42">
        <f t="shared" si="20"/>
        <v>7</v>
      </c>
    </row>
    <row r="41" spans="2:39" ht="30" customHeight="1" x14ac:dyDescent="0.25">
      <c r="B41" s="36" t="s">
        <v>232</v>
      </c>
      <c r="C41" s="38" t="s">
        <v>125</v>
      </c>
      <c r="D41" s="39">
        <v>2</v>
      </c>
      <c r="E41" s="40"/>
      <c r="F41" s="40">
        <v>10</v>
      </c>
      <c r="G41" s="40"/>
      <c r="H41" s="40">
        <v>78.38</v>
      </c>
      <c r="I41" s="40"/>
      <c r="J41" s="40"/>
      <c r="K41" s="40">
        <v>45</v>
      </c>
      <c r="L41" s="40">
        <v>16.09</v>
      </c>
      <c r="M41" s="40">
        <v>23.9</v>
      </c>
      <c r="N41" s="40">
        <v>26.07</v>
      </c>
      <c r="O41" s="40">
        <v>150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>
        <f t="shared" si="11"/>
        <v>49.92</v>
      </c>
      <c r="AA41" s="40">
        <f t="shared" si="12"/>
        <v>49.722769096930499</v>
      </c>
      <c r="AB41" s="40">
        <f t="shared" si="13"/>
        <v>0.19723090306950297</v>
      </c>
      <c r="AC41" s="40">
        <f t="shared" si="14"/>
        <v>99.642769096930493</v>
      </c>
      <c r="AD41" s="40">
        <f t="shared" si="15"/>
        <v>33.24</v>
      </c>
      <c r="AE41" s="40">
        <f>MEDIAN(F41,H41,K41,L41,M41,N41)</f>
        <v>24.984999999999999</v>
      </c>
      <c r="AF41" s="40">
        <f>_xlfn.STDEV.S(F41,H41,K41,L41,M41,N41)</f>
        <v>25.09494690171708</v>
      </c>
      <c r="AG41" s="41">
        <f t="shared" si="5"/>
        <v>0.75496230149570032</v>
      </c>
      <c r="AH41" s="40" t="str">
        <f t="shared" si="16"/>
        <v>Mediana</v>
      </c>
      <c r="AI41" s="50">
        <f t="shared" si="17"/>
        <v>24.984999999999999</v>
      </c>
      <c r="AJ41" s="40">
        <f t="shared" si="18"/>
        <v>49.97</v>
      </c>
      <c r="AL41" s="42">
        <f t="shared" si="19"/>
        <v>7</v>
      </c>
      <c r="AM41" s="42">
        <f t="shared" si="20"/>
        <v>6</v>
      </c>
    </row>
    <row r="42" spans="2:39" ht="30" customHeight="1" x14ac:dyDescent="0.25">
      <c r="B42" s="32" t="s">
        <v>233</v>
      </c>
      <c r="C42" s="38" t="s">
        <v>125</v>
      </c>
      <c r="D42" s="34">
        <v>2</v>
      </c>
      <c r="E42" s="33">
        <v>29</v>
      </c>
      <c r="F42" s="33">
        <v>10</v>
      </c>
      <c r="G42" s="33">
        <v>18.54</v>
      </c>
      <c r="H42" s="33">
        <v>22.26</v>
      </c>
      <c r="I42" s="33">
        <v>31.81</v>
      </c>
      <c r="J42" s="33">
        <v>16.64</v>
      </c>
      <c r="K42" s="33">
        <v>16.170000000000002</v>
      </c>
      <c r="L42" s="33">
        <v>35.450000000000003</v>
      </c>
      <c r="M42" s="40">
        <v>47.9</v>
      </c>
      <c r="N42" s="40">
        <v>17.899999999999999</v>
      </c>
      <c r="O42" s="40">
        <v>65</v>
      </c>
      <c r="P42" s="40">
        <v>8</v>
      </c>
      <c r="Q42" s="40"/>
      <c r="R42" s="40"/>
      <c r="S42" s="40"/>
      <c r="T42" s="40"/>
      <c r="U42" s="40"/>
      <c r="V42" s="40"/>
      <c r="W42" s="40"/>
      <c r="X42" s="40"/>
      <c r="Y42" s="40"/>
      <c r="Z42" s="40">
        <f t="shared" si="11"/>
        <v>26.555833333333336</v>
      </c>
      <c r="AA42" s="40">
        <f t="shared" si="12"/>
        <v>16.592574712987151</v>
      </c>
      <c r="AB42" s="40">
        <f t="shared" si="13"/>
        <v>9.9632586203461848</v>
      </c>
      <c r="AC42" s="40">
        <f t="shared" si="14"/>
        <v>43.148408046320483</v>
      </c>
      <c r="AD42" s="40">
        <f t="shared" si="15"/>
        <v>21.974444444444444</v>
      </c>
      <c r="AE42" s="40">
        <f>MEDIAN(E42,F42,G42,H42,I42,J42,K42,L42,N42)</f>
        <v>18.54</v>
      </c>
      <c r="AF42" s="40">
        <f>_xlfn.STDEV.S(E42,F42,G42,H42,I42,J42,K42,L42,N42)</f>
        <v>8.3792930953498637</v>
      </c>
      <c r="AG42" s="41">
        <f t="shared" si="5"/>
        <v>0.38131990624537987</v>
      </c>
      <c r="AH42" s="40" t="str">
        <f t="shared" si="16"/>
        <v>Mediana</v>
      </c>
      <c r="AI42" s="50">
        <f t="shared" si="17"/>
        <v>18.54</v>
      </c>
      <c r="AJ42" s="40">
        <f t="shared" si="18"/>
        <v>37.08</v>
      </c>
      <c r="AL42" s="42">
        <f t="shared" si="19"/>
        <v>12</v>
      </c>
      <c r="AM42" s="42">
        <f t="shared" si="20"/>
        <v>9</v>
      </c>
    </row>
    <row r="43" spans="2:39" ht="30" customHeight="1" x14ac:dyDescent="0.25"/>
    <row r="44" spans="2:39" ht="30" customHeight="1" x14ac:dyDescent="0.25">
      <c r="B44" s="51" t="s">
        <v>243</v>
      </c>
      <c r="C44" s="52"/>
      <c r="D44" s="53"/>
    </row>
    <row r="45" spans="2:39" ht="20.100000000000001" customHeight="1" x14ac:dyDescent="0.25">
      <c r="B45" s="55" t="s">
        <v>250</v>
      </c>
      <c r="C45" s="60">
        <f>SUM(AJ4:AJ42)</f>
        <v>28381.018166666676</v>
      </c>
      <c r="D45" s="59"/>
    </row>
    <row r="46" spans="2:39" ht="20.100000000000001" customHeight="1" x14ac:dyDescent="0.25">
      <c r="B46" s="55" t="s">
        <v>251</v>
      </c>
      <c r="C46" s="60">
        <f>C45*10%</f>
        <v>2838.1018166666677</v>
      </c>
      <c r="D46" s="59"/>
    </row>
    <row r="47" spans="2:39" ht="20.100000000000001" customHeight="1" x14ac:dyDescent="0.25">
      <c r="B47" s="55" t="s">
        <v>252</v>
      </c>
      <c r="C47" s="60">
        <f>C45-C46</f>
        <v>25542.916350000007</v>
      </c>
      <c r="D47" s="59"/>
    </row>
    <row r="48" spans="2:39" ht="20.100000000000001" customHeight="1" x14ac:dyDescent="0.25">
      <c r="B48" s="55" t="s">
        <v>253</v>
      </c>
      <c r="C48" s="58">
        <v>120</v>
      </c>
      <c r="D48" s="59"/>
    </row>
    <row r="49" spans="2:4" ht="20.100000000000001" customHeight="1" x14ac:dyDescent="0.25">
      <c r="B49" s="55" t="s">
        <v>254</v>
      </c>
      <c r="C49" s="60">
        <f>C47/C48</f>
        <v>212.85763625000007</v>
      </c>
      <c r="D49" s="59"/>
    </row>
    <row r="50" spans="2:4" ht="20.100000000000001" customHeight="1" x14ac:dyDescent="0.25">
      <c r="B50" s="62" t="s">
        <v>248</v>
      </c>
      <c r="C50" s="61">
        <f>Resumo!I7*2</f>
        <v>28</v>
      </c>
      <c r="D50" s="59"/>
    </row>
    <row r="51" spans="2:4" ht="20.100000000000001" customHeight="1" x14ac:dyDescent="0.25">
      <c r="B51" s="62" t="s">
        <v>255</v>
      </c>
      <c r="C51" s="63">
        <f>C49/C50</f>
        <v>7.6020584375000029</v>
      </c>
      <c r="D51" s="59"/>
    </row>
  </sheetData>
  <conditionalFormatting sqref="E4:Y4">
    <cfRule type="cellIs" dxfId="79" priority="80" operator="between">
      <formula>$AB$4</formula>
      <formula>$AC$4</formula>
    </cfRule>
    <cfRule type="cellIs" dxfId="78" priority="79" operator="notBetween">
      <formula>$AB$4</formula>
      <formula>$AC$4</formula>
    </cfRule>
  </conditionalFormatting>
  <conditionalFormatting sqref="E5:Y5">
    <cfRule type="cellIs" dxfId="77" priority="78" operator="between">
      <formula>$AB$5</formula>
      <formula>$AC$5</formula>
    </cfRule>
    <cfRule type="cellIs" dxfId="76" priority="77" operator="notBetween">
      <formula>$AB$5</formula>
      <formula>$AC$5</formula>
    </cfRule>
  </conditionalFormatting>
  <conditionalFormatting sqref="E6:Y6">
    <cfRule type="cellIs" dxfId="75" priority="76" operator="between">
      <formula>$AB$6</formula>
      <formula>$AC$6</formula>
    </cfRule>
    <cfRule type="cellIs" dxfId="74" priority="75" operator="notBetween">
      <formula>$AB$6</formula>
      <formula>$AC$6</formula>
    </cfRule>
  </conditionalFormatting>
  <conditionalFormatting sqref="E7:Y7">
    <cfRule type="cellIs" dxfId="73" priority="74" operator="between">
      <formula>$AB$7</formula>
      <formula>$AC$7</formula>
    </cfRule>
    <cfRule type="cellIs" dxfId="72" priority="73" operator="notBetween">
      <formula>$AB$7</formula>
      <formula>$AC$7</formula>
    </cfRule>
  </conditionalFormatting>
  <conditionalFormatting sqref="E8:Y8">
    <cfRule type="cellIs" dxfId="71" priority="71" operator="notBetween">
      <formula>$AB$8</formula>
      <formula>$AC$8</formula>
    </cfRule>
    <cfRule type="cellIs" dxfId="70" priority="72" operator="between">
      <formula>$AB$8</formula>
      <formula>$AC$8</formula>
    </cfRule>
  </conditionalFormatting>
  <conditionalFormatting sqref="E9:Y9">
    <cfRule type="cellIs" dxfId="69" priority="70" operator="between">
      <formula>$AB$9</formula>
      <formula>$AC$9</formula>
    </cfRule>
    <cfRule type="cellIs" dxfId="68" priority="69" operator="notBetween">
      <formula>$AB$9</formula>
      <formula>$AC$9</formula>
    </cfRule>
  </conditionalFormatting>
  <conditionalFormatting sqref="E10:Y10">
    <cfRule type="cellIs" dxfId="67" priority="68" operator="between">
      <formula>$AB$10</formula>
      <formula>$AC$10</formula>
    </cfRule>
    <cfRule type="cellIs" dxfId="66" priority="67" operator="notBetween">
      <formula>$AB$10</formula>
      <formula>$AC$10</formula>
    </cfRule>
  </conditionalFormatting>
  <conditionalFormatting sqref="E11:Y11">
    <cfRule type="cellIs" dxfId="65" priority="66" operator="between">
      <formula>$AB$11</formula>
      <formula>$AC$11</formula>
    </cfRule>
    <cfRule type="cellIs" dxfId="64" priority="65" operator="notBetween">
      <formula>$AB$11</formula>
      <formula>$AC$11</formula>
    </cfRule>
  </conditionalFormatting>
  <conditionalFormatting sqref="E12:Y12">
    <cfRule type="cellIs" dxfId="63" priority="63" operator="notBetween">
      <formula>$AB$12</formula>
      <formula>$AC$12</formula>
    </cfRule>
    <cfRule type="cellIs" dxfId="62" priority="64" operator="between">
      <formula>$AB$12</formula>
      <formula>$AC$12</formula>
    </cfRule>
  </conditionalFormatting>
  <conditionalFormatting sqref="E13:Y13">
    <cfRule type="cellIs" dxfId="61" priority="62" operator="between">
      <formula>$AB$13</formula>
      <formula>$AC$13</formula>
    </cfRule>
    <cfRule type="cellIs" dxfId="60" priority="61" operator="notBetween">
      <formula>$AB$13</formula>
      <formula>$AC$13</formula>
    </cfRule>
  </conditionalFormatting>
  <conditionalFormatting sqref="E14:Y14">
    <cfRule type="cellIs" dxfId="59" priority="60" operator="between">
      <formula>$AB$14</formula>
      <formula>$AC$14</formula>
    </cfRule>
    <cfRule type="cellIs" dxfId="58" priority="59" operator="notBetween">
      <formula>$AB$14</formula>
      <formula>$AC$14</formula>
    </cfRule>
  </conditionalFormatting>
  <conditionalFormatting sqref="E15:Y15">
    <cfRule type="cellIs" dxfId="57" priority="58" operator="between">
      <formula>$AB$15</formula>
      <formula>$AC$15</formula>
    </cfRule>
    <cfRule type="cellIs" dxfId="56" priority="57" operator="notBetween">
      <formula>$AB$15</formula>
      <formula>$AC$15</formula>
    </cfRule>
  </conditionalFormatting>
  <conditionalFormatting sqref="E16:Y16">
    <cfRule type="cellIs" dxfId="55" priority="56" operator="between">
      <formula>$AB$16</formula>
      <formula>$AC$16</formula>
    </cfRule>
    <cfRule type="cellIs" dxfId="54" priority="55" operator="notBetween">
      <formula>$AB$16</formula>
      <formula>$AC$16</formula>
    </cfRule>
  </conditionalFormatting>
  <conditionalFormatting sqref="E17:Y17">
    <cfRule type="cellIs" dxfId="53" priority="53" operator="notBetween">
      <formula>$AB$17</formula>
      <formula>$AC$17</formula>
    </cfRule>
    <cfRule type="cellIs" dxfId="52" priority="54" operator="between">
      <formula>$AB$17</formula>
      <formula>$AC$17</formula>
    </cfRule>
  </conditionalFormatting>
  <conditionalFormatting sqref="E18:Y18">
    <cfRule type="cellIs" dxfId="51" priority="52" operator="between">
      <formula>$AB$18</formula>
      <formula>$AC$18</formula>
    </cfRule>
    <cfRule type="cellIs" dxfId="50" priority="51" operator="notBetween">
      <formula>$AB$18</formula>
      <formula>$AC$18</formula>
    </cfRule>
  </conditionalFormatting>
  <conditionalFormatting sqref="E19:Y19">
    <cfRule type="cellIs" dxfId="49" priority="49" operator="notBetween">
      <formula>$AB$19</formula>
      <formula>$AC$19</formula>
    </cfRule>
    <cfRule type="cellIs" dxfId="48" priority="50" operator="between">
      <formula>$AB$19</formula>
      <formula>$AC$19</formula>
    </cfRule>
  </conditionalFormatting>
  <conditionalFormatting sqref="E20:Y20">
    <cfRule type="cellIs" dxfId="47" priority="47" operator="notBetween">
      <formula>$AB$20</formula>
      <formula>$AC$20</formula>
    </cfRule>
    <cfRule type="cellIs" dxfId="46" priority="48" operator="between">
      <formula>$AB$20</formula>
      <formula>$AC$20</formula>
    </cfRule>
  </conditionalFormatting>
  <conditionalFormatting sqref="E21:Y21">
    <cfRule type="cellIs" dxfId="45" priority="46" operator="between">
      <formula>$AB$21</formula>
      <formula>$AC$21</formula>
    </cfRule>
    <cfRule type="cellIs" dxfId="44" priority="45" operator="notBetween">
      <formula>$AB$21</formula>
      <formula>$AC$21</formula>
    </cfRule>
  </conditionalFormatting>
  <conditionalFormatting sqref="E22:Y22">
    <cfRule type="cellIs" dxfId="43" priority="43" operator="notBetween">
      <formula>$AB$22</formula>
      <formula>$AC$22</formula>
    </cfRule>
    <cfRule type="cellIs" dxfId="42" priority="44" operator="between">
      <formula>$AB$22</formula>
      <formula>$AC$22</formula>
    </cfRule>
  </conditionalFormatting>
  <conditionalFormatting sqref="E23:Y23">
    <cfRule type="cellIs" dxfId="41" priority="41" operator="notBetween">
      <formula>$AB$23</formula>
      <formula>$AC$23</formula>
    </cfRule>
    <cfRule type="cellIs" dxfId="40" priority="42" operator="between">
      <formula>$AB$23</formula>
      <formula>$AC$23</formula>
    </cfRule>
  </conditionalFormatting>
  <conditionalFormatting sqref="E24:Y24">
    <cfRule type="cellIs" dxfId="39" priority="40" operator="between">
      <formula>$AB$24</formula>
      <formula>$AC$24</formula>
    </cfRule>
    <cfRule type="cellIs" dxfId="38" priority="39" operator="notBetween">
      <formula>$AB$24</formula>
      <formula>$AC$24</formula>
    </cfRule>
  </conditionalFormatting>
  <conditionalFormatting sqref="E25:Y25">
    <cfRule type="cellIs" dxfId="37" priority="38" operator="between">
      <formula>$AB$25</formula>
      <formula>$AC$25</formula>
    </cfRule>
    <cfRule type="cellIs" dxfId="36" priority="37" operator="notBetween">
      <formula>$AB$25</formula>
      <formula>$AC$25</formula>
    </cfRule>
  </conditionalFormatting>
  <conditionalFormatting sqref="E26:Y26">
    <cfRule type="cellIs" dxfId="35" priority="36" operator="between">
      <formula>$AB$26</formula>
      <formula>$AC$26</formula>
    </cfRule>
    <cfRule type="cellIs" dxfId="34" priority="35" operator="notBetween">
      <formula>$AB$26</formula>
      <formula>$AC$26</formula>
    </cfRule>
  </conditionalFormatting>
  <conditionalFormatting sqref="E27:Y27">
    <cfRule type="cellIs" dxfId="33" priority="30" operator="between">
      <formula>$AB$27</formula>
      <formula>$AC$27</formula>
    </cfRule>
    <cfRule type="cellIs" dxfId="32" priority="29" operator="notBetween">
      <formula>$AB$27</formula>
      <formula>$AC$27</formula>
    </cfRule>
  </conditionalFormatting>
  <conditionalFormatting sqref="E28:Y28">
    <cfRule type="cellIs" dxfId="31" priority="28" operator="between">
      <formula>$AB$28</formula>
      <formula>$AC$28</formula>
    </cfRule>
    <cfRule type="cellIs" dxfId="30" priority="27" operator="notBetween">
      <formula>$AB$28</formula>
      <formula>$AC$28</formula>
    </cfRule>
  </conditionalFormatting>
  <conditionalFormatting sqref="E29:Y29">
    <cfRule type="cellIs" dxfId="29" priority="26" operator="between">
      <formula>$AB$29</formula>
      <formula>$AC$29</formula>
    </cfRule>
    <cfRule type="cellIs" dxfId="28" priority="25" operator="notBetween">
      <formula>$AB$29</formula>
      <formula>$AC$29</formula>
    </cfRule>
  </conditionalFormatting>
  <conditionalFormatting sqref="E30:Y30">
    <cfRule type="cellIs" dxfId="27" priority="24" operator="between">
      <formula>$AB$30</formula>
      <formula>$AC$30</formula>
    </cfRule>
    <cfRule type="cellIs" dxfId="26" priority="23" operator="notBetween">
      <formula>$AB$30</formula>
      <formula>$AC$30</formula>
    </cfRule>
  </conditionalFormatting>
  <conditionalFormatting sqref="E31:Y31">
    <cfRule type="cellIs" dxfId="25" priority="21" operator="notBetween">
      <formula>$AB$31</formula>
      <formula>$AC$31</formula>
    </cfRule>
    <cfRule type="cellIs" dxfId="24" priority="22" operator="between">
      <formula>$AB$31</formula>
      <formula>$AC$31</formula>
    </cfRule>
  </conditionalFormatting>
  <conditionalFormatting sqref="E32:Y32">
    <cfRule type="cellIs" dxfId="23" priority="20" operator="between">
      <formula>$AB$32</formula>
      <formula>$AC$32</formula>
    </cfRule>
    <cfRule type="cellIs" dxfId="22" priority="19" operator="notBetween">
      <formula>$AB$32</formula>
      <formula>$AC$32</formula>
    </cfRule>
  </conditionalFormatting>
  <conditionalFormatting sqref="E33:Y33">
    <cfRule type="cellIs" dxfId="21" priority="18" operator="between">
      <formula>$AB$33</formula>
      <formula>$AC$33</formula>
    </cfRule>
    <cfRule type="cellIs" dxfId="20" priority="1" operator="notBetween">
      <formula>$AB$33</formula>
      <formula>$AC$33</formula>
    </cfRule>
  </conditionalFormatting>
  <conditionalFormatting sqref="E34:Y34">
    <cfRule type="cellIs" dxfId="19" priority="17" operator="between">
      <formula>$AB$34</formula>
      <formula>$AC$34</formula>
    </cfRule>
    <cfRule type="cellIs" dxfId="18" priority="16" operator="notBetween">
      <formula>$AB$34</formula>
      <formula>$AC$34</formula>
    </cfRule>
  </conditionalFormatting>
  <conditionalFormatting sqref="E35:Y35">
    <cfRule type="cellIs" dxfId="17" priority="15" operator="between">
      <formula>$AB$35</formula>
      <formula>$AC$35</formula>
    </cfRule>
    <cfRule type="cellIs" dxfId="16" priority="14" operator="notBetween">
      <formula>$AB$35</formula>
      <formula>$AC$35</formula>
    </cfRule>
  </conditionalFormatting>
  <conditionalFormatting sqref="E36:Y36">
    <cfRule type="cellIs" dxfId="15" priority="13" operator="between">
      <formula>$AB$36</formula>
      <formula>$AC$36</formula>
    </cfRule>
    <cfRule type="cellIs" dxfId="14" priority="12" operator="notBetween">
      <formula>$AB$36</formula>
      <formula>$AC$36</formula>
    </cfRule>
  </conditionalFormatting>
  <conditionalFormatting sqref="E37:Y37">
    <cfRule type="cellIs" dxfId="13" priority="11" operator="between">
      <formula>$AB$37</formula>
      <formula>$AC$37</formula>
    </cfRule>
    <cfRule type="cellIs" dxfId="12" priority="10" operator="notBetween">
      <formula>$AB$37</formula>
      <formula>$AC$37</formula>
    </cfRule>
  </conditionalFormatting>
  <conditionalFormatting sqref="E38:Y38">
    <cfRule type="cellIs" dxfId="11" priority="9" operator="between">
      <formula>$AB$38</formula>
      <formula>$AC$38</formula>
    </cfRule>
    <cfRule type="cellIs" dxfId="10" priority="8" operator="notBetween">
      <formula>$AB$38</formula>
      <formula>$AC$38</formula>
    </cfRule>
  </conditionalFormatting>
  <conditionalFormatting sqref="E39:Y39">
    <cfRule type="cellIs" dxfId="9" priority="7" operator="between">
      <formula>$AB$39</formula>
      <formula>$AC$39</formula>
    </cfRule>
    <cfRule type="cellIs" dxfId="8" priority="6" operator="notBetween">
      <formula>$AB$39</formula>
      <formula>$AC$39</formula>
    </cfRule>
  </conditionalFormatting>
  <conditionalFormatting sqref="E40:Y40">
    <cfRule type="cellIs" dxfId="7" priority="4" operator="notBetween">
      <formula>$AB$40</formula>
      <formula>$AC$40</formula>
    </cfRule>
    <cfRule type="cellIs" dxfId="6" priority="5" operator="between">
      <formula>$AB$40</formula>
      <formula>$AC$40</formula>
    </cfRule>
  </conditionalFormatting>
  <conditionalFormatting sqref="E41:Y41">
    <cfRule type="cellIs" dxfId="5" priority="2" operator="notBetween">
      <formula>$AB$41</formula>
      <formula>$AC$41</formula>
    </cfRule>
    <cfRule type="cellIs" dxfId="4" priority="3" operator="between">
      <formula>$AB$41</formula>
      <formula>$AC$41</formula>
    </cfRule>
  </conditionalFormatting>
  <conditionalFormatting sqref="E42:Y42">
    <cfRule type="cellIs" dxfId="3" priority="33" operator="notBetween">
      <formula>$AB$42</formula>
      <formula>$AC$42</formula>
    </cfRule>
    <cfRule type="cellIs" dxfId="2" priority="34" operator="between">
      <formula>$AB$42</formula>
      <formula>$AC$42</formula>
    </cfRule>
  </conditionalFormatting>
  <conditionalFormatting sqref="AM4:AM42">
    <cfRule type="cellIs" dxfId="1" priority="81" operator="lessThan">
      <formula>3</formula>
    </cfRule>
    <cfRule type="cellIs" dxfId="0" priority="82" operator="greaterThanOrEqual">
      <formula>3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ignoredErrors>
    <ignoredError sqref="C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Resumo</vt:lpstr>
      <vt:lpstr>Chefe de Brigada (Líder)</vt:lpstr>
      <vt:lpstr>Brigadista Particular - Diurno</vt:lpstr>
      <vt:lpstr>Brigadista Particular - Noturno</vt:lpstr>
      <vt:lpstr>Uniformes</vt:lpstr>
      <vt:lpstr>Materiais de consumo</vt:lpstr>
      <vt:lpstr>Materiais permanentes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Luiz Graziato</dc:creator>
  <cp:lastModifiedBy>Lidianny Almeida de Carvalho</cp:lastModifiedBy>
  <dcterms:created xsi:type="dcterms:W3CDTF">2024-04-24T18:04:23Z</dcterms:created>
  <dcterms:modified xsi:type="dcterms:W3CDTF">2024-07-29T16:47:31Z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2024-04-24T18:06:54Z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33fe425c-a152-417d-8cf9-e9f5e1c5313a</vt:lpwstr>
  </property>
  <property fmtid="{D5CDD505-2E9C-101B-9397-08002B2CF9AE}" pid="8" name="MSIP_Label_0559fe9b-6987-45ef-b918-e76911e153f0_ContentBits">
    <vt:lpwstr>0</vt:lpwstr>
  </property>
</Properties>
</file>