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PP\CGPAI\PMI Dnocs\Platôs de Guadalupe\Consulta pública\ESTUDOS FINAIS\Estudos PDG\"/>
    </mc:Choice>
  </mc:AlternateContent>
  <xr:revisionPtr revIDLastSave="0" documentId="13_ncr:1_{0F7D627E-0A88-4CE8-972B-10D8195E4AD9}" xr6:coauthVersionLast="47" xr6:coauthVersionMax="47" xr10:uidLastSave="{00000000-0000-0000-0000-000000000000}"/>
  <workbookProtection workbookAlgorithmName="SHA-512" workbookHashValue="FZBJ2wEUH9fw26SfHBtISxgSeeU1LBC/B+/esF40yGH8mVutlCRrzIA0/QsVmreLan42/a+v9mrbNWEnXeaNww==" workbookSaltValue="XvnJmCNaAjOsCc1rEXvmig==" workbookSpinCount="100000" lockStructure="1"/>
  <bookViews>
    <workbookView xWindow="-120" yWindow="-120" windowWidth="29040" windowHeight="15840" xr2:uid="{00000000-000D-0000-FFFF-FFFF00000000}"/>
  </bookViews>
  <sheets>
    <sheet name="Orçam" sheetId="1" r:id="rId1"/>
    <sheet name="Orçam Resumo" sheetId="4" r:id="rId2"/>
    <sheet name="Resum" sheetId="2" r:id="rId3"/>
  </sheets>
  <definedNames>
    <definedName name="_xlnm.Print_Area" localSheetId="1">'Orçam Resumo'!$B$2:$F$202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2" l="1"/>
  <c r="M34" i="2"/>
  <c r="M33" i="2"/>
  <c r="M32" i="2"/>
  <c r="M31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B199" i="4" l="1"/>
  <c r="B201" i="4"/>
  <c r="F190" i="4"/>
  <c r="F163" i="4"/>
  <c r="F158" i="4"/>
  <c r="F134" i="4"/>
  <c r="F124" i="4"/>
  <c r="F115" i="4"/>
  <c r="F116" i="4"/>
  <c r="F117" i="4"/>
  <c r="F118" i="4"/>
  <c r="F119" i="4"/>
  <c r="F114" i="4"/>
  <c r="F108" i="4"/>
  <c r="F101" i="4"/>
  <c r="F102" i="4"/>
  <c r="F94" i="4"/>
  <c r="F95" i="4"/>
  <c r="F87" i="4"/>
  <c r="F88" i="4"/>
  <c r="F74" i="4"/>
  <c r="F75" i="4"/>
  <c r="F73" i="4"/>
  <c r="E77" i="4"/>
  <c r="F67" i="4"/>
  <c r="F68" i="4"/>
  <c r="F66" i="4"/>
  <c r="F60" i="4"/>
  <c r="F61" i="4"/>
  <c r="F59" i="4"/>
  <c r="F184" i="4"/>
  <c r="D184" i="4"/>
  <c r="D167" i="4"/>
  <c r="D160" i="4"/>
  <c r="D155" i="4"/>
  <c r="D147" i="4"/>
  <c r="F50" i="4"/>
  <c r="F32" i="4"/>
  <c r="F195" i="4"/>
  <c r="F194" i="4"/>
  <c r="F193" i="4"/>
  <c r="F166" i="4"/>
  <c r="F165" i="4"/>
  <c r="F164" i="4"/>
  <c r="E154" i="4"/>
  <c r="F153" i="4"/>
  <c r="E152" i="4"/>
  <c r="E151" i="4"/>
  <c r="E150" i="4"/>
  <c r="F147" i="4"/>
  <c r="F167" i="4"/>
  <c r="F159" i="4"/>
  <c r="F138" i="4"/>
  <c r="F137" i="4"/>
  <c r="F136" i="4"/>
  <c r="F135" i="4"/>
  <c r="F130" i="4"/>
  <c r="F129" i="4"/>
  <c r="F128" i="4"/>
  <c r="F123" i="4"/>
  <c r="F120" i="4"/>
  <c r="F111" i="4"/>
  <c r="E111" i="4" s="1"/>
  <c r="F104" i="4"/>
  <c r="E104" i="4" s="1"/>
  <c r="F97" i="4"/>
  <c r="F90" i="4"/>
  <c r="F110" i="4"/>
  <c r="F109" i="4"/>
  <c r="F103" i="4"/>
  <c r="F96" i="4"/>
  <c r="F107" i="4"/>
  <c r="F100" i="4"/>
  <c r="F93" i="4"/>
  <c r="F86" i="4"/>
  <c r="F89" i="4"/>
  <c r="F83" i="4"/>
  <c r="F79" i="4" s="1"/>
  <c r="F76" i="4"/>
  <c r="F69" i="4"/>
  <c r="F62" i="4"/>
  <c r="F55" i="4"/>
  <c r="F54" i="4"/>
  <c r="F53" i="4"/>
  <c r="F141" i="4" l="1"/>
  <c r="F152" i="4"/>
  <c r="F150" i="4"/>
  <c r="E153" i="4"/>
  <c r="F151" i="4"/>
  <c r="F157" i="4"/>
  <c r="F154" i="4"/>
  <c r="F162" i="4"/>
  <c r="F192" i="4"/>
  <c r="E147" i="4"/>
  <c r="F44" i="4"/>
  <c r="F85" i="4"/>
  <c r="F99" i="4"/>
  <c r="F106" i="4"/>
  <c r="F113" i="4"/>
  <c r="F92" i="4"/>
  <c r="E83" i="4"/>
  <c r="E90" i="4"/>
  <c r="E97" i="4"/>
  <c r="F131" i="4" l="1"/>
  <c r="E131" i="4" l="1"/>
  <c r="F127" i="4"/>
  <c r="F56" i="4"/>
  <c r="F52" i="4" s="1"/>
  <c r="F139" i="4" l="1"/>
  <c r="F133" i="4" l="1"/>
  <c r="E139" i="4"/>
  <c r="F189" i="4"/>
  <c r="F187" i="4"/>
  <c r="F183" i="4"/>
  <c r="F182" i="4"/>
  <c r="F181" i="4"/>
  <c r="F180" i="4"/>
  <c r="X43" i="1"/>
  <c r="Y43" i="1" s="1"/>
  <c r="X35" i="1"/>
  <c r="Y35" i="1" s="1"/>
  <c r="X19" i="1"/>
  <c r="Y19" i="1" s="1"/>
  <c r="W22" i="1"/>
  <c r="S19" i="1"/>
  <c r="T19" i="1" s="1"/>
  <c r="F22" i="4"/>
  <c r="F42" i="4"/>
  <c r="E42" i="4" s="1"/>
  <c r="F41" i="4"/>
  <c r="F40" i="4"/>
  <c r="F39" i="4"/>
  <c r="L42" i="1"/>
  <c r="F70" i="4"/>
  <c r="F65" i="4" s="1"/>
  <c r="F34" i="4"/>
  <c r="E34" i="4" s="1"/>
  <c r="F33" i="4"/>
  <c r="F31" i="4"/>
  <c r="L34" i="1"/>
  <c r="F77" i="4"/>
  <c r="F72" i="4" s="1"/>
  <c r="F26" i="4"/>
  <c r="F25" i="4"/>
  <c r="F24" i="4"/>
  <c r="F23" i="4"/>
  <c r="L26" i="1"/>
  <c r="F18" i="4"/>
  <c r="E18" i="4" s="1"/>
  <c r="F17" i="4"/>
  <c r="F16" i="4"/>
  <c r="F15" i="4"/>
  <c r="F13" i="4"/>
  <c r="W35" i="1" l="1"/>
  <c r="W43" i="1"/>
  <c r="W19" i="1"/>
  <c r="E21" i="4"/>
  <c r="F21" i="4"/>
  <c r="F20" i="4" s="1"/>
  <c r="F29" i="4"/>
  <c r="F179" i="4"/>
  <c r="L68" i="1"/>
  <c r="F63" i="4"/>
  <c r="F37" i="4"/>
  <c r="Z43" i="1"/>
  <c r="M43" i="1" s="1"/>
  <c r="F38" i="4" s="1"/>
  <c r="Z35" i="1"/>
  <c r="M35" i="1" s="1"/>
  <c r="F30" i="4" s="1"/>
  <c r="AC17" i="1"/>
  <c r="AC43" i="1" s="1"/>
  <c r="Z19" i="1"/>
  <c r="M19" i="1" s="1"/>
  <c r="F14" i="4" s="1"/>
  <c r="F12" i="4" s="1"/>
  <c r="L91" i="1"/>
  <c r="E86" i="4" s="1"/>
  <c r="L85" i="1"/>
  <c r="E80" i="4" s="1"/>
  <c r="E195" i="1"/>
  <c r="F36" i="4" l="1"/>
  <c r="F28" i="4"/>
  <c r="E63" i="4"/>
  <c r="F58" i="4"/>
  <c r="Z16" i="1"/>
  <c r="AC19" i="1"/>
  <c r="AC35" i="1"/>
  <c r="K154" i="1" l="1"/>
  <c r="P203" i="1" l="1"/>
  <c r="P202" i="1"/>
  <c r="P201" i="1"/>
  <c r="P198" i="1"/>
  <c r="P197" i="1"/>
  <c r="P195" i="1"/>
  <c r="P189" i="1"/>
  <c r="P190" i="1"/>
  <c r="P191" i="1"/>
  <c r="P188" i="1"/>
  <c r="L188" i="1"/>
  <c r="O182" i="1"/>
  <c r="O177" i="1"/>
  <c r="P175" i="1"/>
  <c r="P174" i="1"/>
  <c r="P173" i="1"/>
  <c r="P172" i="1"/>
  <c r="P171" i="1"/>
  <c r="P170" i="1"/>
  <c r="O170" i="1"/>
  <c r="P166" i="1"/>
  <c r="P165" i="1"/>
  <c r="P164" i="1"/>
  <c r="O164" i="1"/>
  <c r="P160" i="1"/>
  <c r="P159" i="1"/>
  <c r="P158" i="1"/>
  <c r="P157" i="1"/>
  <c r="P156" i="1"/>
  <c r="P155" i="1"/>
  <c r="O155" i="1"/>
  <c r="P152" i="1"/>
  <c r="P151" i="1"/>
  <c r="P150" i="1"/>
  <c r="P149" i="1"/>
  <c r="P148" i="1"/>
  <c r="P147" i="1"/>
  <c r="P143" i="1"/>
  <c r="P142" i="1"/>
  <c r="P141" i="1"/>
  <c r="P140" i="1"/>
  <c r="P139" i="1"/>
  <c r="P136" i="1"/>
  <c r="P129" i="1"/>
  <c r="P128" i="1"/>
  <c r="P125" i="1"/>
  <c r="P124" i="1"/>
  <c r="P123" i="1"/>
  <c r="P122" i="1"/>
  <c r="P121" i="1"/>
  <c r="P120" i="1"/>
  <c r="P119" i="1"/>
  <c r="P115" i="1"/>
  <c r="P114" i="1"/>
  <c r="P113" i="1"/>
  <c r="P112" i="1"/>
  <c r="P108" i="1"/>
  <c r="P107" i="1"/>
  <c r="P106" i="1"/>
  <c r="P105" i="1"/>
  <c r="P101" i="1"/>
  <c r="P100" i="1"/>
  <c r="P99" i="1"/>
  <c r="P98" i="1"/>
  <c r="P92" i="1"/>
  <c r="P93" i="1"/>
  <c r="P94" i="1"/>
  <c r="P91" i="1"/>
  <c r="O91" i="1"/>
  <c r="P86" i="1"/>
  <c r="P87" i="1"/>
  <c r="P88" i="1"/>
  <c r="P85" i="1"/>
  <c r="P79" i="1"/>
  <c r="P80" i="1"/>
  <c r="P81" i="1"/>
  <c r="P78" i="1"/>
  <c r="P72" i="1"/>
  <c r="P73" i="1"/>
  <c r="P74" i="1"/>
  <c r="P71" i="1"/>
  <c r="P65" i="1"/>
  <c r="P66" i="1"/>
  <c r="P67" i="1"/>
  <c r="P64" i="1"/>
  <c r="P61" i="1"/>
  <c r="P51" i="1"/>
  <c r="P52" i="1"/>
  <c r="P53" i="1"/>
  <c r="P54" i="1"/>
  <c r="P50" i="1"/>
  <c r="P47" i="1"/>
  <c r="P46" i="1"/>
  <c r="P45" i="1"/>
  <c r="P44" i="1"/>
  <c r="P42" i="1"/>
  <c r="P36" i="1"/>
  <c r="P37" i="1"/>
  <c r="P38" i="1"/>
  <c r="P39" i="1"/>
  <c r="P34" i="1"/>
  <c r="P28" i="1"/>
  <c r="P29" i="1"/>
  <c r="P30" i="1"/>
  <c r="P31" i="1"/>
  <c r="P26" i="1"/>
  <c r="P20" i="1"/>
  <c r="P21" i="1"/>
  <c r="P22" i="1"/>
  <c r="P23" i="1"/>
  <c r="P18" i="1"/>
  <c r="P10" i="1"/>
  <c r="O188" i="1" l="1"/>
  <c r="E180" i="4"/>
  <c r="P118" i="1"/>
  <c r="P146" i="1"/>
  <c r="P200" i="1"/>
  <c r="P169" i="1"/>
  <c r="P84" i="1"/>
  <c r="L92" i="1" l="1"/>
  <c r="E87" i="4" s="1"/>
  <c r="L93" i="1" l="1"/>
  <c r="O92" i="1"/>
  <c r="P109" i="1"/>
  <c r="P104" i="1" s="1"/>
  <c r="L73" i="1"/>
  <c r="P59" i="1"/>
  <c r="U61" i="1"/>
  <c r="O93" i="1" l="1"/>
  <c r="E88" i="4"/>
  <c r="O73" i="1"/>
  <c r="E68" i="4"/>
  <c r="F111" i="1"/>
  <c r="L112" i="1" s="1"/>
  <c r="F104" i="1"/>
  <c r="L105" i="1" s="1"/>
  <c r="L101" i="1"/>
  <c r="O112" i="1" l="1"/>
  <c r="E107" i="4"/>
  <c r="O105" i="1"/>
  <c r="E100" i="4"/>
  <c r="O101" i="1"/>
  <c r="E96" i="4"/>
  <c r="L113" i="1"/>
  <c r="L106" i="1"/>
  <c r="O106" i="1" s="1"/>
  <c r="F97" i="1"/>
  <c r="L107" i="1" l="1"/>
  <c r="E101" i="4"/>
  <c r="O113" i="1"/>
  <c r="E108" i="4"/>
  <c r="L98" i="1"/>
  <c r="O107" i="1" l="1"/>
  <c r="E102" i="4"/>
  <c r="O98" i="1"/>
  <c r="E93" i="4"/>
  <c r="L99" i="1"/>
  <c r="E42" i="2"/>
  <c r="E41" i="2"/>
  <c r="E40" i="2"/>
  <c r="E37" i="2"/>
  <c r="O99" i="1" l="1"/>
  <c r="E94" i="4"/>
  <c r="L100" i="1"/>
  <c r="L175" i="1"/>
  <c r="Q38" i="1"/>
  <c r="R57" i="1"/>
  <c r="P58" i="1"/>
  <c r="P144" i="1"/>
  <c r="P138" i="1" s="1"/>
  <c r="U62" i="1"/>
  <c r="O100" i="1" l="1"/>
  <c r="E95" i="4"/>
  <c r="E92" i="4" s="1"/>
  <c r="O175" i="1"/>
  <c r="E167" i="4"/>
  <c r="L133" i="1"/>
  <c r="E128" i="4" s="1"/>
  <c r="P133" i="1"/>
  <c r="L58" i="1"/>
  <c r="R34" i="1"/>
  <c r="S27" i="1"/>
  <c r="T27" i="1" s="1"/>
  <c r="P27" i="1" s="1"/>
  <c r="P25" i="1" s="1"/>
  <c r="S43" i="1"/>
  <c r="T43" i="1" s="1"/>
  <c r="P43" i="1" s="1"/>
  <c r="P41" i="1" s="1"/>
  <c r="S35" i="1"/>
  <c r="O58" i="1" l="1"/>
  <c r="E53" i="4"/>
  <c r="T35" i="1"/>
  <c r="P35" i="1" s="1"/>
  <c r="P33" i="1" s="1"/>
  <c r="E134" i="1"/>
  <c r="O133" i="1"/>
  <c r="L59" i="1"/>
  <c r="O59" i="1" l="1"/>
  <c r="E54" i="4"/>
  <c r="P19" i="1"/>
  <c r="P17" i="1" s="1"/>
  <c r="S22" i="1"/>
  <c r="Q39" i="1"/>
  <c r="R42" i="1"/>
  <c r="L43" i="1" l="1"/>
  <c r="L79" i="1"/>
  <c r="L122" i="1"/>
  <c r="L121" i="1"/>
  <c r="L120" i="1"/>
  <c r="E115" i="4" s="1"/>
  <c r="L72" i="1"/>
  <c r="L66" i="1"/>
  <c r="L65" i="1"/>
  <c r="E60" i="4" s="1"/>
  <c r="L53" i="1"/>
  <c r="L54" i="1"/>
  <c r="O121" i="1" l="1"/>
  <c r="E116" i="4"/>
  <c r="O66" i="1"/>
  <c r="E61" i="4"/>
  <c r="O122" i="1"/>
  <c r="E117" i="4"/>
  <c r="O72" i="1"/>
  <c r="E67" i="4"/>
  <c r="O79" i="1"/>
  <c r="E74" i="4"/>
  <c r="O54" i="1"/>
  <c r="E49" i="4"/>
  <c r="O53" i="1"/>
  <c r="E48" i="4"/>
  <c r="O43" i="1"/>
  <c r="E38" i="4"/>
  <c r="N133" i="1"/>
  <c r="E135" i="1" s="1"/>
  <c r="P134" i="1"/>
  <c r="L123" i="1"/>
  <c r="O120" i="1"/>
  <c r="O65" i="1"/>
  <c r="L67" i="1"/>
  <c r="F18" i="1"/>
  <c r="O26" i="1"/>
  <c r="L134" i="1"/>
  <c r="E129" i="4" s="1"/>
  <c r="L35" i="1"/>
  <c r="E11" i="1"/>
  <c r="L14" i="1" s="1"/>
  <c r="L74" i="1"/>
  <c r="O74" i="1" l="1"/>
  <c r="E69" i="4"/>
  <c r="O123" i="1"/>
  <c r="E118" i="4"/>
  <c r="O67" i="1"/>
  <c r="E62" i="4"/>
  <c r="O35" i="1"/>
  <c r="E30" i="4"/>
  <c r="L64" i="1"/>
  <c r="O134" i="1"/>
  <c r="L124" i="1"/>
  <c r="L12" i="1"/>
  <c r="E7" i="4" s="1"/>
  <c r="E6" i="4" s="1"/>
  <c r="D192" i="1"/>
  <c r="D175" i="1"/>
  <c r="D167" i="1"/>
  <c r="D161" i="1"/>
  <c r="D152" i="1"/>
  <c r="L202" i="1"/>
  <c r="E194" i="4" s="1"/>
  <c r="L203" i="1"/>
  <c r="E195" i="4" s="1"/>
  <c r="L201" i="1"/>
  <c r="E193" i="4" s="1"/>
  <c r="L191" i="1"/>
  <c r="L189" i="1"/>
  <c r="L190" i="1"/>
  <c r="L173" i="1"/>
  <c r="L174" i="1"/>
  <c r="L172" i="1"/>
  <c r="L166" i="1"/>
  <c r="E159" i="4" s="1"/>
  <c r="L115" i="1"/>
  <c r="L114" i="1"/>
  <c r="L119" i="1" l="1"/>
  <c r="E114" i="4" s="1"/>
  <c r="E119" i="4"/>
  <c r="O64" i="1"/>
  <c r="E59" i="4"/>
  <c r="E58" i="4" s="1"/>
  <c r="E192" i="4"/>
  <c r="O114" i="1"/>
  <c r="E109" i="4"/>
  <c r="O191" i="1"/>
  <c r="E183" i="4"/>
  <c r="O115" i="1"/>
  <c r="E110" i="4"/>
  <c r="O190" i="1"/>
  <c r="E182" i="4"/>
  <c r="O174" i="1"/>
  <c r="E166" i="4"/>
  <c r="O173" i="1"/>
  <c r="E165" i="4"/>
  <c r="O172" i="1"/>
  <c r="E164" i="4"/>
  <c r="O189" i="1"/>
  <c r="E181" i="4"/>
  <c r="D40" i="2"/>
  <c r="O201" i="1"/>
  <c r="D42" i="2"/>
  <c r="O203" i="1"/>
  <c r="L165" i="1"/>
  <c r="O166" i="1"/>
  <c r="D41" i="2"/>
  <c r="O202" i="1"/>
  <c r="L135" i="1"/>
  <c r="P135" i="1"/>
  <c r="P132" i="1" s="1"/>
  <c r="L200" i="1"/>
  <c r="L141" i="1"/>
  <c r="L142" i="1"/>
  <c r="L143" i="1"/>
  <c r="L140" i="1"/>
  <c r="E135" i="4" s="1"/>
  <c r="L157" i="1"/>
  <c r="O157" i="1" s="1"/>
  <c r="L158" i="1"/>
  <c r="O158" i="1" s="1"/>
  <c r="L159" i="1"/>
  <c r="O159" i="1" s="1"/>
  <c r="L160" i="1"/>
  <c r="O160" i="1" s="1"/>
  <c r="L156" i="1"/>
  <c r="O156" i="1" s="1"/>
  <c r="L136" i="1"/>
  <c r="L128" i="1"/>
  <c r="E123" i="4" s="1"/>
  <c r="L125" i="1"/>
  <c r="L108" i="1"/>
  <c r="L94" i="1"/>
  <c r="L88" i="1"/>
  <c r="O88" i="1" s="1"/>
  <c r="L47" i="1"/>
  <c r="O47" i="1" s="1"/>
  <c r="L46" i="1"/>
  <c r="L45" i="1"/>
  <c r="L44" i="1"/>
  <c r="E37" i="4"/>
  <c r="L39" i="1"/>
  <c r="O39" i="1" s="1"/>
  <c r="L38" i="1"/>
  <c r="L37" i="1"/>
  <c r="L29" i="1"/>
  <c r="L30" i="1"/>
  <c r="E179" i="4" l="1"/>
  <c r="O34" i="1"/>
  <c r="E29" i="4"/>
  <c r="O125" i="1"/>
  <c r="E120" i="4"/>
  <c r="E113" i="4" s="1"/>
  <c r="O29" i="1"/>
  <c r="E24" i="4"/>
  <c r="O108" i="1"/>
  <c r="E103" i="4"/>
  <c r="E99" i="4" s="1"/>
  <c r="O141" i="1"/>
  <c r="E136" i="4"/>
  <c r="O143" i="1"/>
  <c r="E138" i="4"/>
  <c r="E106" i="4"/>
  <c r="O46" i="1"/>
  <c r="E41" i="4"/>
  <c r="O37" i="1"/>
  <c r="E32" i="4"/>
  <c r="O44" i="1"/>
  <c r="E39" i="4"/>
  <c r="O30" i="1"/>
  <c r="E25" i="4"/>
  <c r="O38" i="1"/>
  <c r="E33" i="4"/>
  <c r="O45" i="1"/>
  <c r="E40" i="4"/>
  <c r="O94" i="1"/>
  <c r="E89" i="4"/>
  <c r="E85" i="4" s="1"/>
  <c r="O142" i="1"/>
  <c r="E137" i="4"/>
  <c r="O135" i="1"/>
  <c r="E130" i="4"/>
  <c r="E127" i="4" s="1"/>
  <c r="O165" i="1"/>
  <c r="E158" i="4"/>
  <c r="E157" i="4" s="1"/>
  <c r="H40" i="2"/>
  <c r="L163" i="1"/>
  <c r="F42" i="1"/>
  <c r="O42" i="1"/>
  <c r="L139" i="1"/>
  <c r="O140" i="1"/>
  <c r="L129" i="1"/>
  <c r="O128" i="1"/>
  <c r="L132" i="1"/>
  <c r="O136" i="1"/>
  <c r="O200" i="1"/>
  <c r="L51" i="1"/>
  <c r="L52" i="1"/>
  <c r="L50" i="1"/>
  <c r="L61" i="1"/>
  <c r="O41" i="1" l="1"/>
  <c r="E36" i="4"/>
  <c r="O51" i="1"/>
  <c r="E46" i="4"/>
  <c r="O139" i="1"/>
  <c r="E134" i="4"/>
  <c r="E133" i="4" s="1"/>
  <c r="O50" i="1"/>
  <c r="E45" i="4"/>
  <c r="O129" i="1"/>
  <c r="E124" i="4"/>
  <c r="O52" i="1"/>
  <c r="E47" i="4"/>
  <c r="O132" i="1"/>
  <c r="O61" i="1"/>
  <c r="E56" i="4"/>
  <c r="L36" i="1"/>
  <c r="L31" i="1"/>
  <c r="L23" i="1"/>
  <c r="O23" i="1" s="1"/>
  <c r="L28" i="1"/>
  <c r="L27" i="1"/>
  <c r="R182" i="1"/>
  <c r="R183" i="1"/>
  <c r="O31" i="1" l="1"/>
  <c r="E26" i="4"/>
  <c r="O28" i="1"/>
  <c r="E23" i="4"/>
  <c r="E44" i="4"/>
  <c r="O27" i="1"/>
  <c r="E22" i="4"/>
  <c r="O36" i="1"/>
  <c r="O33" i="1" s="1"/>
  <c r="E31" i="4"/>
  <c r="E28" i="4" s="1"/>
  <c r="L102" i="1"/>
  <c r="O102" i="1" s="1"/>
  <c r="O97" i="1" s="1"/>
  <c r="P102" i="1"/>
  <c r="P97" i="1" s="1"/>
  <c r="L109" i="1"/>
  <c r="O109" i="1" s="1"/>
  <c r="O104" i="1" s="1"/>
  <c r="E20" i="4" l="1"/>
  <c r="O25" i="1"/>
  <c r="L116" i="1"/>
  <c r="O116" i="1" s="1"/>
  <c r="O111" i="1" s="1"/>
  <c r="P116" i="1"/>
  <c r="P111" i="1" s="1"/>
  <c r="L95" i="1"/>
  <c r="O95" i="1" s="1"/>
  <c r="O90" i="1" s="1"/>
  <c r="P95" i="1"/>
  <c r="P90" i="1" s="1"/>
  <c r="D15" i="2"/>
  <c r="D14" i="2"/>
  <c r="D13" i="2"/>
  <c r="L187" i="1"/>
  <c r="E7" i="1" l="1"/>
  <c r="E6" i="1"/>
  <c r="L208" i="1" s="1"/>
  <c r="E5" i="1"/>
  <c r="E199" i="4" l="1"/>
  <c r="F199" i="4" s="1"/>
  <c r="E198" i="1"/>
  <c r="L198" i="1" s="1"/>
  <c r="O198" i="1" l="1"/>
  <c r="E190" i="4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L13" i="1" l="1"/>
  <c r="O13" i="1" l="1"/>
  <c r="E9" i="4"/>
  <c r="E8" i="4" s="1"/>
  <c r="E5" i="4" s="1"/>
  <c r="L11" i="1"/>
  <c r="E39" i="2"/>
  <c r="E38" i="2"/>
  <c r="E36" i="2"/>
  <c r="F32" i="2"/>
  <c r="F7" i="2"/>
  <c r="F8" i="2"/>
  <c r="F9" i="2"/>
  <c r="F10" i="2"/>
  <c r="F11" i="2"/>
  <c r="F12" i="2"/>
  <c r="F16" i="2"/>
  <c r="F17" i="2"/>
  <c r="F18" i="2"/>
  <c r="F19" i="2"/>
  <c r="F20" i="2"/>
  <c r="F21" i="2"/>
  <c r="F13" i="2"/>
  <c r="F14" i="2"/>
  <c r="F15" i="2"/>
  <c r="F22" i="2"/>
  <c r="F23" i="2"/>
  <c r="F24" i="2"/>
  <c r="F25" i="2"/>
  <c r="F26" i="2"/>
  <c r="F27" i="2"/>
  <c r="F28" i="2"/>
  <c r="F29" i="2"/>
  <c r="F30" i="2"/>
  <c r="F31" i="2"/>
  <c r="F33" i="2"/>
  <c r="F34" i="2"/>
  <c r="F35" i="2"/>
  <c r="F6" i="2"/>
  <c r="L10" i="1" l="1"/>
  <c r="D31" i="2" s="1"/>
  <c r="O11" i="1"/>
  <c r="O10" i="1" s="1"/>
  <c r="G14" i="2"/>
  <c r="G13" i="2"/>
  <c r="G22" i="2"/>
  <c r="G34" i="2"/>
  <c r="G15" i="2"/>
  <c r="G30" i="2"/>
  <c r="G31" i="2" l="1"/>
  <c r="D39" i="2"/>
  <c r="L195" i="1" l="1"/>
  <c r="E187" i="4" s="1"/>
  <c r="D36" i="2" l="1"/>
  <c r="O195" i="1"/>
  <c r="O85" i="1" l="1"/>
  <c r="D25" i="2" l="1"/>
  <c r="L86" i="1"/>
  <c r="E81" i="4" s="1"/>
  <c r="M55" i="1"/>
  <c r="M192" i="1"/>
  <c r="O192" i="1" l="1"/>
  <c r="O187" i="1" s="1"/>
  <c r="P192" i="1"/>
  <c r="P187" i="1" s="1"/>
  <c r="P55" i="1"/>
  <c r="P49" i="1" s="1"/>
  <c r="O55" i="1"/>
  <c r="O49" i="1" s="1"/>
  <c r="L87" i="1"/>
  <c r="O86" i="1"/>
  <c r="G25" i="2"/>
  <c r="G9" i="2"/>
  <c r="O87" i="1" l="1"/>
  <c r="E82" i="4"/>
  <c r="E79" i="4" s="1"/>
  <c r="O84" i="1"/>
  <c r="L84" i="1"/>
  <c r="O124" i="1" l="1"/>
  <c r="K157" i="1"/>
  <c r="R178" i="1" l="1"/>
  <c r="R184" i="1" l="1"/>
  <c r="L178" i="1"/>
  <c r="L111" i="1"/>
  <c r="P178" i="1" l="1"/>
  <c r="E170" i="4"/>
  <c r="D19" i="2"/>
  <c r="D26" i="2"/>
  <c r="L118" i="1" l="1"/>
  <c r="O119" i="1"/>
  <c r="O118" i="1" s="1"/>
  <c r="L104" i="1"/>
  <c r="G19" i="2"/>
  <c r="D27" i="2"/>
  <c r="R8" i="1"/>
  <c r="S8" i="1"/>
  <c r="T8" i="1"/>
  <c r="U8" i="1"/>
  <c r="V8" i="1"/>
  <c r="W8" i="1"/>
  <c r="X8" i="1"/>
  <c r="Y8" i="1"/>
  <c r="Z8" i="1"/>
  <c r="AA8" i="1"/>
  <c r="AB8" i="1"/>
  <c r="Q8" i="1"/>
  <c r="G26" i="2" l="1"/>
  <c r="G27" i="2"/>
  <c r="E8" i="1"/>
  <c r="AI156" i="1"/>
  <c r="AI183" i="1"/>
  <c r="AI157" i="1"/>
  <c r="F60" i="1" l="1"/>
  <c r="P60" i="1" l="1"/>
  <c r="P57" i="1" s="1"/>
  <c r="L60" i="1"/>
  <c r="L71" i="1"/>
  <c r="O71" i="1" l="1"/>
  <c r="E66" i="4"/>
  <c r="E65" i="4" s="1"/>
  <c r="O60" i="1"/>
  <c r="O57" i="1" s="1"/>
  <c r="E55" i="4"/>
  <c r="E52" i="4" s="1"/>
  <c r="O75" i="1"/>
  <c r="P75" i="1"/>
  <c r="P70" i="1" s="1"/>
  <c r="L70" i="1"/>
  <c r="L80" i="1"/>
  <c r="E75" i="4" s="1"/>
  <c r="O70" i="1" l="1"/>
  <c r="L81" i="1"/>
  <c r="O80" i="1"/>
  <c r="AI172" i="1"/>
  <c r="AI166" i="1"/>
  <c r="AE172" i="1"/>
  <c r="AI158" i="1"/>
  <c r="AE156" i="1"/>
  <c r="AE166" i="1" s="1"/>
  <c r="O81" i="1" l="1"/>
  <c r="E76" i="4"/>
  <c r="O68" i="1"/>
  <c r="O63" i="1" s="1"/>
  <c r="P68" i="1"/>
  <c r="P63" i="1" s="1"/>
  <c r="D17" i="2"/>
  <c r="L78" i="1"/>
  <c r="E73" i="4" s="1"/>
  <c r="L63" i="1"/>
  <c r="E72" i="4" l="1"/>
  <c r="G17" i="2"/>
  <c r="D24" i="2"/>
  <c r="O78" i="1"/>
  <c r="L77" i="1"/>
  <c r="F19" i="1"/>
  <c r="F22" i="1"/>
  <c r="L22" i="1" s="1"/>
  <c r="F21" i="1"/>
  <c r="L21" i="1" s="1"/>
  <c r="AF178" i="1"/>
  <c r="AF157" i="1"/>
  <c r="AG157" i="1" s="1"/>
  <c r="G24" i="2" l="1"/>
  <c r="O21" i="1"/>
  <c r="E16" i="4"/>
  <c r="O22" i="1"/>
  <c r="E17" i="4"/>
  <c r="L19" i="1"/>
  <c r="O82" i="1"/>
  <c r="O77" i="1" s="1"/>
  <c r="P82" i="1"/>
  <c r="P77" i="1" s="1"/>
  <c r="AG178" i="1"/>
  <c r="AI178" i="1" s="1"/>
  <c r="AJ183" i="1" s="1"/>
  <c r="AK183" i="1" s="1"/>
  <c r="AJ157" i="1"/>
  <c r="AK157" i="1" s="1"/>
  <c r="O19" i="1" l="1"/>
  <c r="E14" i="4"/>
  <c r="AF174" i="1"/>
  <c r="AG174" i="1" s="1"/>
  <c r="AF160" i="1" l="1"/>
  <c r="AG160" i="1" s="1"/>
  <c r="K160" i="1"/>
  <c r="AF173" i="1"/>
  <c r="AG173" i="1" s="1"/>
  <c r="AF172" i="1"/>
  <c r="AG172" i="1" s="1"/>
  <c r="E170" i="1"/>
  <c r="F146" i="1" s="1"/>
  <c r="F169" i="1" s="1"/>
  <c r="L171" i="1" s="1"/>
  <c r="E147" i="1" l="1"/>
  <c r="E163" i="4"/>
  <c r="E162" i="4" s="1"/>
  <c r="AF159" i="1"/>
  <c r="AG159" i="1" s="1"/>
  <c r="K159" i="1"/>
  <c r="AF156" i="1"/>
  <c r="AG156" i="1" s="1"/>
  <c r="K156" i="1"/>
  <c r="O171" i="1"/>
  <c r="O169" i="1" s="1"/>
  <c r="AF166" i="1"/>
  <c r="AG166" i="1" s="1"/>
  <c r="N174" i="1"/>
  <c r="E174" i="1" s="1"/>
  <c r="L169" i="1"/>
  <c r="N173" i="1"/>
  <c r="E173" i="1" s="1"/>
  <c r="AJ174" i="1"/>
  <c r="AK174" i="1" s="1"/>
  <c r="AJ159" i="1"/>
  <c r="AK159" i="1" s="1"/>
  <c r="F46" i="1"/>
  <c r="AJ160" i="1"/>
  <c r="AK160" i="1" s="1"/>
  <c r="N172" i="1" l="1"/>
  <c r="D20" i="2"/>
  <c r="L90" i="1"/>
  <c r="F45" i="1"/>
  <c r="D28" i="2"/>
  <c r="AJ173" i="1"/>
  <c r="AK173" i="1" s="1"/>
  <c r="AJ166" i="1"/>
  <c r="AK166" i="1" s="1"/>
  <c r="N166" i="1" s="1"/>
  <c r="F43" i="1"/>
  <c r="F44" i="1"/>
  <c r="AJ156" i="1"/>
  <c r="AK156" i="1" s="1"/>
  <c r="F20" i="1"/>
  <c r="L20" i="1" s="1"/>
  <c r="E15" i="4" s="1"/>
  <c r="L18" i="1"/>
  <c r="L97" i="1"/>
  <c r="AJ172" i="1"/>
  <c r="AK172" i="1" s="1"/>
  <c r="L130" i="1"/>
  <c r="E125" i="4" s="1"/>
  <c r="E122" i="4" s="1"/>
  <c r="O18" i="1" l="1"/>
  <c r="E13" i="4"/>
  <c r="E12" i="4" s="1"/>
  <c r="F148" i="1"/>
  <c r="E172" i="1"/>
  <c r="AF158" i="1"/>
  <c r="AG158" i="1" s="1"/>
  <c r="K158" i="1"/>
  <c r="D12" i="2"/>
  <c r="O20" i="1"/>
  <c r="M130" i="1"/>
  <c r="L127" i="1"/>
  <c r="L17" i="1"/>
  <c r="Q167" i="1"/>
  <c r="G28" i="2"/>
  <c r="G20" i="2"/>
  <c r="D10" i="2"/>
  <c r="D18" i="2"/>
  <c r="L25" i="1"/>
  <c r="L57" i="1"/>
  <c r="AJ158" i="1"/>
  <c r="AK158" i="1" s="1"/>
  <c r="L49" i="1"/>
  <c r="L41" i="1"/>
  <c r="O130" i="1" l="1"/>
  <c r="O127" i="1" s="1"/>
  <c r="F125" i="4"/>
  <c r="F122" i="4" s="1"/>
  <c r="O17" i="1"/>
  <c r="P130" i="1"/>
  <c r="P127" i="1" s="1"/>
  <c r="M167" i="1"/>
  <c r="G10" i="2"/>
  <c r="G18" i="2"/>
  <c r="D33" i="2"/>
  <c r="D16" i="2"/>
  <c r="D21" i="2"/>
  <c r="D23" i="2"/>
  <c r="L148" i="1"/>
  <c r="F149" i="1"/>
  <c r="O148" i="1" l="1"/>
  <c r="E143" i="4"/>
  <c r="P167" i="1"/>
  <c r="P163" i="1" s="1"/>
  <c r="F160" i="4"/>
  <c r="E160" i="4" s="1"/>
  <c r="L167" i="1"/>
  <c r="O167" i="1" s="1"/>
  <c r="O163" i="1" s="1"/>
  <c r="L144" i="1"/>
  <c r="O144" i="1" s="1"/>
  <c r="O138" i="1" s="1"/>
  <c r="G21" i="2"/>
  <c r="G33" i="2"/>
  <c r="D29" i="2"/>
  <c r="H17" i="2"/>
  <c r="G23" i="2"/>
  <c r="G16" i="2"/>
  <c r="L149" i="1"/>
  <c r="F150" i="1"/>
  <c r="L161" i="1"/>
  <c r="O149" i="1" l="1"/>
  <c r="E144" i="4"/>
  <c r="L154" i="1"/>
  <c r="L138" i="1"/>
  <c r="G29" i="2"/>
  <c r="M161" i="1"/>
  <c r="L150" i="1"/>
  <c r="F151" i="1"/>
  <c r="L151" i="1" s="1"/>
  <c r="O151" i="1" l="1"/>
  <c r="E146" i="4"/>
  <c r="O150" i="1"/>
  <c r="E145" i="4"/>
  <c r="E155" i="4"/>
  <c r="E149" i="4" s="1"/>
  <c r="F155" i="4"/>
  <c r="F149" i="4" s="1"/>
  <c r="P161" i="1"/>
  <c r="P154" i="1" s="1"/>
  <c r="O161" i="1"/>
  <c r="O154" i="1" s="1"/>
  <c r="L147" i="1"/>
  <c r="E142" i="4" s="1"/>
  <c r="E141" i="4" l="1"/>
  <c r="O147" i="1"/>
  <c r="D32" i="2"/>
  <c r="G32" i="2" l="1"/>
  <c r="L33" i="1" l="1"/>
  <c r="D11" i="2" l="1"/>
  <c r="G12" i="2"/>
  <c r="G11" i="2" l="1"/>
  <c r="H10" i="2"/>
  <c r="L152" i="1" l="1"/>
  <c r="O152" i="1" s="1"/>
  <c r="O146" i="1" s="1"/>
  <c r="D35" i="2" l="1"/>
  <c r="L146" i="1"/>
  <c r="H23" i="2" l="1"/>
  <c r="G35" i="2"/>
  <c r="R147" i="1"/>
  <c r="R149" i="1" s="1"/>
  <c r="T149" i="1" l="1"/>
  <c r="R148" i="1"/>
  <c r="T148" i="1" s="1"/>
  <c r="L197" i="1" l="1"/>
  <c r="N155" i="1"/>
  <c r="N170" i="1"/>
  <c r="M208" i="1"/>
  <c r="F202" i="4" s="1"/>
  <c r="O197" i="1" l="1"/>
  <c r="E189" i="4"/>
  <c r="D38" i="2"/>
  <c r="L184" i="1" l="1"/>
  <c r="L179" i="1"/>
  <c r="P179" i="1" l="1"/>
  <c r="E171" i="4"/>
  <c r="P184" i="1"/>
  <c r="E176" i="4"/>
  <c r="D6" i="2"/>
  <c r="L180" i="1"/>
  <c r="E172" i="4" s="1"/>
  <c r="L183" i="1"/>
  <c r="P183" i="1" l="1"/>
  <c r="E175" i="4"/>
  <c r="E169" i="4"/>
  <c r="L177" i="1"/>
  <c r="P180" i="1"/>
  <c r="P177" i="1" s="1"/>
  <c r="H6" i="2"/>
  <c r="G6" i="2"/>
  <c r="L185" i="1"/>
  <c r="E177" i="4" s="1"/>
  <c r="D7" i="2"/>
  <c r="E174" i="4" l="1"/>
  <c r="D8" i="2"/>
  <c r="P185" i="1"/>
  <c r="P182" i="1" s="1"/>
  <c r="G7" i="2"/>
  <c r="L182" i="1"/>
  <c r="H7" i="2" l="1"/>
  <c r="G8" i="2"/>
  <c r="G43" i="2" l="1"/>
  <c r="F188" i="4" l="1"/>
  <c r="F186" i="4" s="1"/>
  <c r="F197" i="4" s="1"/>
  <c r="F198" i="4" s="1"/>
  <c r="P196" i="1"/>
  <c r="P194" i="1" s="1"/>
  <c r="P205" i="1" s="1"/>
  <c r="P206" i="1" s="1"/>
  <c r="M205" i="1"/>
  <c r="L196" i="1"/>
  <c r="E188" i="4" l="1"/>
  <c r="E186" i="4" s="1"/>
  <c r="E197" i="4" s="1"/>
  <c r="D37" i="2"/>
  <c r="L194" i="1"/>
  <c r="L205" i="1" s="1"/>
  <c r="O196" i="1"/>
  <c r="O194" i="1" s="1"/>
  <c r="O205" i="1" s="1"/>
  <c r="O206" i="1" s="1"/>
  <c r="M206" i="1"/>
  <c r="M210" i="1"/>
  <c r="M211" i="1" s="1"/>
  <c r="L206" i="1" l="1"/>
  <c r="L207" i="1"/>
  <c r="L210" i="1"/>
  <c r="K214" i="1"/>
  <c r="L215" i="1"/>
  <c r="H36" i="2"/>
  <c r="H43" i="2" s="1"/>
  <c r="D43" i="2"/>
  <c r="E198" i="4"/>
  <c r="E201" i="4"/>
  <c r="M2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Salete L. Stefani</author>
    <author>hildo</author>
  </authors>
  <commentList>
    <comment ref="F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Hildo</t>
        </r>
        <r>
          <rPr>
            <sz val="9"/>
            <color indexed="81"/>
            <rFont val="Tahoma"/>
            <family val="2"/>
          </rPr>
          <t xml:space="preserve">
 com Q méd das EBAs das áreas atendidas pelas adutoras gravitárias nos setores</t>
        </r>
      </text>
    </comment>
    <comment ref="E14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hildo:</t>
        </r>
        <r>
          <rPr>
            <sz val="9"/>
            <color indexed="81"/>
            <rFont val="Tahoma"/>
            <family val="2"/>
          </rPr>
          <t xml:space="preserve">
Comprim.(m)</t>
        </r>
      </text>
    </comment>
  </commentList>
</comments>
</file>

<file path=xl/sharedStrings.xml><?xml version="1.0" encoding="utf-8"?>
<sst xmlns="http://schemas.openxmlformats.org/spreadsheetml/2006/main" count="1112" uniqueCount="443">
  <si>
    <t>ha</t>
  </si>
  <si>
    <t>m</t>
  </si>
  <si>
    <t>R$</t>
  </si>
  <si>
    <t>Setor 1</t>
  </si>
  <si>
    <t>Setor 2</t>
  </si>
  <si>
    <t>Setor 3</t>
  </si>
  <si>
    <t>Setor 4</t>
  </si>
  <si>
    <t>Setor 5</t>
  </si>
  <si>
    <t>Setor 6</t>
  </si>
  <si>
    <t>Setor 7</t>
  </si>
  <si>
    <t>Setor 8</t>
  </si>
  <si>
    <t>Setor 9</t>
  </si>
  <si>
    <t>Setor 10</t>
  </si>
  <si>
    <t>Setor 11</t>
  </si>
  <si>
    <t>Setor 12</t>
  </si>
  <si>
    <t>Superfície Agrícola Global (SAG)</t>
  </si>
  <si>
    <t>Drenagem dos setores</t>
  </si>
  <si>
    <t>Drenos</t>
  </si>
  <si>
    <t>Bueiros</t>
  </si>
  <si>
    <t>Quedas</t>
  </si>
  <si>
    <t xml:space="preserve">Comprim. </t>
  </si>
  <si>
    <t>Obras civis</t>
  </si>
  <si>
    <t>Montagem mecân</t>
  </si>
  <si>
    <t>Fornec mecân.</t>
  </si>
  <si>
    <t>Fornec elétric</t>
  </si>
  <si>
    <t>Montagem elétrica</t>
  </si>
  <si>
    <t>Ancoragem</t>
  </si>
  <si>
    <t>Estradas dos setores</t>
  </si>
  <si>
    <t>Comprim. tubos</t>
  </si>
  <si>
    <t>Fornecimento mecân.</t>
  </si>
  <si>
    <t>Obras civis / assent.</t>
  </si>
  <si>
    <t>Caixas de proteção</t>
  </si>
  <si>
    <t>Estradas dos canais</t>
  </si>
  <si>
    <t>Quant</t>
  </si>
  <si>
    <t>CP-3 Norte</t>
  </si>
  <si>
    <t>Casa de Comando - Comportas</t>
  </si>
  <si>
    <t>Tomada gravitária</t>
  </si>
  <si>
    <t>Montagem mecân.</t>
  </si>
  <si>
    <t>Obras de arte</t>
  </si>
  <si>
    <t>CP-2 Sul</t>
  </si>
  <si>
    <t xml:space="preserve">CP-3 Sul </t>
  </si>
  <si>
    <t>Drenagem dos canais</t>
  </si>
  <si>
    <t>Sifões invertidos no CP-2 Norte</t>
  </si>
  <si>
    <t>Canal CP-3 Norte (8,37 m³/s)</t>
  </si>
  <si>
    <t>Canal CS2/CP3 Norte (2,24 m³/s)</t>
  </si>
  <si>
    <t>Canal CP-3 Sul (3,95 m³/s)</t>
  </si>
  <si>
    <t>Canal CP-2 Sul (~5,60 m³/s)</t>
  </si>
  <si>
    <t>Unid.</t>
  </si>
  <si>
    <t>Custo</t>
  </si>
  <si>
    <t>Pequeno prod</t>
  </si>
  <si>
    <t>R$/ha</t>
  </si>
  <si>
    <t>Empresa</t>
  </si>
  <si>
    <t>Outros ...</t>
  </si>
  <si>
    <t>CS-2/CP-3 Norte</t>
  </si>
  <si>
    <t>R$/m/(m³/s)</t>
  </si>
  <si>
    <t>,,,,,,.</t>
  </si>
  <si>
    <t>Obras civis (conclusão)</t>
  </si>
  <si>
    <t>TOTAL &gt;&gt;&gt;&gt;</t>
  </si>
  <si>
    <t>Adutora EBS-Sul</t>
  </si>
  <si>
    <t>DN1000+DN1400</t>
  </si>
  <si>
    <t>Fornec mecân. adutora</t>
  </si>
  <si>
    <t>Fornec mecân. Chaminé</t>
  </si>
  <si>
    <t>2 x DN1100 1/4"</t>
  </si>
  <si>
    <t xml:space="preserve">2 x 26 m³ </t>
  </si>
  <si>
    <t>3.250 m</t>
  </si>
  <si>
    <t>2 x DN1500 3/8"</t>
  </si>
  <si>
    <t>Fornec tubos p/ Sifão 1</t>
  </si>
  <si>
    <t>Fornec tubos p/ Sifão 2</t>
  </si>
  <si>
    <t>Fornec tubos p/ Sifão 3</t>
  </si>
  <si>
    <t>440,1m</t>
  </si>
  <si>
    <t>2 x 1400</t>
  </si>
  <si>
    <t>400 m</t>
  </si>
  <si>
    <t>1 x 1100</t>
  </si>
  <si>
    <t>1 x 1000</t>
  </si>
  <si>
    <t>R$/ha &gt;&gt;&gt;</t>
  </si>
  <si>
    <t>Equip acessórios (5%)</t>
  </si>
  <si>
    <t>Montagem mecân (10%)</t>
  </si>
  <si>
    <t xml:space="preserve">Adutora EBP-Sul </t>
  </si>
  <si>
    <t>Obras civis (10%)</t>
  </si>
  <si>
    <t>Adutora EBP-Norte</t>
  </si>
  <si>
    <t>-</t>
  </si>
  <si>
    <t>EBP-Sul (9,05 m³/s)</t>
  </si>
  <si>
    <t>EBS-Sul (3,95 m³/s)</t>
  </si>
  <si>
    <t>EBA-9 (0,836 m³/s)</t>
  </si>
  <si>
    <t>EBP-Norte (8,37 m³/s)</t>
  </si>
  <si>
    <t>Fornec tanques hidrop.</t>
  </si>
  <si>
    <t>Data / Ano</t>
  </si>
  <si>
    <t>Fornec Equip Mecân</t>
  </si>
  <si>
    <t>Fornec Equip Mecân/Eletric</t>
  </si>
  <si>
    <t>Montagem mecân/eletr</t>
  </si>
  <si>
    <t>Superfície Agrícola Útil (SAU) Total</t>
  </si>
  <si>
    <t>Guadal_AsB</t>
  </si>
  <si>
    <t>Comprimento</t>
  </si>
  <si>
    <t>Implantação</t>
  </si>
  <si>
    <t>R$/m</t>
  </si>
  <si>
    <t>Equipamentos eletromec.</t>
  </si>
  <si>
    <t>Montagem mecân. (7,5%)</t>
  </si>
  <si>
    <t>Montagem mecân.(7,5%)</t>
  </si>
  <si>
    <t>unid.</t>
  </si>
  <si>
    <t>Cotação</t>
  </si>
  <si>
    <t>Reserv. Pulmão EBP-Sul  (9,05 m³/s)</t>
  </si>
  <si>
    <t>Montagem mecân/eletr.(30%)</t>
  </si>
  <si>
    <t>Equip. "on farm" p/ empresas</t>
  </si>
  <si>
    <t>Equip. "on farm" p/ pequeno produt.</t>
  </si>
  <si>
    <t>Linhas distrib. e equip fixos</t>
  </si>
  <si>
    <t>Equip. de aplicação da água</t>
  </si>
  <si>
    <t xml:space="preserve">Assentamento e montagem </t>
  </si>
  <si>
    <t>PLANILHA ORÇAMENTÁRIA - RESUMO</t>
  </si>
  <si>
    <t>DATA BASE: JUNHO/2023</t>
  </si>
  <si>
    <t>Vida útil (anos)</t>
  </si>
  <si>
    <t>"ON-FARM"</t>
  </si>
  <si>
    <t>Ramais móveis e emissores</t>
  </si>
  <si>
    <t>EBPs, EBS e EBAs</t>
  </si>
  <si>
    <t>Equip dos canais (fornec e montagem)</t>
  </si>
  <si>
    <t>Equip dos sifões invert. (fornec e montagem)</t>
  </si>
  <si>
    <t>Equip das tomadas de água nos canais</t>
  </si>
  <si>
    <t xml:space="preserve">Redes elétricas (fornec e montagem) </t>
  </si>
  <si>
    <t>Subestações</t>
  </si>
  <si>
    <t>OBRAS CIVIS</t>
  </si>
  <si>
    <t xml:space="preserve">Adutoras das EBPs e EBS </t>
  </si>
  <si>
    <t>Canais de distribuição (e obras auxiliares)</t>
  </si>
  <si>
    <t>Sifões invertidos</t>
  </si>
  <si>
    <t>Tomadas de água (gravitacionais e empresariais)</t>
  </si>
  <si>
    <t>Redes pressurizadas e gravitacionais</t>
  </si>
  <si>
    <t>Sistema "on farm"</t>
  </si>
  <si>
    <t>Canais de aproximação</t>
  </si>
  <si>
    <t>Sistema de drenagem (viária e agrícola)</t>
  </si>
  <si>
    <t>Sistema viário (canais e setores)</t>
  </si>
  <si>
    <t>Subestações e redes elétricas</t>
  </si>
  <si>
    <t>DIVERSOS</t>
  </si>
  <si>
    <t>Consultoria (projeto e supervisão de obras)</t>
  </si>
  <si>
    <t>TOTAL GERAL DAS OBRAS</t>
  </si>
  <si>
    <t>Rede de distribuição e cavaletes (fornec.)</t>
  </si>
  <si>
    <t>Serviços de recuperação/finalização de obras e equipamentos</t>
  </si>
  <si>
    <t>Grupos motobombase equip. mecânicos (fornec.)</t>
  </si>
  <si>
    <t>Equipamentos elétricos / automação (fornec.)</t>
  </si>
  <si>
    <t>Equipamentos mecânicos  e elétricos (montagem)</t>
  </si>
  <si>
    <t>Reservatório pulmão</t>
  </si>
  <si>
    <t>Assentam. e montagem dos tubos da rede e cavaletes</t>
  </si>
  <si>
    <t>Equip das adutoras + reserv. pulmão (fornec e montagem)</t>
  </si>
  <si>
    <t>Coluna</t>
  </si>
  <si>
    <t>Fator</t>
  </si>
  <si>
    <t>IGP - DI</t>
  </si>
  <si>
    <t>DRENAGEM</t>
  </si>
  <si>
    <t>&lt;&lt;&lt;Serviços de recup e finaliz.</t>
  </si>
  <si>
    <t>Exec.=25%</t>
  </si>
  <si>
    <t>7800 kg/m³</t>
  </si>
  <si>
    <t>20,82 R$/kg</t>
  </si>
  <si>
    <t>DN2300 #3/4"</t>
  </si>
  <si>
    <t>Obras civis e movim de terra (15% de Equip.)</t>
  </si>
  <si>
    <t>Subestações   EBP-Sul, EBS-Sul, EBA9-Sul, SE-Norte, EBP-Norte(69/13,8/4,16kV)</t>
  </si>
  <si>
    <t>Infraestr. de Suprim. de Energia Elétrica</t>
  </si>
  <si>
    <t>Linhas de Transmissão (69kV - 38 km)</t>
  </si>
  <si>
    <t>m (total do proj.)</t>
  </si>
  <si>
    <t>Índices de reajuste</t>
  </si>
  <si>
    <t>Rede de Distribuição 13,8 kV (59 km)</t>
  </si>
  <si>
    <t>&lt;&lt;&lt; R$</t>
  </si>
  <si>
    <t>&lt;&lt;&lt; R$/ha</t>
  </si>
  <si>
    <t>Custos diversos</t>
  </si>
  <si>
    <t xml:space="preserve">Desmatamento das áreas agrícolas (SAU)  </t>
  </si>
  <si>
    <t>Valor da terra</t>
  </si>
  <si>
    <t>Sistema de Instrumentação, Automação e CFTV</t>
  </si>
  <si>
    <t>Dispêndio total (R$)</t>
  </si>
  <si>
    <t>Grupos de obras e equipamentos</t>
  </si>
  <si>
    <t>Obra /Grupo</t>
  </si>
  <si>
    <t>Taxa Manut (%)</t>
  </si>
  <si>
    <t>Fator de redução (%)</t>
  </si>
  <si>
    <t>Taxa Manut Adotada  (%)</t>
  </si>
  <si>
    <t>Dispêndio por agrupamento (R$)</t>
  </si>
  <si>
    <t>Q=4,02 m³/s; L=131m; R$ 359.086,00</t>
  </si>
  <si>
    <t>R$/(m³/s)/m</t>
  </si>
  <si>
    <r>
      <t>EBP-Sul (</t>
    </r>
    <r>
      <rPr>
        <b/>
        <u/>
        <sz val="11"/>
        <color rgb="FFFF0000"/>
        <rFont val="Calibri"/>
        <family val="2"/>
        <scheme val="minor"/>
      </rPr>
      <t>9,50 m³/s e L=1317m</t>
    </r>
    <r>
      <rPr>
        <b/>
        <u/>
        <sz val="11"/>
        <color theme="1"/>
        <rFont val="Calibri"/>
        <family val="2"/>
        <scheme val="minor"/>
      </rPr>
      <t>)</t>
    </r>
  </si>
  <si>
    <t>G. Schreiber (modif.)</t>
  </si>
  <si>
    <t>Valores de manut. (R$/ano)</t>
  </si>
  <si>
    <t>Taxa de manut. (%)</t>
  </si>
  <si>
    <t xml:space="preserve">Equip das redes tubulares (fornec e montagem) </t>
  </si>
  <si>
    <t>Rede de distribuição nos setores (tubos)</t>
  </si>
  <si>
    <t>EBAs 1 a 8 e 10 a 12 (obras novas)</t>
  </si>
  <si>
    <t>Tomadas empresariais</t>
  </si>
  <si>
    <t>gl.</t>
  </si>
  <si>
    <r>
      <t>EBP-Norte (</t>
    </r>
    <r>
      <rPr>
        <b/>
        <u/>
        <sz val="11"/>
        <color rgb="FFFF0000"/>
        <rFont val="Calibri"/>
        <family val="2"/>
        <scheme val="minor"/>
      </rPr>
      <t>8,37 m³/s e L=205m</t>
    </r>
    <r>
      <rPr>
        <b/>
        <u/>
        <sz val="11"/>
        <color theme="1"/>
        <rFont val="Calibri"/>
        <family val="2"/>
        <scheme val="minor"/>
      </rPr>
      <t>)</t>
    </r>
  </si>
  <si>
    <t xml:space="preserve">EQUIP. P/ ADUTORAS, CANAIS, SIFÕES INVERT.  E REDES TUBOS SETORES </t>
  </si>
  <si>
    <t>EQUIP. P/ EBPs, EBS, EBAs; REDES E EQUIP. ELÉTRICOS</t>
  </si>
  <si>
    <t>Custo &gt;&gt;&gt;</t>
  </si>
  <si>
    <t>Serviços recuper. de obras implantadas</t>
  </si>
  <si>
    <t>&lt;&lt; Valor</t>
  </si>
  <si>
    <t>&lt;&lt;&lt; L (m)</t>
  </si>
  <si>
    <t>&lt;&lt;&lt; Recuperação</t>
  </si>
  <si>
    <t>Canais</t>
  </si>
  <si>
    <t>Estradas</t>
  </si>
  <si>
    <t>R$ total &gt;&gt;</t>
  </si>
  <si>
    <t>SAU peq.</t>
  </si>
  <si>
    <t>SAU empres.</t>
  </si>
  <si>
    <t>do custo das obras complement.</t>
  </si>
  <si>
    <t>Valor da terra (SAG)</t>
  </si>
  <si>
    <t>Finalização das obras</t>
  </si>
  <si>
    <t>M. Ambiente (Estudos, Licenças e Exec. PBA)</t>
  </si>
  <si>
    <t>Serviços preliminares</t>
  </si>
  <si>
    <t>Mobilização e desmobilização</t>
  </si>
  <si>
    <t>Administração direta</t>
  </si>
  <si>
    <t>Implantação do canteiro de obras</t>
  </si>
  <si>
    <t>Implantação (parcial) das estradas</t>
  </si>
  <si>
    <t>Implantação (parcial)</t>
  </si>
  <si>
    <t>Orçam_Finaliz_2ªEt. Guadal.</t>
  </si>
  <si>
    <t xml:space="preserve">% de fornec e montagem </t>
  </si>
  <si>
    <t>% do fornec. tubos</t>
  </si>
  <si>
    <t>% custo obras civis</t>
  </si>
  <si>
    <t>&lt;&lt;&lt;&lt;&lt;</t>
  </si>
  <si>
    <t>% custo das linhas e equip.</t>
  </si>
  <si>
    <t>15% custos fornec e montag.</t>
  </si>
  <si>
    <t>Composição da Consultora</t>
  </si>
  <si>
    <t>2,5% custo obras complement.</t>
  </si>
  <si>
    <t>Baixio Irecê (Consultora)</t>
  </si>
  <si>
    <t>Proj.Palmeiras (TO)</t>
  </si>
  <si>
    <t>Proj. M.Alves-2ªEt.</t>
  </si>
  <si>
    <t>Proj. B.Irecê 2ªEt.</t>
  </si>
  <si>
    <t>40 % custo obras civis+equip</t>
  </si>
  <si>
    <t>15 % do custo equip.</t>
  </si>
  <si>
    <t>Novas</t>
  </si>
  <si>
    <t>A recuperar</t>
  </si>
  <si>
    <t>Origem dos dados</t>
  </si>
  <si>
    <t>Discriminação</t>
  </si>
  <si>
    <t xml:space="preserve">&lt;&lt;&lt;&lt; </t>
  </si>
  <si>
    <t>4 bomb+equip.</t>
  </si>
  <si>
    <t>IGP-DI</t>
  </si>
  <si>
    <t>5 bomb+equip</t>
  </si>
  <si>
    <t>6 bomb+equip.</t>
  </si>
  <si>
    <t>4+3+equip.</t>
  </si>
  <si>
    <t>BDI</t>
  </si>
  <si>
    <t>8novas + 14 recup</t>
  </si>
  <si>
    <t>Total</t>
  </si>
  <si>
    <t>Fator atualiz.</t>
  </si>
  <si>
    <t>SERVIÇOS PRELIMINARES</t>
  </si>
  <si>
    <t>Estudos, licenças e programas ambientais</t>
  </si>
  <si>
    <t>Sistema de Instrumentação, Automação e CFTV (CCO, EBP-N, EBP-S, EBS-S, EBA1, EBA2, EBA3, EBA4, EBA5, EBA6, EBA7, EBA8, EBA9, EBA10, EBA11, EBA12, SE-N, SE-S E 3 COMPORTAS)</t>
  </si>
  <si>
    <t>R$/(m³/s)</t>
  </si>
  <si>
    <t>%R$ obras arte</t>
  </si>
  <si>
    <t>%R$ obras civis</t>
  </si>
  <si>
    <t>Redução &gt;&gt;&gt;</t>
  </si>
  <si>
    <t xml:space="preserve">SAU (ha)  </t>
  </si>
  <si>
    <t>OBRAS E SERVIÇOS PARA IMPLANTAÇÃO DA 2ª ETAPA E OBRAS COMUNS (ATÉ HOJE) &gt;&gt;&gt;&gt;&gt;</t>
  </si>
  <si>
    <t>Investimentos (R$)</t>
  </si>
  <si>
    <t>Até ano 2012</t>
  </si>
  <si>
    <t>Para conclusão</t>
  </si>
  <si>
    <t>R$/haSAG</t>
  </si>
  <si>
    <t>Proj. M.Alves-2ªEtapa (2013)</t>
  </si>
  <si>
    <t>Fonte: EBP-Norte do PDG (R$/m³/s)</t>
  </si>
  <si>
    <t>R$/m³/s</t>
  </si>
  <si>
    <t>R$/unid.&gt;&gt;</t>
  </si>
  <si>
    <t>L=314m</t>
  </si>
  <si>
    <t>H=11,15m</t>
  </si>
  <si>
    <t>Guadal_AsB (EBP-Norte)</t>
  </si>
  <si>
    <t>L=840m</t>
  </si>
  <si>
    <t>Qméd.(m³/s)=</t>
  </si>
  <si>
    <t>Obras civis (=500 m do CP-2 Sul</t>
  </si>
  <si>
    <t>Qméd (m³/s)=</t>
  </si>
  <si>
    <t>Obras civis (seções) L=5495,0 m</t>
  </si>
  <si>
    <t>Obras civis (seções) L=5390 m</t>
  </si>
  <si>
    <t>Obras civis (seções) L=7371 m</t>
  </si>
  <si>
    <t>Obras civis (seções) L=11650m</t>
  </si>
  <si>
    <t>"L"x(R$/m)</t>
  </si>
  <si>
    <t>Dados / critérios / memórias</t>
  </si>
  <si>
    <t>Setor 9 (ha SAG)</t>
  </si>
  <si>
    <t>Custos Globais Corrigidos (R$)</t>
  </si>
  <si>
    <t>Custos para conclusão do projeto (R$)</t>
  </si>
  <si>
    <t xml:space="preserve">Montagem mecân </t>
  </si>
  <si>
    <t xml:space="preserve">Montagem elétrica </t>
  </si>
  <si>
    <t>Atualiz. 2023</t>
  </si>
  <si>
    <t>Bombas (2012)</t>
  </si>
  <si>
    <t>Custo c/BDI</t>
  </si>
  <si>
    <t>Equip (2012)</t>
  </si>
  <si>
    <t>Total (2012)</t>
  </si>
  <si>
    <t>ITEM</t>
  </si>
  <si>
    <t>DESCRIÇÃO</t>
  </si>
  <si>
    <t>UNIDADE</t>
  </si>
  <si>
    <t>CUSTO (R$)</t>
  </si>
  <si>
    <t xml:space="preserve">Custos Globais Corrigidos </t>
  </si>
  <si>
    <t>Custos para Finalização de Obras e Recuperação</t>
  </si>
  <si>
    <t xml:space="preserve">EBP-Sul </t>
  </si>
  <si>
    <t>EBP-Norte</t>
  </si>
  <si>
    <t>1.1</t>
  </si>
  <si>
    <t>1.1.1</t>
  </si>
  <si>
    <t>1.2</t>
  </si>
  <si>
    <t>1.2.1</t>
  </si>
  <si>
    <t>1.3</t>
  </si>
  <si>
    <t>2.1</t>
  </si>
  <si>
    <t>2.2</t>
  </si>
  <si>
    <t>2.3</t>
  </si>
  <si>
    <t>2.4</t>
  </si>
  <si>
    <t>2.5</t>
  </si>
  <si>
    <t>2.6</t>
  </si>
  <si>
    <t>3.1</t>
  </si>
  <si>
    <t>7.2</t>
  </si>
  <si>
    <t>3.2</t>
  </si>
  <si>
    <t>3.3</t>
  </si>
  <si>
    <t>3.4</t>
  </si>
  <si>
    <t>3.5</t>
  </si>
  <si>
    <t>3.6</t>
  </si>
  <si>
    <t>4.1</t>
  </si>
  <si>
    <t>9.1</t>
  </si>
  <si>
    <t>4.2</t>
  </si>
  <si>
    <t>4.3</t>
  </si>
  <si>
    <t>4.4</t>
  </si>
  <si>
    <t>4.5</t>
  </si>
  <si>
    <t>4.6</t>
  </si>
  <si>
    <t>EBP-Sul</t>
  </si>
  <si>
    <t xml:space="preserve">EBP-Norte </t>
  </si>
  <si>
    <t xml:space="preserve">EBS-Sul </t>
  </si>
  <si>
    <t xml:space="preserve">EBA-9 </t>
  </si>
  <si>
    <t>5.1</t>
  </si>
  <si>
    <t>9.4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</si>
  <si>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</si>
  <si>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</si>
  <si>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</si>
  <si>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</si>
  <si>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</si>
  <si>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</si>
  <si>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</si>
  <si>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</si>
  <si>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</si>
  <si>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</si>
  <si>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</si>
  <si>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7.1</t>
  </si>
  <si>
    <t>7.3</t>
  </si>
  <si>
    <t>7.4</t>
  </si>
  <si>
    <t>8.1</t>
  </si>
  <si>
    <t>8.2</t>
  </si>
  <si>
    <t>8.3</t>
  </si>
  <si>
    <t>8.4</t>
  </si>
  <si>
    <t>8.5</t>
  </si>
  <si>
    <t>9.2</t>
  </si>
  <si>
    <t>9.3</t>
  </si>
  <si>
    <t>9.5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</si>
  <si>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</si>
  <si>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</si>
  <si>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</si>
  <si>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</si>
  <si>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</si>
  <si>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</si>
  <si>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</si>
  <si>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</si>
  <si>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</si>
  <si>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</si>
  <si>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</si>
  <si>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</si>
  <si>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</si>
  <si>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</si>
  <si>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</si>
  <si>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</si>
  <si>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</si>
  <si>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>13.4</t>
  </si>
  <si>
    <t>13.5</t>
  </si>
  <si>
    <t>14.1</t>
  </si>
  <si>
    <t>14.2</t>
  </si>
  <si>
    <t>14.3</t>
  </si>
  <si>
    <t>14.4</t>
  </si>
  <si>
    <t>14.5</t>
  </si>
  <si>
    <t xml:space="preserve">Canal CS2/CP3 Norte </t>
  </si>
  <si>
    <t xml:space="preserve">Canal CP-3 Sul </t>
  </si>
  <si>
    <t xml:space="preserve">Canal CP-2 Sul </t>
  </si>
  <si>
    <t xml:space="preserve">Reserv. Pulmão EBP-Sul  </t>
  </si>
  <si>
    <t xml:space="preserve">Obras civis </t>
  </si>
  <si>
    <t xml:space="preserve">Equip acessórios </t>
  </si>
  <si>
    <t>Montagem mecân/eletr.</t>
  </si>
  <si>
    <t xml:space="preserve">Obras civis (seções) </t>
  </si>
  <si>
    <t xml:space="preserve">Montagem mecân. </t>
  </si>
  <si>
    <t xml:space="preserve">Canal CP-3 Norte </t>
  </si>
  <si>
    <t>Obras civis (seções)</t>
  </si>
  <si>
    <t>15.1</t>
  </si>
  <si>
    <t>15.2</t>
  </si>
  <si>
    <t>15.3</t>
  </si>
  <si>
    <t>15.4</t>
  </si>
  <si>
    <t>15.5</t>
  </si>
  <si>
    <t>16.1</t>
  </si>
  <si>
    <t>16.2</t>
  </si>
  <si>
    <t>16.3</t>
  </si>
  <si>
    <t>16.5</t>
  </si>
  <si>
    <t>16.4</t>
  </si>
  <si>
    <t>16.6</t>
  </si>
  <si>
    <t>16.7</t>
  </si>
  <si>
    <t xml:space="preserve">Obras civis e movim de terra </t>
  </si>
  <si>
    <t>17.1</t>
  </si>
  <si>
    <t>17.2</t>
  </si>
  <si>
    <t>17.3</t>
  </si>
  <si>
    <t>18.1</t>
  </si>
  <si>
    <t>18.2</t>
  </si>
  <si>
    <t>18.3</t>
  </si>
  <si>
    <t>18.4</t>
  </si>
  <si>
    <t>19.1</t>
  </si>
  <si>
    <t>19.2</t>
  </si>
  <si>
    <t>19.3</t>
  </si>
  <si>
    <t>19.4</t>
  </si>
  <si>
    <t>19.5</t>
  </si>
  <si>
    <t>19.6</t>
  </si>
  <si>
    <t>20.1</t>
  </si>
  <si>
    <t>20.2</t>
  </si>
  <si>
    <t>20.3</t>
  </si>
  <si>
    <t>20.4</t>
  </si>
  <si>
    <t>20.5</t>
  </si>
  <si>
    <t>20.6</t>
  </si>
  <si>
    <t>21.1</t>
  </si>
  <si>
    <t>21.2</t>
  </si>
  <si>
    <t>21.3</t>
  </si>
  <si>
    <t>21.4</t>
  </si>
  <si>
    <t>21.5</t>
  </si>
  <si>
    <t>21.6</t>
  </si>
  <si>
    <t>22.1</t>
  </si>
  <si>
    <t>22.2</t>
  </si>
  <si>
    <t>22.3</t>
  </si>
  <si>
    <t>23.1</t>
  </si>
  <si>
    <t>23.2</t>
  </si>
  <si>
    <t>23.3</t>
  </si>
  <si>
    <t>23.4</t>
  </si>
  <si>
    <t>23.5</t>
  </si>
  <si>
    <t>24.1</t>
  </si>
  <si>
    <t>24.2</t>
  </si>
  <si>
    <t>24.3</t>
  </si>
  <si>
    <t>25.1</t>
  </si>
  <si>
    <t>25.2</t>
  </si>
  <si>
    <t>25.3</t>
  </si>
  <si>
    <t>26.1</t>
  </si>
  <si>
    <t>26.2</t>
  </si>
  <si>
    <t>26.3</t>
  </si>
  <si>
    <t>26.4</t>
  </si>
  <si>
    <t>26.5</t>
  </si>
  <si>
    <t>27.1</t>
  </si>
  <si>
    <t>27.2</t>
  </si>
  <si>
    <t>27.3</t>
  </si>
  <si>
    <t>27.4</t>
  </si>
  <si>
    <t>28.1</t>
  </si>
  <si>
    <t>28.2</t>
  </si>
  <si>
    <t>28.3</t>
  </si>
  <si>
    <t>TOTAIS</t>
  </si>
  <si>
    <t xml:space="preserve">R$/HA </t>
  </si>
  <si>
    <t>SERVIÇOS DE RECUPERAÇÃO DE OBRAS EXISTENTES</t>
  </si>
  <si>
    <t>90% concl.</t>
  </si>
  <si>
    <t>85% concl.</t>
  </si>
  <si>
    <t>Equip. "on farm" p/ parcelas c/ captação nos canais</t>
  </si>
  <si>
    <t>SAU das parcelas c/ tomada/canal</t>
  </si>
  <si>
    <t>SAU das parcelas abastec por adutora</t>
  </si>
  <si>
    <t>Equip. "on farm" p/ parcelas em adutoras/EBAs</t>
  </si>
  <si>
    <t>Item</t>
  </si>
  <si>
    <t>(Origem: Canais CPC-01 e CSC-01)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</si>
</sst>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.0"/>
    <numFmt numFmtId="165" formatCode="0.0000"/>
    <numFmt numFmtId="166" formatCode="#,##0.000"/>
    <numFmt numFmtId="167" formatCode="#,##0.0000"/>
    <numFmt numFmtId="168" formatCode="0.0%"/>
    <numFmt numFmtId="169" formatCode="_-* #,##0.000_-;\-* #,##0.000_-;_-* &quot;-&quot;??_-;_-@_-"/>
    <numFmt numFmtId="170" formatCode="_(* #,##0.00_);_(* \(#,##0.00\);_(* &quot;-&quot;??_);_(@_)"/>
    <numFmt numFmtId="171" formatCode="_(* #,##0_);_(* \(#,##0\);_(* &quot;-&quot;??_);_(@_)"/>
    <numFmt numFmtId="172" formatCode="_-* #,##0.00_-;\-* #,##0.00_-;_-* &quot;-&quot;???_-;_-@_-"/>
    <numFmt numFmtId="173" formatCode="_-* #,##0.0_-;\-* #,##0.0_-;_-* &quot;-&quot;??_-;_-@_-"/>
    <numFmt numFmtId="174" formatCode="#,##0.00_ ;\-#,##0.00\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32" fillId="0" borderId="0"/>
  </cellStyleXfs>
  <cellXfs count="538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10" xfId="0" applyBorder="1"/>
    <xf numFmtId="4" fontId="0" fillId="0" borderId="0" xfId="0" applyNumberFormat="1"/>
    <xf numFmtId="4" fontId="0" fillId="0" borderId="2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0" borderId="0" xfId="0" applyNumberFormat="1" applyFont="1"/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4" borderId="0" xfId="0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5" xfId="0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164" fontId="0" fillId="0" borderId="0" xfId="0" applyNumberFormat="1"/>
    <xf numFmtId="2" fontId="0" fillId="0" borderId="2" xfId="0" applyNumberFormat="1" applyBorder="1"/>
    <xf numFmtId="0" fontId="0" fillId="0" borderId="10" xfId="0" applyBorder="1" applyAlignment="1">
      <alignment horizontal="center" vertical="center"/>
    </xf>
    <xf numFmtId="2" fontId="0" fillId="0" borderId="0" xfId="0" applyNumberFormat="1"/>
    <xf numFmtId="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0" fillId="0" borderId="12" xfId="0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4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4" borderId="11" xfId="0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4" fontId="0" fillId="4" borderId="0" xfId="0" applyNumberFormat="1" applyFill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2" fillId="0" borderId="0" xfId="0" applyFont="1"/>
    <xf numFmtId="2" fontId="0" fillId="4" borderId="3" xfId="0" applyNumberFormat="1" applyFill="1" applyBorder="1"/>
    <xf numFmtId="0" fontId="0" fillId="0" borderId="0" xfId="0" applyAlignment="1">
      <alignment horizontal="left"/>
    </xf>
    <xf numFmtId="43" fontId="10" fillId="0" borderId="0" xfId="1" applyFont="1"/>
    <xf numFmtId="164" fontId="1" fillId="0" borderId="8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3" fontId="0" fillId="4" borderId="1" xfId="0" applyNumberFormat="1" applyFill="1" applyBorder="1"/>
    <xf numFmtId="9" fontId="0" fillId="0" borderId="0" xfId="2" applyFont="1" applyBorder="1"/>
    <xf numFmtId="9" fontId="0" fillId="0" borderId="0" xfId="2" quotePrefix="1" applyFont="1" applyBorder="1"/>
    <xf numFmtId="164" fontId="1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2" fillId="4" borderId="0" xfId="0" applyFont="1" applyFill="1" applyAlignment="1">
      <alignment horizontal="left"/>
    </xf>
    <xf numFmtId="16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69" fontId="2" fillId="0" borderId="0" xfId="0" applyNumberFormat="1" applyFont="1" applyAlignment="1">
      <alignment horizontal="right"/>
    </xf>
    <xf numFmtId="169" fontId="2" fillId="0" borderId="0" xfId="1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43" fontId="10" fillId="0" borderId="0" xfId="1" applyFont="1" applyBorder="1"/>
    <xf numFmtId="10" fontId="0" fillId="0" borderId="0" xfId="2" applyNumberFormat="1" applyFont="1" applyBorder="1"/>
    <xf numFmtId="4" fontId="0" fillId="0" borderId="0" xfId="0" quotePrefix="1" applyNumberFormat="1" applyAlignment="1">
      <alignment horizontal="right" vertical="center"/>
    </xf>
    <xf numFmtId="0" fontId="5" fillId="0" borderId="0" xfId="0" applyFont="1"/>
    <xf numFmtId="4" fontId="5" fillId="0" borderId="0" xfId="0" applyNumberFormat="1" applyFont="1" applyAlignment="1">
      <alignment horizontal="right" vertical="center"/>
    </xf>
    <xf numFmtId="0" fontId="2" fillId="9" borderId="5" xfId="0" applyFont="1" applyFill="1" applyBorder="1"/>
    <xf numFmtId="0" fontId="2" fillId="9" borderId="5" xfId="0" applyFont="1" applyFill="1" applyBorder="1" applyAlignment="1">
      <alignment horizontal="right"/>
    </xf>
    <xf numFmtId="9" fontId="2" fillId="0" borderId="0" xfId="2" applyFont="1" applyBorder="1" applyAlignment="1">
      <alignment horizontal="right"/>
    </xf>
    <xf numFmtId="2" fontId="2" fillId="0" borderId="0" xfId="0" applyNumberFormat="1" applyFont="1"/>
    <xf numFmtId="9" fontId="0" fillId="0" borderId="0" xfId="2" applyFont="1" applyBorder="1" applyAlignment="1">
      <alignment horizontal="center"/>
    </xf>
    <xf numFmtId="0" fontId="5" fillId="0" borderId="1" xfId="0" applyFont="1" applyBorder="1"/>
    <xf numFmtId="9" fontId="0" fillId="0" borderId="1" xfId="2" applyFont="1" applyBorder="1" applyAlignment="1">
      <alignment horizontal="center"/>
    </xf>
    <xf numFmtId="0" fontId="0" fillId="0" borderId="0" xfId="0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3" fontId="16" fillId="0" borderId="0" xfId="1" applyFont="1" applyFill="1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left"/>
    </xf>
    <xf numFmtId="168" fontId="0" fillId="8" borderId="1" xfId="2" applyNumberFormat="1" applyFont="1" applyFill="1" applyBorder="1" applyAlignment="1">
      <alignment horizontal="center"/>
    </xf>
    <xf numFmtId="169" fontId="2" fillId="0" borderId="0" xfId="1" quotePrefix="1" applyNumberFormat="1" applyFont="1" applyFill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11" xfId="0" applyBorder="1"/>
    <xf numFmtId="164" fontId="1" fillId="0" borderId="9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0" fillId="8" borderId="1" xfId="0" applyFill="1" applyBorder="1"/>
    <xf numFmtId="0" fontId="5" fillId="8" borderId="1" xfId="0" applyFont="1" applyFill="1" applyBorder="1"/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8" fontId="0" fillId="5" borderId="0" xfId="2" quotePrefix="1" applyNumberFormat="1" applyFont="1" applyFill="1" applyBorder="1" applyAlignment="1">
      <alignment horizontal="right" vertical="center"/>
    </xf>
    <xf numFmtId="0" fontId="19" fillId="0" borderId="0" xfId="0" applyFont="1"/>
    <xf numFmtId="4" fontId="2" fillId="0" borderId="1" xfId="0" applyNumberFormat="1" applyFont="1" applyBorder="1"/>
    <xf numFmtId="4" fontId="0" fillId="0" borderId="3" xfId="0" applyNumberFormat="1" applyBorder="1"/>
    <xf numFmtId="2" fontId="0" fillId="0" borderId="3" xfId="0" applyNumberFormat="1" applyBorder="1"/>
    <xf numFmtId="164" fontId="0" fillId="0" borderId="1" xfId="0" applyNumberFormat="1" applyBorder="1"/>
    <xf numFmtId="16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3" fontId="0" fillId="4" borderId="0" xfId="0" applyNumberFormat="1" applyFill="1" applyAlignment="1">
      <alignment horizontal="right" vertical="center"/>
    </xf>
    <xf numFmtId="4" fontId="0" fillId="4" borderId="0" xfId="0" applyNumberFormat="1" applyFill="1"/>
    <xf numFmtId="4" fontId="0" fillId="2" borderId="0" xfId="0" applyNumberFormat="1" applyFill="1"/>
    <xf numFmtId="4" fontId="2" fillId="2" borderId="0" xfId="0" applyNumberFormat="1" applyFont="1" applyFill="1"/>
    <xf numFmtId="4" fontId="0" fillId="2" borderId="2" xfId="0" applyNumberFormat="1" applyFill="1" applyBorder="1"/>
    <xf numFmtId="168" fontId="0" fillId="5" borderId="0" xfId="2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4" fontId="11" fillId="0" borderId="0" xfId="0" quotePrefix="1" applyNumberFormat="1" applyFont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right" vertical="center"/>
    </xf>
    <xf numFmtId="0" fontId="0" fillId="0" borderId="0" xfId="0" quotePrefix="1"/>
    <xf numFmtId="0" fontId="20" fillId="0" borderId="0" xfId="0" applyFont="1"/>
    <xf numFmtId="43" fontId="0" fillId="0" borderId="0" xfId="1" applyFont="1" applyBorder="1" applyAlignment="1">
      <alignment horizontal="center"/>
    </xf>
    <xf numFmtId="4" fontId="0" fillId="0" borderId="1" xfId="0" quotePrefix="1" applyNumberFormat="1" applyBorder="1" applyAlignment="1">
      <alignment horizontal="right" vertical="center"/>
    </xf>
    <xf numFmtId="166" fontId="2" fillId="0" borderId="0" xfId="0" applyNumberFormat="1" applyFont="1" applyAlignment="1">
      <alignment horizontal="right" vertical="top"/>
    </xf>
    <xf numFmtId="43" fontId="0" fillId="0" borderId="0" xfId="1" applyFont="1"/>
    <xf numFmtId="170" fontId="21" fillId="10" borderId="12" xfId="0" applyNumberFormat="1" applyFont="1" applyFill="1" applyBorder="1"/>
    <xf numFmtId="0" fontId="16" fillId="11" borderId="23" xfId="0" applyFont="1" applyFill="1" applyBorder="1" applyAlignment="1">
      <alignment vertical="center"/>
    </xf>
    <xf numFmtId="10" fontId="21" fillId="11" borderId="24" xfId="1" applyNumberFormat="1" applyFont="1" applyFill="1" applyBorder="1" applyAlignment="1">
      <alignment horizontal="center" vertical="center"/>
    </xf>
    <xf numFmtId="43" fontId="21" fillId="11" borderId="25" xfId="1" applyFont="1" applyFill="1" applyBorder="1" applyAlignment="1">
      <alignment horizontal="right" vertical="center"/>
    </xf>
    <xf numFmtId="0" fontId="16" fillId="11" borderId="16" xfId="0" applyFont="1" applyFill="1" applyBorder="1" applyAlignment="1">
      <alignment vertical="center"/>
    </xf>
    <xf numFmtId="43" fontId="21" fillId="11" borderId="18" xfId="1" applyFont="1" applyFill="1" applyBorder="1" applyAlignment="1">
      <alignment vertical="center"/>
    </xf>
    <xf numFmtId="10" fontId="21" fillId="11" borderId="18" xfId="1" applyNumberFormat="1" applyFont="1" applyFill="1" applyBorder="1" applyAlignment="1">
      <alignment horizontal="center" vertical="center"/>
    </xf>
    <xf numFmtId="43" fontId="21" fillId="11" borderId="19" xfId="1" applyFont="1" applyFill="1" applyBorder="1" applyAlignment="1">
      <alignment horizontal="right" vertical="center"/>
    </xf>
    <xf numFmtId="10" fontId="22" fillId="11" borderId="26" xfId="1" applyNumberFormat="1" applyFont="1" applyFill="1" applyBorder="1" applyAlignment="1">
      <alignment horizontal="center" vertical="center"/>
    </xf>
    <xf numFmtId="43" fontId="22" fillId="11" borderId="27" xfId="1" applyFont="1" applyFill="1" applyBorder="1" applyAlignment="1">
      <alignment horizontal="right" vertical="center"/>
    </xf>
    <xf numFmtId="0" fontId="16" fillId="12" borderId="29" xfId="0" applyFont="1" applyFill="1" applyBorder="1" applyAlignment="1">
      <alignment vertical="center"/>
    </xf>
    <xf numFmtId="10" fontId="21" fillId="12" borderId="24" xfId="1" applyNumberFormat="1" applyFont="1" applyFill="1" applyBorder="1" applyAlignment="1">
      <alignment horizontal="center" vertical="center"/>
    </xf>
    <xf numFmtId="43" fontId="21" fillId="12" borderId="25" xfId="1" applyFont="1" applyFill="1" applyBorder="1" applyAlignment="1">
      <alignment horizontal="right" vertical="center"/>
    </xf>
    <xf numFmtId="0" fontId="16" fillId="12" borderId="17" xfId="0" applyFont="1" applyFill="1" applyBorder="1" applyAlignment="1">
      <alignment vertical="center"/>
    </xf>
    <xf numFmtId="43" fontId="21" fillId="12" borderId="18" xfId="1" applyFont="1" applyFill="1" applyBorder="1" applyAlignment="1">
      <alignment vertical="center"/>
    </xf>
    <xf numFmtId="10" fontId="21" fillId="12" borderId="18" xfId="1" applyNumberFormat="1" applyFont="1" applyFill="1" applyBorder="1" applyAlignment="1">
      <alignment horizontal="center" vertical="center"/>
    </xf>
    <xf numFmtId="43" fontId="21" fillId="12" borderId="19" xfId="1" applyFont="1" applyFill="1" applyBorder="1" applyAlignment="1">
      <alignment horizontal="right" vertical="center"/>
    </xf>
    <xf numFmtId="0" fontId="18" fillId="12" borderId="32" xfId="0" applyFont="1" applyFill="1" applyBorder="1" applyAlignment="1">
      <alignment vertical="center"/>
    </xf>
    <xf numFmtId="10" fontId="22" fillId="12" borderId="40" xfId="1" applyNumberFormat="1" applyFont="1" applyFill="1" applyBorder="1" applyAlignment="1">
      <alignment horizontal="center" vertical="center"/>
    </xf>
    <xf numFmtId="43" fontId="22" fillId="12" borderId="41" xfId="1" applyFont="1" applyFill="1" applyBorder="1" applyAlignment="1">
      <alignment horizontal="right" vertical="center"/>
    </xf>
    <xf numFmtId="0" fontId="16" fillId="6" borderId="23" xfId="0" applyFont="1" applyFill="1" applyBorder="1" applyAlignment="1">
      <alignment vertical="center"/>
    </xf>
    <xf numFmtId="10" fontId="21" fillId="6" borderId="24" xfId="1" applyNumberFormat="1" applyFont="1" applyFill="1" applyBorder="1" applyAlignment="1">
      <alignment horizontal="center" vertical="center"/>
    </xf>
    <xf numFmtId="43" fontId="21" fillId="6" borderId="25" xfId="1" applyFont="1" applyFill="1" applyBorder="1" applyAlignment="1">
      <alignment horizontal="right" vertical="center"/>
    </xf>
    <xf numFmtId="0" fontId="16" fillId="6" borderId="16" xfId="0" applyFont="1" applyFill="1" applyBorder="1" applyAlignment="1">
      <alignment vertical="center"/>
    </xf>
    <xf numFmtId="10" fontId="21" fillId="6" borderId="18" xfId="1" applyNumberFormat="1" applyFont="1" applyFill="1" applyBorder="1" applyAlignment="1">
      <alignment horizontal="center" vertical="center"/>
    </xf>
    <xf numFmtId="43" fontId="21" fillId="6" borderId="19" xfId="1" applyFont="1" applyFill="1" applyBorder="1" applyAlignment="1">
      <alignment horizontal="right" vertical="center"/>
    </xf>
    <xf numFmtId="0" fontId="16" fillId="6" borderId="38" xfId="0" applyFont="1" applyFill="1" applyBorder="1" applyAlignment="1">
      <alignment vertical="center"/>
    </xf>
    <xf numFmtId="0" fontId="18" fillId="6" borderId="39" xfId="0" applyFont="1" applyFill="1" applyBorder="1" applyAlignment="1">
      <alignment vertical="center"/>
    </xf>
    <xf numFmtId="10" fontId="22" fillId="6" borderId="26" xfId="1" applyNumberFormat="1" applyFont="1" applyFill="1" applyBorder="1" applyAlignment="1">
      <alignment horizontal="center" vertical="center"/>
    </xf>
    <xf numFmtId="43" fontId="22" fillId="6" borderId="27" xfId="1" applyFont="1" applyFill="1" applyBorder="1" applyAlignment="1">
      <alignment horizontal="right" vertical="center"/>
    </xf>
    <xf numFmtId="43" fontId="21" fillId="11" borderId="29" xfId="1" applyFont="1" applyFill="1" applyBorder="1" applyAlignment="1">
      <alignment vertical="center"/>
    </xf>
    <xf numFmtId="0" fontId="16" fillId="11" borderId="33" xfId="0" applyFont="1" applyFill="1" applyBorder="1" applyAlignment="1">
      <alignment vertical="center"/>
    </xf>
    <xf numFmtId="43" fontId="21" fillId="11" borderId="34" xfId="1" applyFont="1" applyFill="1" applyBorder="1" applyAlignment="1">
      <alignment vertical="center"/>
    </xf>
    <xf numFmtId="43" fontId="21" fillId="11" borderId="18" xfId="1" applyFont="1" applyFill="1" applyBorder="1" applyAlignment="1">
      <alignment horizontal="right" vertical="center"/>
    </xf>
    <xf numFmtId="0" fontId="16" fillId="12" borderId="20" xfId="0" applyFont="1" applyFill="1" applyBorder="1" applyAlignment="1">
      <alignment vertical="center"/>
    </xf>
    <xf numFmtId="43" fontId="21" fillId="12" borderId="21" xfId="1" applyFont="1" applyFill="1" applyBorder="1" applyAlignment="1">
      <alignment vertical="center"/>
    </xf>
    <xf numFmtId="10" fontId="21" fillId="12" borderId="21" xfId="1" applyNumberFormat="1" applyFont="1" applyFill="1" applyBorder="1" applyAlignment="1">
      <alignment horizontal="center" vertical="center"/>
    </xf>
    <xf numFmtId="43" fontId="21" fillId="12" borderId="22" xfId="1" applyFont="1" applyFill="1" applyBorder="1" applyAlignment="1">
      <alignment horizontal="right" vertical="center"/>
    </xf>
    <xf numFmtId="0" fontId="16" fillId="10" borderId="23" xfId="0" applyFont="1" applyFill="1" applyBorder="1" applyAlignment="1">
      <alignment vertical="center"/>
    </xf>
    <xf numFmtId="40" fontId="21" fillId="10" borderId="8" xfId="0" applyNumberFormat="1" applyFont="1" applyFill="1" applyBorder="1" applyAlignment="1">
      <alignment vertical="center"/>
    </xf>
    <xf numFmtId="10" fontId="21" fillId="10" borderId="24" xfId="1" applyNumberFormat="1" applyFont="1" applyFill="1" applyBorder="1" applyAlignment="1">
      <alignment horizontal="center" vertical="center"/>
    </xf>
    <xf numFmtId="43" fontId="21" fillId="10" borderId="25" xfId="1" applyFont="1" applyFill="1" applyBorder="1" applyAlignment="1">
      <alignment vertical="center"/>
    </xf>
    <xf numFmtId="0" fontId="18" fillId="12" borderId="42" xfId="0" applyFont="1" applyFill="1" applyBorder="1" applyAlignment="1">
      <alignment vertical="center"/>
    </xf>
    <xf numFmtId="43" fontId="22" fillId="12" borderId="26" xfId="1" applyFont="1" applyFill="1" applyBorder="1" applyAlignment="1">
      <alignment vertical="center"/>
    </xf>
    <xf numFmtId="10" fontId="22" fillId="12" borderId="26" xfId="1" applyNumberFormat="1" applyFont="1" applyFill="1" applyBorder="1" applyAlignment="1">
      <alignment horizontal="center" vertical="center"/>
    </xf>
    <xf numFmtId="43" fontId="22" fillId="12" borderId="27" xfId="1" applyFont="1" applyFill="1" applyBorder="1" applyAlignment="1">
      <alignment horizontal="right" vertical="center"/>
    </xf>
    <xf numFmtId="4" fontId="15" fillId="13" borderId="36" xfId="0" applyNumberFormat="1" applyFont="1" applyFill="1" applyBorder="1" applyAlignment="1">
      <alignment vertical="center"/>
    </xf>
    <xf numFmtId="4" fontId="15" fillId="13" borderId="36" xfId="0" applyNumberFormat="1" applyFont="1" applyFill="1" applyBorder="1" applyAlignment="1">
      <alignment horizontal="center" vertical="center"/>
    </xf>
    <xf numFmtId="4" fontId="15" fillId="13" borderId="37" xfId="0" applyNumberFormat="1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3" fontId="25" fillId="4" borderId="1" xfId="0" applyNumberFormat="1" applyFont="1" applyFill="1" applyBorder="1" applyAlignment="1">
      <alignment horizontal="center"/>
    </xf>
    <xf numFmtId="3" fontId="3" fillId="9" borderId="5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4" fillId="8" borderId="1" xfId="0" applyFont="1" applyFill="1" applyBorder="1" applyAlignment="1">
      <alignment horizontal="left"/>
    </xf>
    <xf numFmtId="3" fontId="24" fillId="0" borderId="1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2" fontId="2" fillId="4" borderId="0" xfId="0" applyNumberFormat="1" applyFont="1" applyFill="1"/>
    <xf numFmtId="0" fontId="2" fillId="4" borderId="0" xfId="0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168" fontId="2" fillId="8" borderId="1" xfId="2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/>
    <xf numFmtId="0" fontId="18" fillId="8" borderId="1" xfId="0" applyFont="1" applyFill="1" applyBorder="1" applyAlignment="1">
      <alignment horizontal="left"/>
    </xf>
    <xf numFmtId="171" fontId="15" fillId="12" borderId="18" xfId="1" applyNumberFormat="1" applyFont="1" applyFill="1" applyBorder="1" applyAlignment="1">
      <alignment horizontal="center" vertical="center"/>
    </xf>
    <xf numFmtId="3" fontId="15" fillId="10" borderId="29" xfId="0" applyNumberFormat="1" applyFont="1" applyFill="1" applyBorder="1" applyAlignment="1">
      <alignment horizontal="center" vertical="center"/>
    </xf>
    <xf numFmtId="171" fontId="15" fillId="12" borderId="21" xfId="1" applyNumberFormat="1" applyFont="1" applyFill="1" applyBorder="1" applyAlignment="1">
      <alignment horizontal="center" vertical="center"/>
    </xf>
    <xf numFmtId="171" fontId="28" fillId="12" borderId="26" xfId="1" applyNumberFormat="1" applyFont="1" applyFill="1" applyBorder="1" applyAlignment="1">
      <alignment horizontal="center" vertical="center"/>
    </xf>
    <xf numFmtId="171" fontId="15" fillId="11" borderId="24" xfId="1" applyNumberFormat="1" applyFont="1" applyFill="1" applyBorder="1" applyAlignment="1">
      <alignment horizontal="center" vertical="center"/>
    </xf>
    <xf numFmtId="171" fontId="15" fillId="11" borderId="18" xfId="1" applyNumberFormat="1" applyFont="1" applyFill="1" applyBorder="1" applyAlignment="1">
      <alignment horizontal="center" vertical="center"/>
    </xf>
    <xf numFmtId="171" fontId="28" fillId="11" borderId="26" xfId="1" applyNumberFormat="1" applyFont="1" applyFill="1" applyBorder="1" applyAlignment="1">
      <alignment horizontal="center" vertical="center"/>
    </xf>
    <xf numFmtId="171" fontId="15" fillId="12" borderId="24" xfId="1" applyNumberFormat="1" applyFont="1" applyFill="1" applyBorder="1" applyAlignment="1">
      <alignment horizontal="center" vertical="center"/>
    </xf>
    <xf numFmtId="171" fontId="28" fillId="12" borderId="40" xfId="1" applyNumberFormat="1" applyFont="1" applyFill="1" applyBorder="1" applyAlignment="1">
      <alignment horizontal="center" vertical="center"/>
    </xf>
    <xf numFmtId="171" fontId="15" fillId="6" borderId="24" xfId="1" applyNumberFormat="1" applyFont="1" applyFill="1" applyBorder="1" applyAlignment="1">
      <alignment horizontal="center" vertical="center"/>
    </xf>
    <xf numFmtId="171" fontId="15" fillId="6" borderId="18" xfId="1" applyNumberFormat="1" applyFont="1" applyFill="1" applyBorder="1" applyAlignment="1">
      <alignment horizontal="center" vertical="center"/>
    </xf>
    <xf numFmtId="171" fontId="21" fillId="6" borderId="18" xfId="1" applyNumberFormat="1" applyFont="1" applyFill="1" applyBorder="1" applyAlignment="1">
      <alignment horizontal="center" vertical="center"/>
    </xf>
    <xf numFmtId="171" fontId="28" fillId="6" borderId="26" xfId="1" applyNumberFormat="1" applyFont="1" applyFill="1" applyBorder="1" applyAlignment="1">
      <alignment horizontal="center" vertical="center"/>
    </xf>
    <xf numFmtId="0" fontId="0" fillId="0" borderId="1" xfId="0" quotePrefix="1" applyBorder="1"/>
    <xf numFmtId="173" fontId="0" fillId="0" borderId="8" xfId="1" applyNumberFormat="1" applyFont="1" applyBorder="1" applyAlignment="1">
      <alignment horizontal="center"/>
    </xf>
    <xf numFmtId="173" fontId="0" fillId="0" borderId="1" xfId="1" applyNumberFormat="1" applyFont="1" applyBorder="1" applyAlignment="1">
      <alignment horizontal="center"/>
    </xf>
    <xf numFmtId="173" fontId="0" fillId="0" borderId="0" xfId="1" applyNumberFormat="1" applyFont="1" applyBorder="1" applyAlignment="1">
      <alignment horizontal="center"/>
    </xf>
    <xf numFmtId="0" fontId="29" fillId="0" borderId="0" xfId="0" applyFont="1"/>
    <xf numFmtId="0" fontId="25" fillId="0" borderId="8" xfId="0" applyFont="1" applyBorder="1" applyAlignment="1">
      <alignment horizontal="center"/>
    </xf>
    <xf numFmtId="0" fontId="0" fillId="0" borderId="8" xfId="0" applyBorder="1" applyAlignment="1">
      <alignment horizontal="right" vertical="center"/>
    </xf>
    <xf numFmtId="168" fontId="0" fillId="0" borderId="0" xfId="2" applyNumberFormat="1" applyFont="1" applyFill="1" applyBorder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vertical="center"/>
    </xf>
    <xf numFmtId="43" fontId="2" fillId="0" borderId="0" xfId="0" applyNumberFormat="1" applyFont="1" applyAlignment="1">
      <alignment vertical="center"/>
    </xf>
    <xf numFmtId="4" fontId="23" fillId="11" borderId="0" xfId="0" applyNumberFormat="1" applyFont="1" applyFill="1" applyAlignment="1">
      <alignment vertical="center"/>
    </xf>
    <xf numFmtId="43" fontId="21" fillId="12" borderId="44" xfId="0" applyNumberFormat="1" applyFont="1" applyFill="1" applyBorder="1" applyAlignment="1">
      <alignment vertical="center"/>
    </xf>
    <xf numFmtId="43" fontId="23" fillId="12" borderId="45" xfId="0" applyNumberFormat="1" applyFont="1" applyFill="1" applyBorder="1" applyAlignment="1">
      <alignment vertical="center"/>
    </xf>
    <xf numFmtId="4" fontId="23" fillId="12" borderId="45" xfId="0" applyNumberFormat="1" applyFont="1" applyFill="1" applyBorder="1" applyAlignment="1">
      <alignment vertical="center"/>
    </xf>
    <xf numFmtId="43" fontId="22" fillId="12" borderId="46" xfId="1" applyFont="1" applyFill="1" applyBorder="1" applyAlignment="1">
      <alignment vertical="center"/>
    </xf>
    <xf numFmtId="43" fontId="22" fillId="11" borderId="43" xfId="0" applyNumberFormat="1" applyFont="1" applyFill="1" applyBorder="1" applyAlignment="1">
      <alignment vertical="center"/>
    </xf>
    <xf numFmtId="4" fontId="23" fillId="6" borderId="44" xfId="0" applyNumberFormat="1" applyFont="1" applyFill="1" applyBorder="1" applyAlignment="1">
      <alignment vertical="center"/>
    </xf>
    <xf numFmtId="4" fontId="23" fillId="6" borderId="45" xfId="0" applyNumberFormat="1" applyFont="1" applyFill="1" applyBorder="1" applyAlignment="1">
      <alignment vertical="center"/>
    </xf>
    <xf numFmtId="43" fontId="23" fillId="6" borderId="45" xfId="0" applyNumberFormat="1" applyFont="1" applyFill="1" applyBorder="1" applyAlignment="1">
      <alignment vertical="center"/>
    </xf>
    <xf numFmtId="0" fontId="16" fillId="11" borderId="47" xfId="0" applyFont="1" applyFill="1" applyBorder="1" applyAlignment="1">
      <alignment vertical="center"/>
    </xf>
    <xf numFmtId="0" fontId="18" fillId="11" borderId="48" xfId="0" applyFont="1" applyFill="1" applyBorder="1" applyAlignment="1">
      <alignment vertical="center"/>
    </xf>
    <xf numFmtId="0" fontId="31" fillId="0" borderId="0" xfId="0" applyFont="1" applyAlignment="1">
      <alignment horizontal="center"/>
    </xf>
    <xf numFmtId="4" fontId="22" fillId="6" borderId="46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3" fontId="22" fillId="6" borderId="45" xfId="0" applyNumberFormat="1" applyFont="1" applyFill="1" applyBorder="1" applyAlignment="1">
      <alignment vertical="center"/>
    </xf>
    <xf numFmtId="0" fontId="16" fillId="11" borderId="49" xfId="0" applyFont="1" applyFill="1" applyBorder="1" applyAlignment="1">
      <alignment vertical="center"/>
    </xf>
    <xf numFmtId="171" fontId="15" fillId="11" borderId="50" xfId="1" applyNumberFormat="1" applyFont="1" applyFill="1" applyBorder="1" applyAlignment="1">
      <alignment horizontal="center" vertical="center"/>
    </xf>
    <xf numFmtId="10" fontId="21" fillId="11" borderId="50" xfId="1" applyNumberFormat="1" applyFont="1" applyFill="1" applyBorder="1" applyAlignment="1">
      <alignment horizontal="center" vertical="center"/>
    </xf>
    <xf numFmtId="43" fontId="21" fillId="11" borderId="51" xfId="1" applyFont="1" applyFill="1" applyBorder="1" applyAlignment="1">
      <alignment horizontal="right" vertical="center"/>
    </xf>
    <xf numFmtId="0" fontId="16" fillId="11" borderId="52" xfId="0" applyFont="1" applyFill="1" applyBorder="1" applyAlignment="1">
      <alignment vertical="center"/>
    </xf>
    <xf numFmtId="43" fontId="23" fillId="11" borderId="8" xfId="0" applyNumberFormat="1" applyFont="1" applyFill="1" applyBorder="1" applyAlignment="1">
      <alignment vertical="center"/>
    </xf>
    <xf numFmtId="0" fontId="16" fillId="11" borderId="53" xfId="0" applyFont="1" applyFill="1" applyBorder="1" applyAlignment="1">
      <alignment vertical="center"/>
    </xf>
    <xf numFmtId="0" fontId="16" fillId="11" borderId="54" xfId="0" applyFont="1" applyFill="1" applyBorder="1" applyAlignment="1">
      <alignment vertical="center"/>
    </xf>
    <xf numFmtId="43" fontId="23" fillId="11" borderId="1" xfId="0" applyNumberFormat="1" applyFont="1" applyFill="1" applyBorder="1" applyAlignment="1">
      <alignment vertical="center"/>
    </xf>
    <xf numFmtId="171" fontId="15" fillId="11" borderId="26" xfId="1" applyNumberFormat="1" applyFont="1" applyFill="1" applyBorder="1" applyAlignment="1">
      <alignment horizontal="center" vertical="center"/>
    </xf>
    <xf numFmtId="10" fontId="21" fillId="11" borderId="26" xfId="1" applyNumberFormat="1" applyFont="1" applyFill="1" applyBorder="1" applyAlignment="1">
      <alignment horizontal="center" vertical="center"/>
    </xf>
    <xf numFmtId="43" fontId="21" fillId="11" borderId="27" xfId="1" applyFont="1" applyFill="1" applyBorder="1" applyAlignment="1">
      <alignment horizontal="right" vertical="center"/>
    </xf>
    <xf numFmtId="168" fontId="0" fillId="0" borderId="0" xfId="2" applyNumberFormat="1" applyFont="1" applyBorder="1" applyAlignment="1">
      <alignment horizontal="center"/>
    </xf>
    <xf numFmtId="4" fontId="2" fillId="16" borderId="0" xfId="0" applyNumberFormat="1" applyFont="1" applyFill="1"/>
    <xf numFmtId="164" fontId="1" fillId="15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8" fontId="0" fillId="15" borderId="0" xfId="2" applyNumberFormat="1" applyFont="1" applyFill="1" applyBorder="1"/>
    <xf numFmtId="9" fontId="2" fillId="0" borderId="0" xfId="2" applyFont="1" applyBorder="1" applyAlignment="1">
      <alignment horizontal="center"/>
    </xf>
    <xf numFmtId="0" fontId="0" fillId="17" borderId="0" xfId="0" applyFill="1"/>
    <xf numFmtId="3" fontId="24" fillId="0" borderId="0" xfId="0" applyNumberFormat="1" applyFont="1" applyAlignment="1">
      <alignment horizontal="right" vertical="top"/>
    </xf>
    <xf numFmtId="168" fontId="0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4" fillId="0" borderId="1" xfId="0" applyFont="1" applyBorder="1" applyAlignment="1">
      <alignment horizontal="left"/>
    </xf>
    <xf numFmtId="3" fontId="0" fillId="0" borderId="0" xfId="0" applyNumberFormat="1" applyAlignment="1">
      <alignment horizontal="left"/>
    </xf>
    <xf numFmtId="168" fontId="5" fillId="8" borderId="1" xfId="2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left"/>
    </xf>
    <xf numFmtId="169" fontId="5" fillId="0" borderId="0" xfId="1" applyNumberFormat="1" applyFont="1" applyFill="1" applyBorder="1" applyAlignment="1">
      <alignment horizontal="right" vertical="center"/>
    </xf>
    <xf numFmtId="0" fontId="0" fillId="0" borderId="0" xfId="0" quotePrefix="1" applyAlignment="1">
      <alignment horizontal="left"/>
    </xf>
    <xf numFmtId="4" fontId="0" fillId="17" borderId="0" xfId="0" applyNumberFormat="1" applyFill="1"/>
    <xf numFmtId="173" fontId="2" fillId="0" borderId="0" xfId="1" quotePrefix="1" applyNumberFormat="1" applyFont="1" applyFill="1" applyBorder="1" applyAlignment="1">
      <alignment horizontal="right" vertical="center"/>
    </xf>
    <xf numFmtId="10" fontId="21" fillId="18" borderId="12" xfId="5" applyNumberFormat="1" applyFont="1" applyFill="1" applyBorder="1" applyAlignment="1">
      <alignment vertic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0" fontId="0" fillId="0" borderId="3" xfId="0" applyBorder="1"/>
    <xf numFmtId="4" fontId="2" fillId="4" borderId="9" xfId="0" applyNumberFormat="1" applyFont="1" applyFill="1" applyBorder="1"/>
    <xf numFmtId="9" fontId="0" fillId="0" borderId="3" xfId="2" applyFont="1" applyBorder="1"/>
    <xf numFmtId="3" fontId="5" fillId="0" borderId="0" xfId="0" applyNumberFormat="1" applyFont="1" applyAlignment="1">
      <alignment horizontal="left"/>
    </xf>
    <xf numFmtId="4" fontId="2" fillId="7" borderId="6" xfId="0" applyNumberFormat="1" applyFont="1" applyFill="1" applyBorder="1" applyAlignment="1">
      <alignment horizontal="right"/>
    </xf>
    <xf numFmtId="4" fontId="0" fillId="0" borderId="9" xfId="0" quotePrefix="1" applyNumberFormat="1" applyBorder="1"/>
    <xf numFmtId="4" fontId="0" fillId="0" borderId="2" xfId="0" quotePrefix="1" applyNumberFormat="1" applyBorder="1"/>
    <xf numFmtId="4" fontId="2" fillId="7" borderId="3" xfId="0" applyNumberFormat="1" applyFont="1" applyFill="1" applyBorder="1" applyAlignment="1">
      <alignment horizontal="right"/>
    </xf>
    <xf numFmtId="43" fontId="0" fillId="4" borderId="0" xfId="1" applyFont="1" applyFill="1"/>
    <xf numFmtId="164" fontId="1" fillId="20" borderId="0" xfId="0" applyNumberFormat="1" applyFont="1" applyFill="1" applyAlignment="1">
      <alignment horizontal="right" vertical="center"/>
    </xf>
    <xf numFmtId="4" fontId="21" fillId="18" borderId="12" xfId="5" applyNumberFormat="1" applyFont="1" applyFill="1" applyBorder="1" applyAlignment="1">
      <alignment vertical="center"/>
    </xf>
    <xf numFmtId="166" fontId="0" fillId="0" borderId="0" xfId="0" applyNumberFormat="1"/>
    <xf numFmtId="43" fontId="21" fillId="11" borderId="0" xfId="1" applyFont="1" applyFill="1" applyBorder="1" applyAlignment="1">
      <alignment vertical="center"/>
    </xf>
    <xf numFmtId="43" fontId="21" fillId="11" borderId="24" xfId="1" applyFont="1" applyFill="1" applyBorder="1" applyAlignment="1">
      <alignment horizontal="right" vertical="center"/>
    </xf>
    <xf numFmtId="0" fontId="16" fillId="11" borderId="42" xfId="0" applyFont="1" applyFill="1" applyBorder="1" applyAlignment="1">
      <alignment vertical="center"/>
    </xf>
    <xf numFmtId="43" fontId="21" fillId="11" borderId="26" xfId="1" applyFont="1" applyFill="1" applyBorder="1" applyAlignment="1">
      <alignment vertical="center"/>
    </xf>
    <xf numFmtId="43" fontId="21" fillId="11" borderId="26" xfId="1" applyFont="1" applyFill="1" applyBorder="1" applyAlignment="1">
      <alignment horizontal="right" vertical="center"/>
    </xf>
    <xf numFmtId="0" fontId="16" fillId="11" borderId="55" xfId="0" applyFont="1" applyFill="1" applyBorder="1" applyAlignment="1">
      <alignment vertical="center"/>
    </xf>
    <xf numFmtId="43" fontId="21" fillId="11" borderId="8" xfId="1" applyFont="1" applyFill="1" applyBorder="1" applyAlignment="1">
      <alignment vertical="center"/>
    </xf>
    <xf numFmtId="0" fontId="16" fillId="11" borderId="56" xfId="0" applyFont="1" applyFill="1" applyBorder="1" applyAlignment="1">
      <alignment vertical="center"/>
    </xf>
    <xf numFmtId="43" fontId="21" fillId="11" borderId="1" xfId="1" applyFont="1" applyFill="1" applyBorder="1" applyAlignment="1">
      <alignment vertical="center"/>
    </xf>
    <xf numFmtId="43" fontId="0" fillId="0" borderId="0" xfId="1" applyFont="1" applyAlignment="1">
      <alignment horizontal="center"/>
    </xf>
    <xf numFmtId="2" fontId="0" fillId="4" borderId="0" xfId="0" applyNumberFormat="1" applyFill="1" applyAlignment="1">
      <alignment horizontal="center"/>
    </xf>
    <xf numFmtId="43" fontId="0" fillId="0" borderId="0" xfId="1" applyFont="1" applyAlignment="1">
      <alignment horizontal="right" vertical="center"/>
    </xf>
    <xf numFmtId="3" fontId="25" fillId="21" borderId="0" xfId="0" applyNumberFormat="1" applyFont="1" applyFill="1" applyAlignment="1">
      <alignment horizontal="center"/>
    </xf>
    <xf numFmtId="10" fontId="0" fillId="21" borderId="0" xfId="2" applyNumberFormat="1" applyFont="1" applyFill="1" applyAlignment="1">
      <alignment horizontal="right" vertical="center"/>
    </xf>
    <xf numFmtId="4" fontId="0" fillId="21" borderId="0" xfId="0" applyNumberFormat="1" applyFill="1" applyAlignment="1">
      <alignment horizontal="right" vertical="center"/>
    </xf>
    <xf numFmtId="165" fontId="2" fillId="18" borderId="0" xfId="0" applyNumberFormat="1" applyFont="1" applyFill="1" applyAlignment="1">
      <alignment horizontal="right" vertical="center"/>
    </xf>
    <xf numFmtId="0" fontId="2" fillId="22" borderId="0" xfId="0" applyFont="1" applyFill="1"/>
    <xf numFmtId="3" fontId="3" fillId="22" borderId="0" xfId="0" applyNumberFormat="1" applyFont="1" applyFill="1" applyAlignment="1">
      <alignment horizontal="center"/>
    </xf>
    <xf numFmtId="0" fontId="2" fillId="22" borderId="0" xfId="0" applyFont="1" applyFill="1" applyAlignment="1">
      <alignment horizontal="right" vertical="center"/>
    </xf>
    <xf numFmtId="4" fontId="2" fillId="22" borderId="0" xfId="0" applyNumberFormat="1" applyFont="1" applyFill="1" applyAlignment="1">
      <alignment horizontal="right" vertical="center"/>
    </xf>
    <xf numFmtId="173" fontId="2" fillId="22" borderId="0" xfId="1" applyNumberFormat="1" applyFont="1" applyFill="1" applyAlignment="1">
      <alignment horizontal="right"/>
    </xf>
    <xf numFmtId="0" fontId="0" fillId="22" borderId="0" xfId="0" applyFill="1"/>
    <xf numFmtId="4" fontId="0" fillId="0" borderId="0" xfId="0" applyNumberFormat="1" applyAlignment="1">
      <alignment horizontal="left"/>
    </xf>
    <xf numFmtId="43" fontId="2" fillId="9" borderId="0" xfId="1" applyFont="1" applyFill="1" applyBorder="1" applyAlignment="1">
      <alignment horizontal="right" vertical="center"/>
    </xf>
    <xf numFmtId="0" fontId="25" fillId="4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8" xfId="0" quotePrefix="1" applyBorder="1" applyAlignment="1">
      <alignment horizontal="right"/>
    </xf>
    <xf numFmtId="4" fontId="0" fillId="0" borderId="5" xfId="0" applyNumberFormat="1" applyBorder="1"/>
    <xf numFmtId="4" fontId="0" fillId="0" borderId="8" xfId="0" applyNumberFormat="1" applyBorder="1"/>
    <xf numFmtId="164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0" fontId="0" fillId="0" borderId="15" xfId="0" applyBorder="1"/>
    <xf numFmtId="4" fontId="29" fillId="0" borderId="15" xfId="0" applyNumberFormat="1" applyFont="1" applyBorder="1" applyAlignment="1">
      <alignment horizontal="right" vertical="top"/>
    </xf>
    <xf numFmtId="4" fontId="0" fillId="0" borderId="15" xfId="0" applyNumberFormat="1" applyBorder="1" applyAlignment="1">
      <alignment horizontal="right" vertical="top"/>
    </xf>
    <xf numFmtId="4" fontId="0" fillId="0" borderId="15" xfId="0" applyNumberFormat="1" applyBorder="1" applyAlignment="1">
      <alignment horizontal="right"/>
    </xf>
    <xf numFmtId="4" fontId="0" fillId="0" borderId="15" xfId="0" applyNumberFormat="1" applyBorder="1" applyAlignment="1">
      <alignment horizontal="right" vertical="center"/>
    </xf>
    <xf numFmtId="4" fontId="0" fillId="0" borderId="15" xfId="0" applyNumberFormat="1" applyBorder="1"/>
    <xf numFmtId="0" fontId="0" fillId="0" borderId="14" xfId="0" applyBorder="1"/>
    <xf numFmtId="4" fontId="29" fillId="0" borderId="14" xfId="0" applyNumberFormat="1" applyFont="1" applyBorder="1" applyAlignment="1">
      <alignment horizontal="right" vertical="top"/>
    </xf>
    <xf numFmtId="164" fontId="34" fillId="0" borderId="15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4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top"/>
    </xf>
    <xf numFmtId="164" fontId="33" fillId="0" borderId="15" xfId="0" applyNumberFormat="1" applyFont="1" applyBorder="1" applyAlignment="1">
      <alignment horizontal="right" vertical="center"/>
    </xf>
    <xf numFmtId="4" fontId="0" fillId="22" borderId="0" xfId="0" applyNumberFormat="1" applyFill="1"/>
    <xf numFmtId="4" fontId="31" fillId="4" borderId="1" xfId="0" applyNumberFormat="1" applyFont="1" applyFill="1" applyBorder="1" applyAlignment="1">
      <alignment horizontal="right" vertical="center"/>
    </xf>
    <xf numFmtId="43" fontId="0" fillId="23" borderId="0" xfId="0" applyNumberFormat="1" applyFill="1" applyAlignment="1">
      <alignment horizontal="center"/>
    </xf>
    <xf numFmtId="0" fontId="0" fillId="23" borderId="0" xfId="0" applyFill="1" applyAlignment="1">
      <alignment horizontal="left"/>
    </xf>
    <xf numFmtId="4" fontId="2" fillId="4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35" fillId="0" borderId="0" xfId="0" applyFont="1" applyAlignment="1">
      <alignment horizontal="right"/>
    </xf>
    <xf numFmtId="9" fontId="2" fillId="0" borderId="0" xfId="2" applyFont="1" applyAlignment="1">
      <alignment horizontal="center"/>
    </xf>
    <xf numFmtId="0" fontId="2" fillId="4" borderId="13" xfId="0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0" fontId="0" fillId="11" borderId="12" xfId="0" applyFill="1" applyBorder="1" applyAlignment="1">
      <alignment horizontal="right"/>
    </xf>
    <xf numFmtId="2" fontId="0" fillId="11" borderId="0" xfId="0" applyNumberFormat="1" applyFill="1" applyAlignment="1">
      <alignment horizontal="right"/>
    </xf>
    <xf numFmtId="168" fontId="0" fillId="0" borderId="0" xfId="2" applyNumberFormat="1" applyFont="1" applyBorder="1" applyAlignment="1">
      <alignment horizontal="right"/>
    </xf>
    <xf numFmtId="10" fontId="2" fillId="0" borderId="0" xfId="2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0" fontId="25" fillId="0" borderId="14" xfId="0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right"/>
    </xf>
    <xf numFmtId="43" fontId="0" fillId="4" borderId="1" xfId="1" applyFont="1" applyFill="1" applyBorder="1" applyAlignment="1">
      <alignment horizontal="center"/>
    </xf>
    <xf numFmtId="4" fontId="29" fillId="0" borderId="0" xfId="0" applyNumberFormat="1" applyFont="1"/>
    <xf numFmtId="43" fontId="0" fillId="5" borderId="0" xfId="0" applyNumberFormat="1" applyFill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164" fontId="1" fillId="0" borderId="25" xfId="0" applyNumberFormat="1" applyFont="1" applyBorder="1" applyAlignment="1">
      <alignment horizontal="right" vertical="center"/>
    </xf>
    <xf numFmtId="164" fontId="3" fillId="0" borderId="25" xfId="0" applyNumberFormat="1" applyFont="1" applyBorder="1" applyAlignment="1">
      <alignment horizontal="right" vertical="center"/>
    </xf>
    <xf numFmtId="0" fontId="19" fillId="0" borderId="19" xfId="0" applyFont="1" applyBorder="1"/>
    <xf numFmtId="0" fontId="0" fillId="0" borderId="19" xfId="0" applyBorder="1" applyAlignment="1">
      <alignment horizontal="center"/>
    </xf>
    <xf numFmtId="164" fontId="33" fillId="0" borderId="19" xfId="0" applyNumberFormat="1" applyFont="1" applyBorder="1" applyAlignment="1">
      <alignment horizontal="right" vertical="center"/>
    </xf>
    <xf numFmtId="0" fontId="0" fillId="0" borderId="19" xfId="0" applyBorder="1"/>
    <xf numFmtId="0" fontId="5" fillId="8" borderId="19" xfId="0" applyFont="1" applyFill="1" applyBorder="1"/>
    <xf numFmtId="168" fontId="5" fillId="8" borderId="19" xfId="2" applyNumberFormat="1" applyFont="1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right" vertical="center"/>
    </xf>
    <xf numFmtId="0" fontId="5" fillId="0" borderId="27" xfId="0" applyFont="1" applyBorder="1"/>
    <xf numFmtId="0" fontId="0" fillId="0" borderId="27" xfId="0" applyBorder="1" applyAlignment="1">
      <alignment horizontal="center"/>
    </xf>
    <xf numFmtId="43" fontId="2" fillId="0" borderId="8" xfId="0" applyNumberFormat="1" applyFont="1" applyBorder="1" applyAlignment="1">
      <alignment horizontal="right"/>
    </xf>
    <xf numFmtId="4" fontId="31" fillId="18" borderId="12" xfId="0" applyNumberFormat="1" applyFont="1" applyFill="1" applyBorder="1" applyAlignment="1">
      <alignment horizontal="right" vertical="center"/>
    </xf>
    <xf numFmtId="4" fontId="37" fillId="0" borderId="19" xfId="0" applyNumberFormat="1" applyFont="1" applyBorder="1" applyAlignment="1">
      <alignment horizontal="right" vertical="top"/>
    </xf>
    <xf numFmtId="4" fontId="34" fillId="0" borderId="1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top"/>
    </xf>
    <xf numFmtId="43" fontId="5" fillId="8" borderId="19" xfId="0" applyNumberFormat="1" applyFont="1" applyFill="1" applyBorder="1"/>
    <xf numFmtId="0" fontId="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right"/>
    </xf>
    <xf numFmtId="4" fontId="5" fillId="18" borderId="19" xfId="0" applyNumberFormat="1" applyFont="1" applyFill="1" applyBorder="1" applyAlignment="1">
      <alignment horizontal="right"/>
    </xf>
    <xf numFmtId="0" fontId="5" fillId="18" borderId="19" xfId="0" applyFont="1" applyFill="1" applyBorder="1" applyAlignment="1">
      <alignment horizontal="right"/>
    </xf>
    <xf numFmtId="4" fontId="5" fillId="0" borderId="19" xfId="0" quotePrefix="1" applyNumberFormat="1" applyFont="1" applyBorder="1" applyAlignment="1">
      <alignment horizontal="right" vertical="center"/>
    </xf>
    <xf numFmtId="172" fontId="5" fillId="18" borderId="19" xfId="0" applyNumberFormat="1" applyFont="1" applyFill="1" applyBorder="1" applyAlignment="1">
      <alignment horizontal="right"/>
    </xf>
    <xf numFmtId="164" fontId="1" fillId="18" borderId="19" xfId="0" applyNumberFormat="1" applyFont="1" applyFill="1" applyBorder="1" applyAlignment="1">
      <alignment horizontal="right" vertical="center"/>
    </xf>
    <xf numFmtId="4" fontId="5" fillId="18" borderId="19" xfId="0" applyNumberFormat="1" applyFont="1" applyFill="1" applyBorder="1" applyAlignment="1">
      <alignment horizontal="left" vertical="center"/>
    </xf>
    <xf numFmtId="43" fontId="5" fillId="18" borderId="19" xfId="1" applyFont="1" applyFill="1" applyBorder="1" applyAlignment="1">
      <alignment horizontal="right" vertical="center"/>
    </xf>
    <xf numFmtId="4" fontId="5" fillId="18" borderId="19" xfId="0" applyNumberFormat="1" applyFont="1" applyFill="1" applyBorder="1" applyAlignment="1">
      <alignment horizontal="right" vertical="top"/>
    </xf>
    <xf numFmtId="4" fontId="5" fillId="18" borderId="19" xfId="0" applyNumberFormat="1" applyFont="1" applyFill="1" applyBorder="1" applyAlignment="1">
      <alignment horizontal="right" vertical="center"/>
    </xf>
    <xf numFmtId="43" fontId="5" fillId="0" borderId="19" xfId="0" applyNumberFormat="1" applyFont="1" applyBorder="1"/>
    <xf numFmtId="43" fontId="5" fillId="18" borderId="19" xfId="0" applyNumberFormat="1" applyFont="1" applyFill="1" applyBorder="1" applyAlignment="1">
      <alignment horizontal="right"/>
    </xf>
    <xf numFmtId="4" fontId="5" fillId="0" borderId="19" xfId="0" applyNumberFormat="1" applyFont="1" applyBorder="1"/>
    <xf numFmtId="4" fontId="5" fillId="0" borderId="27" xfId="0" applyNumberFormat="1" applyFont="1" applyBorder="1"/>
    <xf numFmtId="43" fontId="5" fillId="18" borderId="27" xfId="0" applyNumberFormat="1" applyFont="1" applyFill="1" applyBorder="1" applyAlignment="1">
      <alignment horizontal="right"/>
    </xf>
    <xf numFmtId="0" fontId="31" fillId="18" borderId="5" xfId="0" applyFont="1" applyFill="1" applyBorder="1" applyAlignment="1">
      <alignment horizontal="center"/>
    </xf>
    <xf numFmtId="4" fontId="31" fillId="18" borderId="5" xfId="0" applyNumberFormat="1" applyFont="1" applyFill="1" applyBorder="1" applyAlignment="1">
      <alignment horizontal="right" vertical="center"/>
    </xf>
    <xf numFmtId="164" fontId="33" fillId="18" borderId="19" xfId="0" applyNumberFormat="1" applyFont="1" applyFill="1" applyBorder="1" applyAlignment="1">
      <alignment horizontal="right" vertical="center"/>
    </xf>
    <xf numFmtId="4" fontId="5" fillId="19" borderId="8" xfId="0" applyNumberFormat="1" applyFont="1" applyFill="1" applyBorder="1"/>
    <xf numFmtId="173" fontId="0" fillId="4" borderId="0" xfId="0" applyNumberFormat="1" applyFill="1" applyAlignment="1">
      <alignment horizontal="right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2" fillId="8" borderId="1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22" borderId="0" xfId="0" applyFont="1" applyFill="1" applyAlignment="1">
      <alignment horizontal="center"/>
    </xf>
    <xf numFmtId="4" fontId="16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 vertical="center"/>
    </xf>
    <xf numFmtId="10" fontId="16" fillId="0" borderId="0" xfId="2" applyNumberFormat="1" applyFont="1" applyFill="1" applyBorder="1"/>
    <xf numFmtId="0" fontId="16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0" fontId="16" fillId="0" borderId="13" xfId="0" applyNumberFormat="1" applyFont="1" applyBorder="1" applyAlignment="1">
      <alignment horizontal="center" vertical="center"/>
    </xf>
    <xf numFmtId="9" fontId="16" fillId="0" borderId="13" xfId="2" applyFont="1" applyFill="1" applyBorder="1" applyAlignment="1">
      <alignment vertical="center"/>
    </xf>
    <xf numFmtId="10" fontId="16" fillId="0" borderId="13" xfId="2" applyNumberFormat="1" applyFont="1" applyFill="1" applyBorder="1"/>
    <xf numFmtId="0" fontId="17" fillId="0" borderId="15" xfId="0" applyFont="1" applyBorder="1" applyAlignment="1">
      <alignment horizontal="center" vertical="center"/>
    </xf>
    <xf numFmtId="10" fontId="16" fillId="0" borderId="15" xfId="0" applyNumberFormat="1" applyFont="1" applyBorder="1" applyAlignment="1">
      <alignment horizontal="center" vertical="center"/>
    </xf>
    <xf numFmtId="9" fontId="16" fillId="0" borderId="15" xfId="2" applyFont="1" applyFill="1" applyBorder="1" applyAlignment="1">
      <alignment vertical="center"/>
    </xf>
    <xf numFmtId="10" fontId="16" fillId="0" borderId="15" xfId="2" applyNumberFormat="1" applyFont="1" applyFill="1" applyBorder="1"/>
    <xf numFmtId="0" fontId="17" fillId="0" borderId="14" xfId="0" applyFont="1" applyBorder="1" applyAlignment="1">
      <alignment horizontal="center" vertical="center"/>
    </xf>
    <xf numFmtId="10" fontId="16" fillId="0" borderId="14" xfId="0" applyNumberFormat="1" applyFont="1" applyBorder="1" applyAlignment="1">
      <alignment horizontal="center" vertical="center"/>
    </xf>
    <xf numFmtId="9" fontId="16" fillId="0" borderId="14" xfId="2" applyFont="1" applyFill="1" applyBorder="1" applyAlignment="1">
      <alignment vertical="center"/>
    </xf>
    <xf numFmtId="10" fontId="16" fillId="0" borderId="14" xfId="2" applyNumberFormat="1" applyFont="1" applyFill="1" applyBorder="1"/>
    <xf numFmtId="0" fontId="31" fillId="0" borderId="19" xfId="0" applyFont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  <xf numFmtId="0" fontId="31" fillId="18" borderId="19" xfId="0" applyFont="1" applyFill="1" applyBorder="1" applyAlignment="1">
      <alignment horizontal="center" vertical="center"/>
    </xf>
    <xf numFmtId="0" fontId="0" fillId="18" borderId="27" xfId="0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4" fontId="30" fillId="0" borderId="15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174" fontId="2" fillId="0" borderId="14" xfId="0" applyNumberFormat="1" applyFont="1" applyBorder="1"/>
    <xf numFmtId="43" fontId="2" fillId="0" borderId="15" xfId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3" fontId="2" fillId="0" borderId="14" xfId="0" applyNumberFormat="1" applyFont="1" applyBorder="1"/>
    <xf numFmtId="164" fontId="3" fillId="0" borderId="15" xfId="0" applyNumberFormat="1" applyFont="1" applyBorder="1" applyAlignment="1">
      <alignment horizontal="left" vertical="center"/>
    </xf>
    <xf numFmtId="4" fontId="2" fillId="0" borderId="15" xfId="0" quotePrefix="1" applyNumberFormat="1" applyFont="1" applyBorder="1" applyAlignment="1">
      <alignment horizontal="right" vertical="center"/>
    </xf>
    <xf numFmtId="43" fontId="2" fillId="0" borderId="15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left" vertical="center"/>
    </xf>
    <xf numFmtId="4" fontId="2" fillId="0" borderId="15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4" fontId="2" fillId="0" borderId="15" xfId="0" applyNumberFormat="1" applyFont="1" applyBorder="1" applyAlignment="1">
      <alignment horizontal="left"/>
    </xf>
    <xf numFmtId="4" fontId="2" fillId="0" borderId="14" xfId="0" quotePrefix="1" applyNumberFormat="1" applyFont="1" applyBorder="1" applyAlignment="1">
      <alignment horizontal="right"/>
    </xf>
    <xf numFmtId="43" fontId="2" fillId="0" borderId="14" xfId="0" applyNumberFormat="1" applyFont="1" applyBorder="1" applyAlignment="1">
      <alignment horizontal="right"/>
    </xf>
    <xf numFmtId="4" fontId="31" fillId="4" borderId="14" xfId="0" applyNumberFormat="1" applyFont="1" applyFill="1" applyBorder="1" applyAlignment="1">
      <alignment horizontal="right" vertical="center"/>
    </xf>
    <xf numFmtId="43" fontId="2" fillId="9" borderId="14" xfId="1" applyFont="1" applyFill="1" applyBorder="1" applyAlignment="1">
      <alignment horizontal="right" vertical="center"/>
    </xf>
    <xf numFmtId="0" fontId="25" fillId="4" borderId="5" xfId="0" applyFont="1" applyFill="1" applyBorder="1" applyAlignment="1">
      <alignment horizontal="center" vertical="center" wrapText="1"/>
    </xf>
    <xf numFmtId="164" fontId="33" fillId="0" borderId="2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 vertical="top"/>
    </xf>
    <xf numFmtId="4" fontId="29" fillId="0" borderId="2" xfId="0" applyNumberFormat="1" applyFont="1" applyBorder="1" applyAlignment="1">
      <alignment horizontal="right" vertical="top"/>
    </xf>
    <xf numFmtId="4" fontId="29" fillId="0" borderId="3" xfId="0" applyNumberFormat="1" applyFont="1" applyBorder="1" applyAlignment="1">
      <alignment horizontal="right" vertical="top"/>
    </xf>
    <xf numFmtId="164" fontId="34" fillId="0" borderId="2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top"/>
    </xf>
    <xf numFmtId="4" fontId="0" fillId="19" borderId="3" xfId="0" applyNumberFormat="1" applyFill="1" applyBorder="1" applyAlignment="1">
      <alignment horizontal="right" vertical="top"/>
    </xf>
    <xf numFmtId="0" fontId="25" fillId="0" borderId="13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left" vertical="center"/>
    </xf>
    <xf numFmtId="4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right"/>
    </xf>
    <xf numFmtId="4" fontId="2" fillId="14" borderId="15" xfId="0" applyNumberFormat="1" applyFont="1" applyFill="1" applyBorder="1" applyAlignment="1">
      <alignment horizontal="right"/>
    </xf>
    <xf numFmtId="4" fontId="0" fillId="4" borderId="15" xfId="0" applyNumberFormat="1" applyFill="1" applyBorder="1" applyAlignment="1">
      <alignment horizontal="right"/>
    </xf>
    <xf numFmtId="0" fontId="0" fillId="17" borderId="14" xfId="0" applyFill="1" applyBorder="1"/>
    <xf numFmtId="4" fontId="0" fillId="4" borderId="15" xfId="0" applyNumberFormat="1" applyFill="1" applyBorder="1" applyAlignment="1">
      <alignment horizontal="right" vertical="center"/>
    </xf>
    <xf numFmtId="4" fontId="0" fillId="4" borderId="15" xfId="0" applyNumberFormat="1" applyFill="1" applyBorder="1"/>
    <xf numFmtId="0" fontId="0" fillId="0" borderId="13" xfId="0" applyBorder="1"/>
    <xf numFmtId="0" fontId="0" fillId="17" borderId="15" xfId="0" applyFill="1" applyBorder="1"/>
    <xf numFmtId="4" fontId="27" fillId="0" borderId="15" xfId="0" applyNumberFormat="1" applyFont="1" applyBorder="1" applyAlignment="1">
      <alignment horizontal="right" vertical="center"/>
    </xf>
    <xf numFmtId="43" fontId="0" fillId="0" borderId="14" xfId="0" applyNumberFormat="1" applyBorder="1"/>
    <xf numFmtId="0" fontId="0" fillId="0" borderId="15" xfId="0" applyBorder="1" applyAlignment="1">
      <alignment horizontal="right" vertical="center"/>
    </xf>
    <xf numFmtId="4" fontId="2" fillId="0" borderId="15" xfId="0" applyNumberFormat="1" applyFont="1" applyBorder="1"/>
    <xf numFmtId="43" fontId="2" fillId="0" borderId="15" xfId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4" fontId="0" fillId="0" borderId="15" xfId="0" quotePrefix="1" applyNumberFormat="1" applyBorder="1" applyAlignment="1">
      <alignment horizontal="center" vertical="center"/>
    </xf>
    <xf numFmtId="4" fontId="2" fillId="0" borderId="15" xfId="1" applyNumberFormat="1" applyFont="1" applyFill="1" applyBorder="1"/>
    <xf numFmtId="43" fontId="0" fillId="0" borderId="15" xfId="0" applyNumberFormat="1" applyBorder="1"/>
    <xf numFmtId="43" fontId="2" fillId="9" borderId="12" xfId="1" applyFont="1" applyFill="1" applyBorder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3" fontId="16" fillId="4" borderId="2" xfId="0" applyNumberFormat="1" applyFont="1" applyFill="1" applyBorder="1" applyAlignment="1">
      <alignment horizontal="right"/>
    </xf>
    <xf numFmtId="4" fontId="0" fillId="2" borderId="4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33" fillId="3" borderId="12" xfId="5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0" fontId="31" fillId="18" borderId="12" xfId="0" applyFont="1" applyFill="1" applyBorder="1" applyAlignment="1">
      <alignment horizontal="center"/>
    </xf>
    <xf numFmtId="0" fontId="31" fillId="18" borderId="12" xfId="0" applyFont="1" applyFill="1" applyBorder="1" applyAlignment="1">
      <alignment horizontal="center" wrapText="1"/>
    </xf>
    <xf numFmtId="2" fontId="21" fillId="0" borderId="14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0" fontId="21" fillId="6" borderId="13" xfId="0" applyNumberFormat="1" applyFont="1" applyFill="1" applyBorder="1" applyAlignment="1">
      <alignment horizontal="center" vertical="center"/>
    </xf>
    <xf numFmtId="170" fontId="21" fillId="6" borderId="15" xfId="0" applyNumberFormat="1" applyFont="1" applyFill="1" applyBorder="1" applyAlignment="1">
      <alignment horizontal="center" vertical="center"/>
    </xf>
    <xf numFmtId="170" fontId="21" fillId="6" borderId="14" xfId="0" applyNumberFormat="1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170" fontId="21" fillId="11" borderId="13" xfId="0" applyNumberFormat="1" applyFont="1" applyFill="1" applyBorder="1" applyAlignment="1">
      <alignment horizontal="center" vertical="center"/>
    </xf>
    <xf numFmtId="170" fontId="21" fillId="11" borderId="15" xfId="0" applyNumberFormat="1" applyFont="1" applyFill="1" applyBorder="1" applyAlignment="1">
      <alignment horizontal="center" vertical="center"/>
    </xf>
    <xf numFmtId="170" fontId="21" fillId="11" borderId="14" xfId="0" applyNumberFormat="1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/>
    </xf>
    <xf numFmtId="170" fontId="21" fillId="12" borderId="13" xfId="0" applyNumberFormat="1" applyFont="1" applyFill="1" applyBorder="1" applyAlignment="1">
      <alignment horizontal="center" vertical="center"/>
    </xf>
    <xf numFmtId="170" fontId="21" fillId="12" borderId="15" xfId="0" applyNumberFormat="1" applyFont="1" applyFill="1" applyBorder="1" applyAlignment="1">
      <alignment horizontal="center" vertical="center"/>
    </xf>
    <xf numFmtId="0" fontId="21" fillId="12" borderId="14" xfId="0" applyFont="1" applyFill="1" applyBorder="1"/>
    <xf numFmtId="0" fontId="16" fillId="11" borderId="13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170" fontId="21" fillId="12" borderId="14" xfId="0" applyNumberFormat="1" applyFont="1" applyFill="1" applyBorder="1" applyAlignment="1">
      <alignment horizontal="center" vertical="center"/>
    </xf>
    <xf numFmtId="0" fontId="16" fillId="12" borderId="28" xfId="0" applyFont="1" applyFill="1" applyBorder="1" applyAlignment="1">
      <alignment horizontal="center" vertical="center" wrapText="1"/>
    </xf>
    <xf numFmtId="0" fontId="16" fillId="12" borderId="30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2" fontId="15" fillId="6" borderId="12" xfId="0" applyNumberFormat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</cellXfs>
  <cellStyles count="6">
    <cellStyle name="Normal" xfId="0" builtinId="0"/>
    <cellStyle name="Normal 2 2" xfId="4" xr:uid="{00000000-0005-0000-0000-000001000000}"/>
    <cellStyle name="Normal_Orcamento_Obra-2-4" xfId="5" xr:uid="{00000000-0005-0000-0000-000002000000}"/>
    <cellStyle name="Porcentagem" xfId="2" builtinId="5"/>
    <cellStyle name="Separador de milhares 10" xfId="3" xr:uid="{00000000-0005-0000-0000-000004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339"/>
  <sheetViews>
    <sheetView tabSelected="1" zoomScale="85" zoomScaleNormal="85" workbookViewId="0"/>
  </sheetViews>
  <sheetFormatPr defaultRowHeight="15" x14ac:dyDescent="0.25"/>
  <cols>
    <col min="1" max="1" width="2.28515625" customWidth="1"/>
    <col min="2" max="2" width="7.140625" style="222" customWidth="1"/>
    <col min="3" max="3" width="42.140625" customWidth="1"/>
    <col min="4" max="4" width="6.85546875" style="1" customWidth="1"/>
    <col min="5" max="5" width="14.28515625" style="1" customWidth="1"/>
    <col min="6" max="6" width="16" style="1" customWidth="1"/>
    <col min="7" max="7" width="16.28515625" hidden="1" customWidth="1"/>
    <col min="8" max="8" width="28.42578125" customWidth="1"/>
    <col min="9" max="9" width="8.28515625" style="388" customWidth="1"/>
    <col min="10" max="10" width="14.5703125" style="168" customWidth="1"/>
    <col min="11" max="11" width="8.7109375" style="34" customWidth="1"/>
    <col min="12" max="12" width="15.28515625" style="34" customWidth="1"/>
    <col min="13" max="13" width="15.85546875" style="52" customWidth="1"/>
    <col min="14" max="16" width="19.7109375" customWidth="1"/>
    <col min="17" max="17" width="14.42578125" customWidth="1"/>
    <col min="18" max="18" width="14.28515625" customWidth="1"/>
    <col min="19" max="19" width="18.5703125" bestFit="1" customWidth="1"/>
    <col min="20" max="20" width="15.140625" bestFit="1" customWidth="1"/>
    <col min="21" max="21" width="16" customWidth="1"/>
    <col min="22" max="22" width="18.5703125" bestFit="1" customWidth="1"/>
    <col min="23" max="23" width="12.85546875" bestFit="1" customWidth="1"/>
    <col min="24" max="24" width="13.28515625" customWidth="1"/>
    <col min="25" max="25" width="12.7109375" customWidth="1"/>
    <col min="26" max="26" width="12.85546875" bestFit="1" customWidth="1"/>
    <col min="27" max="27" width="15.140625" bestFit="1" customWidth="1"/>
    <col min="28" max="28" width="10.28515625" bestFit="1" customWidth="1"/>
    <col min="29" max="29" width="15" customWidth="1"/>
    <col min="31" max="31" width="9.140625" customWidth="1"/>
    <col min="32" max="32" width="14.28515625" customWidth="1"/>
    <col min="33" max="33" width="12.7109375" bestFit="1" customWidth="1"/>
    <col min="36" max="36" width="15.140625" customWidth="1"/>
  </cols>
  <sheetData>
    <row r="1" spans="2:29" x14ac:dyDescent="0.25">
      <c r="I1" s="1"/>
      <c r="J1"/>
      <c r="K1"/>
      <c r="L1"/>
      <c r="M1"/>
    </row>
    <row r="2" spans="2:29" x14ac:dyDescent="0.25">
      <c r="I2" s="1"/>
      <c r="J2" s="167"/>
    </row>
    <row r="3" spans="2:29" ht="16.5" customHeight="1" x14ac:dyDescent="0.25">
      <c r="B3" s="493" t="s">
        <v>441</v>
      </c>
      <c r="C3" s="487" t="s">
        <v>221</v>
      </c>
      <c r="D3" s="487" t="s">
        <v>47</v>
      </c>
      <c r="E3" s="495" t="s">
        <v>261</v>
      </c>
      <c r="F3" s="496"/>
      <c r="H3" s="485" t="s">
        <v>220</v>
      </c>
      <c r="I3" s="485" t="s">
        <v>86</v>
      </c>
      <c r="J3" s="489" t="s">
        <v>154</v>
      </c>
      <c r="K3" s="490"/>
      <c r="L3" s="495" t="s">
        <v>263</v>
      </c>
      <c r="M3" s="485" t="s">
        <v>264</v>
      </c>
      <c r="N3" s="458"/>
      <c r="O3" s="491" t="s">
        <v>241</v>
      </c>
      <c r="P3" s="492"/>
      <c r="Q3" s="14" t="s">
        <v>3</v>
      </c>
      <c r="R3" s="14" t="s">
        <v>4</v>
      </c>
      <c r="S3" s="15" t="s">
        <v>5</v>
      </c>
      <c r="T3" s="14" t="s">
        <v>6</v>
      </c>
      <c r="U3" s="15" t="s">
        <v>7</v>
      </c>
      <c r="V3" s="15" t="s">
        <v>8</v>
      </c>
      <c r="W3" s="14" t="s">
        <v>9</v>
      </c>
      <c r="X3" s="14" t="s">
        <v>10</v>
      </c>
      <c r="Y3" s="15" t="s">
        <v>11</v>
      </c>
      <c r="Z3" s="14" t="s">
        <v>12</v>
      </c>
      <c r="AA3" s="14" t="s">
        <v>13</v>
      </c>
      <c r="AB3" s="16" t="s">
        <v>14</v>
      </c>
    </row>
    <row r="4" spans="2:29" ht="16.5" customHeight="1" x14ac:dyDescent="0.25">
      <c r="B4" s="494"/>
      <c r="C4" s="488"/>
      <c r="D4" s="488"/>
      <c r="E4" s="497"/>
      <c r="F4" s="498"/>
      <c r="H4" s="486"/>
      <c r="I4" s="486"/>
      <c r="J4" s="166" t="s">
        <v>140</v>
      </c>
      <c r="K4" s="166" t="s">
        <v>141</v>
      </c>
      <c r="L4" s="497"/>
      <c r="M4" s="486"/>
      <c r="N4" s="335"/>
      <c r="O4" s="445" t="s">
        <v>242</v>
      </c>
      <c r="P4" s="295" t="s">
        <v>243</v>
      </c>
    </row>
    <row r="5" spans="2:29" x14ac:dyDescent="0.25">
      <c r="B5" s="417"/>
      <c r="C5" s="2" t="s">
        <v>15</v>
      </c>
      <c r="D5" s="82" t="s">
        <v>0</v>
      </c>
      <c r="E5" s="201">
        <f>SUM(Q5:AB5)</f>
        <v>11073.67</v>
      </c>
      <c r="F5" s="82"/>
      <c r="H5" s="42"/>
      <c r="I5" s="385"/>
      <c r="J5" s="171"/>
      <c r="K5" s="42"/>
      <c r="L5" s="301"/>
      <c r="M5" s="423"/>
      <c r="N5" s="301"/>
      <c r="O5" s="84"/>
      <c r="P5" s="301"/>
      <c r="Q5" s="42">
        <v>956.2</v>
      </c>
      <c r="R5" s="42">
        <v>875</v>
      </c>
      <c r="S5" s="42">
        <v>1012.18</v>
      </c>
      <c r="T5" s="42">
        <v>665</v>
      </c>
      <c r="U5" s="42">
        <v>576.55999999999995</v>
      </c>
      <c r="V5" s="42">
        <v>1006.43</v>
      </c>
      <c r="W5" s="42">
        <v>1155.2</v>
      </c>
      <c r="X5" s="42">
        <v>761.4</v>
      </c>
      <c r="Y5" s="85">
        <v>676.1</v>
      </c>
      <c r="Z5" s="42">
        <v>1195.5999999999999</v>
      </c>
      <c r="AA5" s="42">
        <v>881</v>
      </c>
      <c r="AB5" s="84">
        <v>1313</v>
      </c>
    </row>
    <row r="6" spans="2:29" x14ac:dyDescent="0.25">
      <c r="B6" s="419"/>
      <c r="C6" s="6" t="s">
        <v>90</v>
      </c>
      <c r="D6" s="7" t="s">
        <v>0</v>
      </c>
      <c r="E6" s="202">
        <f>SUM(Q6:AB6)</f>
        <v>10238.18</v>
      </c>
      <c r="F6" s="7"/>
      <c r="G6" s="43"/>
      <c r="H6" s="43"/>
      <c r="I6" s="386"/>
      <c r="J6" s="172"/>
      <c r="K6" s="43"/>
      <c r="L6" s="302"/>
      <c r="M6" s="424"/>
      <c r="N6" s="302"/>
      <c r="O6" s="81"/>
      <c r="P6" s="302"/>
      <c r="Q6" s="43">
        <v>908.39</v>
      </c>
      <c r="R6" s="43">
        <v>831.25</v>
      </c>
      <c r="S6" s="43">
        <v>919.2</v>
      </c>
      <c r="T6" s="43">
        <v>631.75</v>
      </c>
      <c r="U6" s="43">
        <v>508.47</v>
      </c>
      <c r="V6" s="43">
        <v>878.78</v>
      </c>
      <c r="W6" s="43">
        <v>1097.44</v>
      </c>
      <c r="X6" s="43">
        <v>723.33</v>
      </c>
      <c r="Y6" s="86">
        <v>519.45000000000005</v>
      </c>
      <c r="Z6" s="43">
        <v>1135.82</v>
      </c>
      <c r="AA6" s="43">
        <v>836.95</v>
      </c>
      <c r="AB6" s="81">
        <v>1247.3499999999999</v>
      </c>
      <c r="AC6" s="19"/>
    </row>
    <row r="7" spans="2:29" x14ac:dyDescent="0.25">
      <c r="B7" s="418"/>
      <c r="C7" s="2" t="s">
        <v>438</v>
      </c>
      <c r="D7" s="1" t="s">
        <v>0</v>
      </c>
      <c r="E7" s="203">
        <f>SUM(Q7:AB7)</f>
        <v>3795</v>
      </c>
      <c r="G7" s="47"/>
      <c r="H7" s="47"/>
      <c r="I7" s="387"/>
      <c r="J7" s="173"/>
      <c r="K7" s="47"/>
      <c r="L7" s="303"/>
      <c r="M7" s="425"/>
      <c r="N7" s="303"/>
      <c r="O7" s="87"/>
      <c r="P7" s="303"/>
      <c r="Q7" s="47">
        <v>385</v>
      </c>
      <c r="R7" s="47">
        <v>110</v>
      </c>
      <c r="S7" s="47">
        <v>715</v>
      </c>
      <c r="T7" s="47">
        <v>330</v>
      </c>
      <c r="U7" s="47">
        <v>275</v>
      </c>
      <c r="V7" s="47">
        <v>0</v>
      </c>
      <c r="W7" s="47">
        <v>605</v>
      </c>
      <c r="X7" s="47">
        <v>55</v>
      </c>
      <c r="Y7" s="48">
        <v>0</v>
      </c>
      <c r="Z7" s="47">
        <v>385</v>
      </c>
      <c r="AA7" s="47">
        <v>605</v>
      </c>
      <c r="AB7" s="87">
        <v>330</v>
      </c>
    </row>
    <row r="8" spans="2:29" x14ac:dyDescent="0.25">
      <c r="B8" s="419"/>
      <c r="C8" s="6" t="s">
        <v>439</v>
      </c>
      <c r="D8" s="7" t="s">
        <v>0</v>
      </c>
      <c r="E8" s="202">
        <f>SUM(Q8:AB8)</f>
        <v>6443.18</v>
      </c>
      <c r="F8" s="7"/>
      <c r="G8" s="43"/>
      <c r="H8" s="43"/>
      <c r="I8" s="386"/>
      <c r="J8" s="172"/>
      <c r="K8" s="43"/>
      <c r="L8" s="302"/>
      <c r="M8" s="424"/>
      <c r="N8" s="302"/>
      <c r="O8" s="81"/>
      <c r="P8" s="302"/>
      <c r="Q8" s="43">
        <f>Q6-Q7</f>
        <v>523.39</v>
      </c>
      <c r="R8" s="43">
        <f t="shared" ref="R8:AB8" si="0">R6-R7</f>
        <v>721.25</v>
      </c>
      <c r="S8" s="43">
        <f t="shared" si="0"/>
        <v>204.20000000000005</v>
      </c>
      <c r="T8" s="43">
        <f t="shared" si="0"/>
        <v>301.75</v>
      </c>
      <c r="U8" s="43">
        <f t="shared" si="0"/>
        <v>233.47000000000003</v>
      </c>
      <c r="V8" s="43">
        <f t="shared" si="0"/>
        <v>878.78</v>
      </c>
      <c r="W8" s="43">
        <f t="shared" si="0"/>
        <v>492.44000000000005</v>
      </c>
      <c r="X8" s="43">
        <f t="shared" si="0"/>
        <v>668.33</v>
      </c>
      <c r="Y8" s="43">
        <f t="shared" si="0"/>
        <v>519.45000000000005</v>
      </c>
      <c r="Z8" s="43">
        <f t="shared" si="0"/>
        <v>750.81999999999994</v>
      </c>
      <c r="AA8" s="43">
        <f t="shared" si="0"/>
        <v>231.95000000000005</v>
      </c>
      <c r="AB8" s="81">
        <f t="shared" si="0"/>
        <v>917.34999999999991</v>
      </c>
    </row>
    <row r="9" spans="2:29" x14ac:dyDescent="0.25">
      <c r="B9" s="417"/>
      <c r="I9" s="1"/>
      <c r="J9" s="167"/>
      <c r="L9" s="303"/>
      <c r="M9" s="425"/>
      <c r="N9" s="304"/>
      <c r="O9" s="18"/>
      <c r="P9" s="304"/>
    </row>
    <row r="10" spans="2:29" s="204" customFormat="1" ht="15" customHeight="1" x14ac:dyDescent="0.25">
      <c r="B10" s="418">
        <v>1</v>
      </c>
      <c r="C10" s="94" t="s">
        <v>125</v>
      </c>
      <c r="D10" s="1"/>
      <c r="E10" s="38" t="s">
        <v>169</v>
      </c>
      <c r="F10" s="109"/>
      <c r="G10"/>
      <c r="H10"/>
      <c r="I10" s="388"/>
      <c r="J10" s="249"/>
      <c r="K10" s="37"/>
      <c r="L10" s="318">
        <f>L11+L13</f>
        <v>19984175.57260735</v>
      </c>
      <c r="M10" s="426"/>
      <c r="N10" s="305"/>
      <c r="O10" s="446">
        <f t="shared" ref="O10:P10" si="1">O11+O13</f>
        <v>19984175.57260735</v>
      </c>
      <c r="P10" s="318">
        <f t="shared" si="1"/>
        <v>0</v>
      </c>
    </row>
    <row r="11" spans="2:29" ht="15" customHeight="1" x14ac:dyDescent="0.25">
      <c r="B11" s="418"/>
      <c r="C11" s="94" t="s">
        <v>171</v>
      </c>
      <c r="D11" s="1" t="s">
        <v>179</v>
      </c>
      <c r="E11" s="180">
        <f>359086/4.02/131</f>
        <v>681.86927955641647</v>
      </c>
      <c r="F11" s="181" t="s">
        <v>170</v>
      </c>
      <c r="H11" s="38"/>
      <c r="I11" s="178"/>
      <c r="J11" s="178"/>
      <c r="K11" s="179"/>
      <c r="L11" s="470">
        <f>SUM(L12)</f>
        <v>17574039.626260467</v>
      </c>
      <c r="M11" s="427"/>
      <c r="N11" s="306"/>
      <c r="O11" s="447">
        <f>L11</f>
        <v>17574039.626260467</v>
      </c>
      <c r="P11" s="306"/>
    </row>
    <row r="12" spans="2:29" ht="15" customHeight="1" x14ac:dyDescent="0.25">
      <c r="B12" s="418"/>
      <c r="C12" t="s">
        <v>21</v>
      </c>
      <c r="D12" s="1" t="s">
        <v>179</v>
      </c>
      <c r="H12" t="s">
        <v>245</v>
      </c>
      <c r="I12" s="178">
        <v>2013</v>
      </c>
      <c r="J12" s="182" t="s">
        <v>142</v>
      </c>
      <c r="K12" s="51">
        <v>2.0599709530508776</v>
      </c>
      <c r="L12" s="438">
        <f>(E11*9.5*1317)*K12</f>
        <v>17574039.626260467</v>
      </c>
      <c r="M12" s="427"/>
      <c r="N12" s="306"/>
      <c r="O12" s="447"/>
      <c r="P12" s="306"/>
    </row>
    <row r="13" spans="2:29" ht="15" customHeight="1" x14ac:dyDescent="0.25">
      <c r="B13" s="418"/>
      <c r="C13" s="94" t="s">
        <v>180</v>
      </c>
      <c r="D13" s="1" t="s">
        <v>179</v>
      </c>
      <c r="G13" s="38"/>
      <c r="H13" s="38"/>
      <c r="I13" s="178"/>
      <c r="J13" s="178"/>
      <c r="K13" s="179"/>
      <c r="L13" s="470">
        <f>SUM(L14)</f>
        <v>2410135.9463468827</v>
      </c>
      <c r="M13" s="427"/>
      <c r="N13" s="306"/>
      <c r="O13" s="447">
        <f>L13</f>
        <v>2410135.9463468827</v>
      </c>
      <c r="P13" s="306"/>
    </row>
    <row r="14" spans="2:29" ht="15" customHeight="1" x14ac:dyDescent="0.25">
      <c r="B14" s="418"/>
      <c r="C14" t="s">
        <v>21</v>
      </c>
      <c r="D14" s="1" t="s">
        <v>179</v>
      </c>
      <c r="G14" s="38"/>
      <c r="H14" t="s">
        <v>245</v>
      </c>
      <c r="I14" s="178">
        <v>2013</v>
      </c>
      <c r="J14" s="182" t="s">
        <v>142</v>
      </c>
      <c r="K14" s="51">
        <v>2.0599709530508776</v>
      </c>
      <c r="L14" s="438">
        <f>(E11*8.37*205)*K14</f>
        <v>2410135.9463468827</v>
      </c>
      <c r="M14" s="427"/>
      <c r="N14" s="306"/>
      <c r="O14" s="447"/>
      <c r="P14" s="306"/>
    </row>
    <row r="15" spans="2:29" x14ac:dyDescent="0.25">
      <c r="B15" s="419"/>
      <c r="C15" s="89" t="s">
        <v>184</v>
      </c>
      <c r="D15" s="250" t="s">
        <v>179</v>
      </c>
      <c r="E15" s="183"/>
      <c r="F15" s="184"/>
      <c r="G15" s="185"/>
      <c r="H15" s="185"/>
      <c r="I15" s="389"/>
      <c r="J15" s="186"/>
      <c r="K15" s="185"/>
      <c r="L15" s="471">
        <v>0</v>
      </c>
      <c r="M15" s="433"/>
      <c r="N15" s="310"/>
      <c r="O15" s="259"/>
      <c r="P15" s="310"/>
      <c r="R15" s="30"/>
    </row>
    <row r="16" spans="2:29" x14ac:dyDescent="0.25">
      <c r="B16" s="418"/>
      <c r="I16" s="1"/>
      <c r="J16" s="167"/>
      <c r="L16" s="472"/>
      <c r="M16" s="428"/>
      <c r="N16" s="304"/>
      <c r="O16" s="18"/>
      <c r="P16" s="304"/>
      <c r="W16" s="4">
        <v>3010139.5599999996</v>
      </c>
      <c r="Z16" s="4">
        <f>Z19+Z35+Z43</f>
        <v>39178415.713409275</v>
      </c>
    </row>
    <row r="17" spans="2:29" s="204" customFormat="1" ht="15" customHeight="1" x14ac:dyDescent="0.25">
      <c r="B17" s="418">
        <v>2</v>
      </c>
      <c r="C17" s="94" t="s">
        <v>81</v>
      </c>
      <c r="D17" s="1"/>
      <c r="E17" s="324"/>
      <c r="F17" s="325" t="s">
        <v>247</v>
      </c>
      <c r="G17"/>
      <c r="H17" s="324" t="s">
        <v>246</v>
      </c>
      <c r="I17" s="388"/>
      <c r="J17" s="262"/>
      <c r="K17" s="61"/>
      <c r="L17" s="318">
        <f>SUM(L18:L23)</f>
        <v>62223466.920393847</v>
      </c>
      <c r="M17" s="426"/>
      <c r="N17" s="305"/>
      <c r="O17" s="446">
        <f t="shared" ref="O17:P17" si="2">SUM(O18:O23)</f>
        <v>39290423.012017101</v>
      </c>
      <c r="P17" s="318">
        <f t="shared" si="2"/>
        <v>22933043.908376731</v>
      </c>
      <c r="T17" s="204" t="s">
        <v>228</v>
      </c>
      <c r="AC17" s="338">
        <f>V19+V35+V43</f>
        <v>12651353.720000001</v>
      </c>
    </row>
    <row r="18" spans="2:29" ht="15" customHeight="1" x14ac:dyDescent="0.25">
      <c r="B18" s="418"/>
      <c r="C18" t="s">
        <v>21</v>
      </c>
      <c r="D18" s="1" t="s">
        <v>179</v>
      </c>
      <c r="F18" s="57">
        <f>(L26/0.75)/8.37</f>
        <v>1024626.5440664359</v>
      </c>
      <c r="H18" t="s">
        <v>203</v>
      </c>
      <c r="I18" s="388">
        <v>2023</v>
      </c>
      <c r="J18" s="174"/>
      <c r="K18" s="110"/>
      <c r="L18" s="438">
        <f>(F18*9.05)</f>
        <v>9272870.2238012459</v>
      </c>
      <c r="M18" s="429">
        <v>60561.975124428012</v>
      </c>
      <c r="N18" s="305"/>
      <c r="O18" s="448">
        <f>L18-M18</f>
        <v>9212308.2486768179</v>
      </c>
      <c r="P18" s="305">
        <f>M18</f>
        <v>60561.975124428012</v>
      </c>
      <c r="T18">
        <v>1.1528</v>
      </c>
      <c r="V18" s="1" t="s">
        <v>268</v>
      </c>
      <c r="W18" t="s">
        <v>270</v>
      </c>
      <c r="X18" t="s">
        <v>271</v>
      </c>
      <c r="Y18" s="1" t="s">
        <v>267</v>
      </c>
      <c r="Z18" t="s">
        <v>269</v>
      </c>
    </row>
    <row r="19" spans="2:29" ht="15.75" x14ac:dyDescent="0.25">
      <c r="B19" s="418"/>
      <c r="C19" t="s">
        <v>23</v>
      </c>
      <c r="D19" s="1" t="s">
        <v>179</v>
      </c>
      <c r="E19" s="324"/>
      <c r="F19" s="41">
        <f>L27/8.37</f>
        <v>4834116.7428206066</v>
      </c>
      <c r="H19" t="s">
        <v>203</v>
      </c>
      <c r="I19" s="388">
        <v>2013</v>
      </c>
      <c r="L19" s="473">
        <f>F19*9.05</f>
        <v>43748756.522526495</v>
      </c>
      <c r="M19" s="429">
        <f>Z19</f>
        <v>21516460.064442202</v>
      </c>
      <c r="N19" s="305"/>
      <c r="O19" s="448">
        <f t="shared" ref="O19:O23" si="3">L19-M19</f>
        <v>22232296.458084293</v>
      </c>
      <c r="P19" s="305">
        <f t="shared" ref="P19:P23" si="4">M19</f>
        <v>21516460.064442202</v>
      </c>
      <c r="Q19" s="296" t="s">
        <v>223</v>
      </c>
      <c r="R19" s="257">
        <v>8601161.8533445336</v>
      </c>
      <c r="S19" s="258">
        <f>R19*W21</f>
        <v>18664521.221757635</v>
      </c>
      <c r="T19" s="267">
        <f>S19*$T$18</f>
        <v>21516460.064442202</v>
      </c>
      <c r="V19" s="4">
        <v>6599459.0800000001</v>
      </c>
      <c r="W19" s="4">
        <f>X19-V19</f>
        <v>2001702.7733445335</v>
      </c>
      <c r="X19" s="4">
        <f>R19</f>
        <v>8601161.8533445336</v>
      </c>
      <c r="Y19" s="4">
        <f>X19*W21</f>
        <v>18664521.221757635</v>
      </c>
      <c r="Z19" s="4">
        <f>Y19*T18</f>
        <v>21516460.064442202</v>
      </c>
      <c r="AC19">
        <f>V19/AC17</f>
        <v>0.52164054741171206</v>
      </c>
    </row>
    <row r="20" spans="2:29" ht="15.75" x14ac:dyDescent="0.25">
      <c r="B20" s="418"/>
      <c r="C20" t="s">
        <v>22</v>
      </c>
      <c r="D20" s="1" t="s">
        <v>179</v>
      </c>
      <c r="E20" s="324"/>
      <c r="F20" s="41">
        <f>L28/8.37</f>
        <v>115926.86188999999</v>
      </c>
      <c r="H20" t="s">
        <v>203</v>
      </c>
      <c r="I20" s="388">
        <v>2023</v>
      </c>
      <c r="J20" s="174"/>
      <c r="K20" s="53"/>
      <c r="L20" s="473">
        <f>F20*9.05</f>
        <v>1049138.1001044998</v>
      </c>
      <c r="M20" s="429">
        <v>310527.97243776004</v>
      </c>
      <c r="N20" s="305"/>
      <c r="O20" s="448">
        <f t="shared" si="3"/>
        <v>738610.12766673975</v>
      </c>
      <c r="P20" s="305">
        <f t="shared" si="4"/>
        <v>310527.97243776004</v>
      </c>
      <c r="Q20" s="6"/>
      <c r="R20" s="6"/>
      <c r="S20" s="259"/>
    </row>
    <row r="21" spans="2:29" ht="15.75" x14ac:dyDescent="0.25">
      <c r="B21" s="418"/>
      <c r="C21" t="s">
        <v>24</v>
      </c>
      <c r="D21" s="1" t="s">
        <v>179</v>
      </c>
      <c r="E21" s="324"/>
      <c r="F21" s="41">
        <f>L29/8.37</f>
        <v>577823.62584406207</v>
      </c>
      <c r="H21" t="s">
        <v>203</v>
      </c>
      <c r="I21" s="388">
        <v>2023</v>
      </c>
      <c r="J21" s="174"/>
      <c r="K21" s="53"/>
      <c r="L21" s="438">
        <f>F21*9.05</f>
        <v>5229303.8138887621</v>
      </c>
      <c r="M21" s="429">
        <v>591474.31817672029</v>
      </c>
      <c r="N21" s="459"/>
      <c r="O21" s="448">
        <f t="shared" si="3"/>
        <v>4637829.4957120419</v>
      </c>
      <c r="P21" s="305">
        <f t="shared" si="4"/>
        <v>591474.31817672029</v>
      </c>
      <c r="V21" s="262" t="s">
        <v>224</v>
      </c>
      <c r="W21" s="61">
        <v>2.17</v>
      </c>
    </row>
    <row r="22" spans="2:29" ht="15.75" x14ac:dyDescent="0.25">
      <c r="B22" s="418"/>
      <c r="C22" t="s">
        <v>25</v>
      </c>
      <c r="D22" s="1" t="s">
        <v>179</v>
      </c>
      <c r="E22" s="324"/>
      <c r="F22" s="57">
        <f>L30/8.37</f>
        <v>307657.99925666658</v>
      </c>
      <c r="H22" t="s">
        <v>203</v>
      </c>
      <c r="I22" s="388">
        <v>2023</v>
      </c>
      <c r="J22" s="174"/>
      <c r="K22" s="54"/>
      <c r="L22" s="438">
        <f>F22*9.05</f>
        <v>2784304.8932728325</v>
      </c>
      <c r="M22" s="429">
        <v>314926.21139562014</v>
      </c>
      <c r="N22" s="305"/>
      <c r="O22" s="448">
        <f t="shared" si="3"/>
        <v>2469378.6818772126</v>
      </c>
      <c r="P22" s="305">
        <f t="shared" si="4"/>
        <v>314926.21139562014</v>
      </c>
      <c r="S22" s="4">
        <f>M19+M35+M43</f>
        <v>39178415.713409275</v>
      </c>
      <c r="V22" t="s">
        <v>228</v>
      </c>
      <c r="W22">
        <f>T18</f>
        <v>1.1528</v>
      </c>
    </row>
    <row r="23" spans="2:29" ht="15.75" x14ac:dyDescent="0.25">
      <c r="B23" s="419"/>
      <c r="C23" s="89" t="s">
        <v>184</v>
      </c>
      <c r="D23" s="55" t="s">
        <v>179</v>
      </c>
      <c r="E23" s="77"/>
      <c r="F23" s="76"/>
      <c r="G23" s="76"/>
      <c r="H23" s="88" t="s">
        <v>203</v>
      </c>
      <c r="I23" s="55">
        <v>2023</v>
      </c>
      <c r="J23" s="176"/>
      <c r="K23" s="88"/>
      <c r="L23" s="430">
        <f>M23</f>
        <v>139093.36679999999</v>
      </c>
      <c r="M23" s="430">
        <v>139093.36679999999</v>
      </c>
      <c r="N23" s="315"/>
      <c r="O23" s="449">
        <f t="shared" si="3"/>
        <v>0</v>
      </c>
      <c r="P23" s="311">
        <f t="shared" si="4"/>
        <v>139093.36679999999</v>
      </c>
    </row>
    <row r="24" spans="2:29" x14ac:dyDescent="0.25">
      <c r="B24" s="418"/>
      <c r="I24" s="1"/>
      <c r="J24" s="167"/>
      <c r="L24" s="472"/>
      <c r="M24" s="428"/>
      <c r="N24" s="304"/>
      <c r="O24" s="18"/>
      <c r="P24" s="304"/>
    </row>
    <row r="25" spans="2:29" x14ac:dyDescent="0.25">
      <c r="B25" s="418">
        <v>3</v>
      </c>
      <c r="C25" s="94" t="s">
        <v>84</v>
      </c>
      <c r="J25" s="293"/>
      <c r="K25" s="37"/>
      <c r="L25" s="318">
        <f>SUM(L26:L31)</f>
        <v>55532723.524897918</v>
      </c>
      <c r="M25" s="425"/>
      <c r="N25" s="303"/>
      <c r="O25" s="450">
        <f t="shared" ref="O25:P25" si="5">SUM(O26:O31)</f>
        <v>5788883.8173393458</v>
      </c>
      <c r="P25" s="312">
        <f t="shared" si="5"/>
        <v>49743839.70755858</v>
      </c>
    </row>
    <row r="26" spans="2:29" x14ac:dyDescent="0.25">
      <c r="B26" s="418"/>
      <c r="C26" t="s">
        <v>56</v>
      </c>
      <c r="D26" s="1" t="s">
        <v>179</v>
      </c>
      <c r="E26" s="40" t="s">
        <v>435</v>
      </c>
      <c r="H26" t="s">
        <v>203</v>
      </c>
      <c r="I26" s="388">
        <v>2023</v>
      </c>
      <c r="J26" s="174"/>
      <c r="K26" s="110"/>
      <c r="L26" s="438">
        <f>(M26/(1-0.9))</f>
        <v>6432093.1303770505</v>
      </c>
      <c r="M26" s="429">
        <v>643209.31303770491</v>
      </c>
      <c r="N26" s="303"/>
      <c r="O26" s="87">
        <f>L26-M26</f>
        <v>5788883.8173393458</v>
      </c>
      <c r="P26" s="303">
        <f>M26</f>
        <v>643209.31303770491</v>
      </c>
    </row>
    <row r="27" spans="2:29" x14ac:dyDescent="0.25">
      <c r="B27" s="418"/>
      <c r="C27" t="s">
        <v>23</v>
      </c>
      <c r="D27" s="1" t="s">
        <v>179</v>
      </c>
      <c r="H27" t="s">
        <v>203</v>
      </c>
      <c r="I27" s="388">
        <v>2023</v>
      </c>
      <c r="J27" s="262"/>
      <c r="K27" s="61"/>
      <c r="L27" s="473">
        <f>M27</f>
        <v>40461557.137408473</v>
      </c>
      <c r="M27" s="429">
        <v>40461557.137408473</v>
      </c>
      <c r="N27" s="303"/>
      <c r="O27" s="87">
        <f t="shared" ref="O27:O31" si="6">L27-M27</f>
        <v>0</v>
      </c>
      <c r="P27" s="303">
        <f t="shared" ref="P27:P31" si="7">M27</f>
        <v>40461557.137408473</v>
      </c>
      <c r="Q27" s="296" t="s">
        <v>226</v>
      </c>
      <c r="R27" s="383">
        <v>16174426.496499997</v>
      </c>
      <c r="S27" s="258">
        <f>R27*K27</f>
        <v>0</v>
      </c>
      <c r="T27" s="267">
        <f>S27*$T$18</f>
        <v>0</v>
      </c>
    </row>
    <row r="28" spans="2:29" x14ac:dyDescent="0.25">
      <c r="B28" s="418"/>
      <c r="C28" t="s">
        <v>22</v>
      </c>
      <c r="D28" s="1" t="s">
        <v>179</v>
      </c>
      <c r="H28" t="s">
        <v>203</v>
      </c>
      <c r="I28" s="388">
        <v>2023</v>
      </c>
      <c r="J28" s="174"/>
      <c r="K28" s="110"/>
      <c r="L28" s="473">
        <f>M28</f>
        <v>970307.83401929983</v>
      </c>
      <c r="M28" s="429">
        <v>970307.83401929983</v>
      </c>
      <c r="N28" s="303"/>
      <c r="O28" s="87">
        <f t="shared" si="6"/>
        <v>0</v>
      </c>
      <c r="P28" s="303">
        <f t="shared" si="7"/>
        <v>970307.83401929983</v>
      </c>
      <c r="Q28" s="6"/>
      <c r="R28" s="6"/>
      <c r="S28" s="259"/>
    </row>
    <row r="29" spans="2:29" x14ac:dyDescent="0.25">
      <c r="B29" s="418"/>
      <c r="C29" t="s">
        <v>24</v>
      </c>
      <c r="D29" s="1" t="s">
        <v>179</v>
      </c>
      <c r="H29" t="s">
        <v>203</v>
      </c>
      <c r="I29" s="388">
        <v>2023</v>
      </c>
      <c r="J29" s="174"/>
      <c r="K29" s="110"/>
      <c r="L29" s="473">
        <f t="shared" ref="L29:L30" si="8">M29</f>
        <v>4836383.7483147988</v>
      </c>
      <c r="M29" s="431">
        <v>4836383.7483147988</v>
      </c>
      <c r="N29" s="303"/>
      <c r="O29" s="87">
        <f t="shared" si="6"/>
        <v>0</v>
      </c>
      <c r="P29" s="303">
        <f t="shared" si="7"/>
        <v>4836383.7483147988</v>
      </c>
    </row>
    <row r="30" spans="2:29" x14ac:dyDescent="0.25">
      <c r="B30" s="418"/>
      <c r="C30" t="s">
        <v>25</v>
      </c>
      <c r="D30" s="1" t="s">
        <v>179</v>
      </c>
      <c r="E30" s="56">
        <v>0.3</v>
      </c>
      <c r="H30" t="s">
        <v>203</v>
      </c>
      <c r="I30" s="388">
        <v>2023</v>
      </c>
      <c r="J30" s="174"/>
      <c r="K30" s="110"/>
      <c r="L30" s="473">
        <f t="shared" si="8"/>
        <v>2575097.453778299</v>
      </c>
      <c r="M30" s="431">
        <v>2575097.453778299</v>
      </c>
      <c r="N30" s="304"/>
      <c r="O30" s="87">
        <f t="shared" si="6"/>
        <v>0</v>
      </c>
      <c r="P30" s="303">
        <f t="shared" si="7"/>
        <v>2575097.453778299</v>
      </c>
    </row>
    <row r="31" spans="2:29" x14ac:dyDescent="0.25">
      <c r="B31" s="419"/>
      <c r="C31" s="89" t="s">
        <v>184</v>
      </c>
      <c r="D31" s="55" t="s">
        <v>179</v>
      </c>
      <c r="E31" s="77"/>
      <c r="F31" s="76"/>
      <c r="G31" s="88"/>
      <c r="H31" s="88" t="s">
        <v>203</v>
      </c>
      <c r="I31" s="55">
        <v>2023</v>
      </c>
      <c r="J31" s="176"/>
      <c r="K31" s="88"/>
      <c r="L31" s="430">
        <f>M31</f>
        <v>257284.22099999999</v>
      </c>
      <c r="M31" s="430">
        <v>257284.22099999999</v>
      </c>
      <c r="N31" s="315"/>
      <c r="O31" s="81">
        <f t="shared" si="6"/>
        <v>0</v>
      </c>
      <c r="P31" s="302">
        <f t="shared" si="7"/>
        <v>257284.22099999999</v>
      </c>
    </row>
    <row r="32" spans="2:29" x14ac:dyDescent="0.25">
      <c r="B32" s="418"/>
      <c r="I32" s="1"/>
      <c r="J32" s="167"/>
      <c r="L32" s="472"/>
      <c r="M32" s="428"/>
      <c r="N32" s="304"/>
      <c r="O32" s="18"/>
      <c r="P32" s="304"/>
    </row>
    <row r="33" spans="2:29" x14ac:dyDescent="0.25">
      <c r="B33" s="418">
        <v>4</v>
      </c>
      <c r="C33" s="94" t="s">
        <v>82</v>
      </c>
      <c r="J33" s="249"/>
      <c r="K33" s="37"/>
      <c r="L33" s="318">
        <f>SUM(L34:L39)</f>
        <v>20553317.937015414</v>
      </c>
      <c r="M33" s="425"/>
      <c r="N33" s="303"/>
      <c r="O33" s="450">
        <f t="shared" ref="O33:P33" si="9">SUM(O34:O39)</f>
        <v>2360371.2316833371</v>
      </c>
      <c r="P33" s="312">
        <f t="shared" si="9"/>
        <v>18192946.705332074</v>
      </c>
      <c r="Q33" s="36"/>
    </row>
    <row r="34" spans="2:29" x14ac:dyDescent="0.25">
      <c r="B34" s="418"/>
      <c r="C34" t="s">
        <v>21</v>
      </c>
      <c r="D34" s="1" t="s">
        <v>179</v>
      </c>
      <c r="E34" s="40" t="s">
        <v>436</v>
      </c>
      <c r="H34" t="s">
        <v>203</v>
      </c>
      <c r="I34" s="388">
        <v>2023</v>
      </c>
      <c r="J34" s="174"/>
      <c r="K34" s="110"/>
      <c r="L34" s="438">
        <f>(M34/(1-0.85))</f>
        <v>2776907.3313921615</v>
      </c>
      <c r="M34" s="429">
        <v>416536.0997088243</v>
      </c>
      <c r="N34" s="303"/>
      <c r="O34" s="87">
        <f>L34-M34</f>
        <v>2360371.2316833371</v>
      </c>
      <c r="P34" s="303">
        <f>M34</f>
        <v>416536.0997088243</v>
      </c>
      <c r="R34">
        <f>3.95/5</f>
        <v>0.79</v>
      </c>
      <c r="V34" s="1" t="s">
        <v>268</v>
      </c>
      <c r="W34" t="s">
        <v>270</v>
      </c>
      <c r="X34" t="s">
        <v>271</v>
      </c>
      <c r="Y34" s="1" t="s">
        <v>267</v>
      </c>
      <c r="Z34" t="s">
        <v>269</v>
      </c>
    </row>
    <row r="35" spans="2:29" x14ac:dyDescent="0.25">
      <c r="B35" s="418"/>
      <c r="C35" t="s">
        <v>23</v>
      </c>
      <c r="D35" s="1" t="s">
        <v>179</v>
      </c>
      <c r="F35"/>
      <c r="H35" t="s">
        <v>203</v>
      </c>
      <c r="I35" s="388">
        <v>2023</v>
      </c>
      <c r="J35" s="262"/>
      <c r="K35" s="61"/>
      <c r="L35" s="429">
        <f>M35</f>
        <v>15577267.07909881</v>
      </c>
      <c r="M35" s="429">
        <f>Z35</f>
        <v>15577267.07909881</v>
      </c>
      <c r="N35" s="303"/>
      <c r="O35" s="87">
        <f t="shared" ref="O35:O39" si="10">L35-M35</f>
        <v>0</v>
      </c>
      <c r="P35" s="303">
        <f t="shared" ref="P35:P39" si="11">M35</f>
        <v>15577267.07909881</v>
      </c>
      <c r="Q35" s="297" t="s">
        <v>225</v>
      </c>
      <c r="R35" s="257">
        <v>6226981.3426011484</v>
      </c>
      <c r="S35" s="260">
        <f>R35*K35</f>
        <v>0</v>
      </c>
      <c r="T35" s="267">
        <f>S35*$T$18</f>
        <v>0</v>
      </c>
      <c r="V35" s="4">
        <v>5394694.4000000004</v>
      </c>
      <c r="W35" s="4">
        <f>X35-V35</f>
        <v>832286.94260114804</v>
      </c>
      <c r="X35" s="4">
        <f>R35</f>
        <v>6226981.3426011484</v>
      </c>
      <c r="Y35" s="4">
        <f>X35*W21</f>
        <v>13512549.513444491</v>
      </c>
      <c r="Z35" s="4">
        <f>Y35*T18</f>
        <v>15577267.07909881</v>
      </c>
      <c r="AC35">
        <f>V35/AC17</f>
        <v>0.42641242347621278</v>
      </c>
    </row>
    <row r="36" spans="2:29" x14ac:dyDescent="0.25">
      <c r="B36" s="418"/>
      <c r="C36" t="s">
        <v>265</v>
      </c>
      <c r="D36" s="1" t="s">
        <v>179</v>
      </c>
      <c r="H36" t="s">
        <v>203</v>
      </c>
      <c r="I36" s="388">
        <v>2023</v>
      </c>
      <c r="J36" s="174"/>
      <c r="K36" s="110"/>
      <c r="L36" s="429">
        <f>M36</f>
        <v>498825.82747871999</v>
      </c>
      <c r="M36" s="429">
        <v>498825.82747871999</v>
      </c>
      <c r="N36" s="303"/>
      <c r="O36" s="87">
        <f t="shared" si="10"/>
        <v>0</v>
      </c>
      <c r="P36" s="303">
        <f t="shared" si="11"/>
        <v>498825.82747871999</v>
      </c>
      <c r="Q36" s="6"/>
      <c r="R36" s="95"/>
      <c r="S36" s="261"/>
    </row>
    <row r="37" spans="2:29" x14ac:dyDescent="0.25">
      <c r="B37" s="418"/>
      <c r="C37" t="s">
        <v>24</v>
      </c>
      <c r="D37" s="1" t="s">
        <v>179</v>
      </c>
      <c r="H37" t="s">
        <v>203</v>
      </c>
      <c r="I37" s="388">
        <v>2023</v>
      </c>
      <c r="J37" s="174"/>
      <c r="K37" s="110"/>
      <c r="L37" s="429">
        <f>M37</f>
        <v>1018943.3360497601</v>
      </c>
      <c r="M37" s="429">
        <v>1018943.3360497601</v>
      </c>
      <c r="N37" s="303"/>
      <c r="O37" s="87">
        <f t="shared" si="10"/>
        <v>0</v>
      </c>
      <c r="P37" s="303">
        <f t="shared" si="11"/>
        <v>1018943.3360497601</v>
      </c>
    </row>
    <row r="38" spans="2:29" x14ac:dyDescent="0.25">
      <c r="B38" s="418"/>
      <c r="C38" t="s">
        <v>266</v>
      </c>
      <c r="D38" s="1" t="s">
        <v>179</v>
      </c>
      <c r="H38" t="s">
        <v>203</v>
      </c>
      <c r="I38" s="388">
        <v>2023</v>
      </c>
      <c r="J38" s="174"/>
      <c r="K38" s="110"/>
      <c r="L38" s="429">
        <f>M38</f>
        <v>542528.98999596003</v>
      </c>
      <c r="M38" s="429">
        <v>542528.98999596003</v>
      </c>
      <c r="N38" s="304"/>
      <c r="O38" s="87">
        <f t="shared" si="10"/>
        <v>0</v>
      </c>
      <c r="P38" s="303">
        <f t="shared" si="11"/>
        <v>542528.98999596003</v>
      </c>
      <c r="Q38" s="4">
        <f>M36+M20+M44</f>
        <v>1041781.45653708</v>
      </c>
    </row>
    <row r="39" spans="2:29" x14ac:dyDescent="0.25">
      <c r="B39" s="419"/>
      <c r="C39" s="89" t="s">
        <v>184</v>
      </c>
      <c r="D39" s="55" t="s">
        <v>179</v>
      </c>
      <c r="E39" s="77"/>
      <c r="F39" s="76"/>
      <c r="G39" s="88"/>
      <c r="H39" s="88" t="s">
        <v>203</v>
      </c>
      <c r="I39" s="55">
        <v>2023</v>
      </c>
      <c r="J39" s="176"/>
      <c r="K39" s="88"/>
      <c r="L39" s="432">
        <f>M39</f>
        <v>138845.37299999999</v>
      </c>
      <c r="M39" s="432">
        <v>138845.37299999999</v>
      </c>
      <c r="N39" s="315"/>
      <c r="O39" s="81">
        <f t="shared" si="10"/>
        <v>0</v>
      </c>
      <c r="P39" s="302">
        <f t="shared" si="11"/>
        <v>138845.37299999999</v>
      </c>
      <c r="Q39" s="4">
        <f>M43+M35+M19</f>
        <v>39178415.713409275</v>
      </c>
    </row>
    <row r="40" spans="2:29" x14ac:dyDescent="0.25">
      <c r="B40" s="418"/>
      <c r="I40" s="1"/>
      <c r="J40" s="167"/>
      <c r="L40" s="472"/>
      <c r="M40" s="428"/>
      <c r="N40" s="304"/>
      <c r="O40" s="18"/>
      <c r="P40" s="304"/>
    </row>
    <row r="41" spans="2:29" x14ac:dyDescent="0.25">
      <c r="B41" s="418">
        <v>5</v>
      </c>
      <c r="C41" s="94" t="s">
        <v>83</v>
      </c>
      <c r="F41" s="325" t="s">
        <v>235</v>
      </c>
      <c r="J41" s="249"/>
      <c r="K41" s="37"/>
      <c r="L41" s="318">
        <f>SUM(L42:L47)</f>
        <v>6556865.7562045669</v>
      </c>
      <c r="M41" s="425"/>
      <c r="N41" s="303"/>
      <c r="O41" s="450">
        <f t="shared" ref="O41:P41" si="12">SUM(O42:O47)</f>
        <v>2052572.7299156468</v>
      </c>
      <c r="P41" s="312">
        <f t="shared" si="12"/>
        <v>4504293.0262889201</v>
      </c>
      <c r="R41" s="30"/>
    </row>
    <row r="42" spans="2:29" x14ac:dyDescent="0.25">
      <c r="B42" s="418"/>
      <c r="C42" t="s">
        <v>21</v>
      </c>
      <c r="D42" s="1" t="s">
        <v>179</v>
      </c>
      <c r="E42" s="40" t="s">
        <v>435</v>
      </c>
      <c r="F42" s="29">
        <f>L42/0.836</f>
        <v>2728033.9313073456</v>
      </c>
      <c r="H42" t="s">
        <v>203</v>
      </c>
      <c r="I42" s="388">
        <v>2023</v>
      </c>
      <c r="J42" s="174"/>
      <c r="K42" s="110"/>
      <c r="L42" s="438">
        <f>(M42/(1-0.9))</f>
        <v>2280636.3665729407</v>
      </c>
      <c r="M42" s="429">
        <v>228063.636657294</v>
      </c>
      <c r="N42" s="303"/>
      <c r="O42" s="87">
        <f>L42-M42</f>
        <v>2052572.7299156468</v>
      </c>
      <c r="P42" s="303">
        <f>M42</f>
        <v>228063.636657294</v>
      </c>
      <c r="R42">
        <f>0.836/5</f>
        <v>0.16719999999999999</v>
      </c>
      <c r="V42" s="1" t="s">
        <v>268</v>
      </c>
      <c r="W42" t="s">
        <v>270</v>
      </c>
      <c r="X42" t="s">
        <v>271</v>
      </c>
      <c r="Y42" s="1" t="s">
        <v>267</v>
      </c>
      <c r="Z42" t="s">
        <v>269</v>
      </c>
    </row>
    <row r="43" spans="2:29" x14ac:dyDescent="0.25">
      <c r="B43" s="418"/>
      <c r="C43" t="s">
        <v>23</v>
      </c>
      <c r="D43" s="1" t="s">
        <v>179</v>
      </c>
      <c r="F43" s="29">
        <f>L43/0.836</f>
        <v>2493646.6146749603</v>
      </c>
      <c r="H43" t="s">
        <v>203</v>
      </c>
      <c r="I43" s="388">
        <v>2023</v>
      </c>
      <c r="J43" s="262"/>
      <c r="K43" s="61"/>
      <c r="L43" s="474">
        <f>M43</f>
        <v>2084688.5698682668</v>
      </c>
      <c r="M43" s="429">
        <f>Z43</f>
        <v>2084688.5698682668</v>
      </c>
      <c r="N43" s="303"/>
      <c r="O43" s="87">
        <f t="shared" ref="O43:O47" si="13">L43-M43</f>
        <v>0</v>
      </c>
      <c r="P43" s="303">
        <f t="shared" ref="P43:P47" si="14">M43</f>
        <v>2084688.5698682668</v>
      </c>
      <c r="Q43" s="298" t="s">
        <v>227</v>
      </c>
      <c r="R43" s="257">
        <v>833350.08405431896</v>
      </c>
      <c r="S43" s="260">
        <f>R43*K43</f>
        <v>0</v>
      </c>
      <c r="T43" s="267">
        <f>S43*$T$18</f>
        <v>0</v>
      </c>
      <c r="V43" s="4">
        <v>657200.24000000011</v>
      </c>
      <c r="W43" s="4">
        <f>X43-V43</f>
        <v>176149.84405431885</v>
      </c>
      <c r="X43" s="4">
        <f>R43</f>
        <v>833350.08405431896</v>
      </c>
      <c r="Y43" s="4">
        <f>X43*W21</f>
        <v>1808369.682397872</v>
      </c>
      <c r="Z43" s="4">
        <f>Y43*T18</f>
        <v>2084688.5698682668</v>
      </c>
      <c r="AC43">
        <f>V43/AC17</f>
        <v>5.194702911207514E-2</v>
      </c>
    </row>
    <row r="44" spans="2:29" x14ac:dyDescent="0.25">
      <c r="B44" s="418"/>
      <c r="C44" t="s">
        <v>265</v>
      </c>
      <c r="D44" s="1" t="s">
        <v>179</v>
      </c>
      <c r="F44" s="29">
        <f>L44/0.836</f>
        <v>278023.51270406693</v>
      </c>
      <c r="H44" t="s">
        <v>203</v>
      </c>
      <c r="I44" s="388">
        <v>2023</v>
      </c>
      <c r="J44" s="174"/>
      <c r="K44" s="110"/>
      <c r="L44" s="429">
        <f>M44</f>
        <v>232427.65662059997</v>
      </c>
      <c r="M44" s="429">
        <v>232427.65662059997</v>
      </c>
      <c r="N44" s="303"/>
      <c r="O44" s="87">
        <f t="shared" si="13"/>
        <v>0</v>
      </c>
      <c r="P44" s="303">
        <f t="shared" si="14"/>
        <v>232427.65662059997</v>
      </c>
      <c r="Q44" s="6"/>
      <c r="R44" s="95"/>
      <c r="S44" s="261"/>
    </row>
    <row r="45" spans="2:29" x14ac:dyDescent="0.25">
      <c r="B45" s="418"/>
      <c r="C45" t="s">
        <v>24</v>
      </c>
      <c r="D45" s="1" t="s">
        <v>179</v>
      </c>
      <c r="F45" s="29">
        <f>L45/0.836</f>
        <v>1458008.9829115791</v>
      </c>
      <c r="H45" t="s">
        <v>203</v>
      </c>
      <c r="I45" s="388">
        <v>2023</v>
      </c>
      <c r="J45" s="174"/>
      <c r="K45" s="110"/>
      <c r="L45" s="429">
        <f>M45</f>
        <v>1218895.50971408</v>
      </c>
      <c r="M45" s="429">
        <v>1218895.50971408</v>
      </c>
      <c r="N45" s="303"/>
      <c r="O45" s="87">
        <f t="shared" si="13"/>
        <v>0</v>
      </c>
      <c r="P45" s="303">
        <f t="shared" si="14"/>
        <v>1218895.50971408</v>
      </c>
    </row>
    <row r="46" spans="2:29" x14ac:dyDescent="0.25">
      <c r="B46" s="418"/>
      <c r="C46" t="s">
        <v>266</v>
      </c>
      <c r="D46" s="1" t="s">
        <v>179</v>
      </c>
      <c r="F46" s="29">
        <f>L46/0.836</f>
        <v>776306.30960368412</v>
      </c>
      <c r="H46" t="s">
        <v>203</v>
      </c>
      <c r="I46" s="388">
        <v>2023</v>
      </c>
      <c r="J46" s="174"/>
      <c r="K46" s="110"/>
      <c r="L46" s="429">
        <f>M46</f>
        <v>648992.07482867991</v>
      </c>
      <c r="M46" s="429">
        <v>648992.07482867991</v>
      </c>
      <c r="N46" s="304"/>
      <c r="O46" s="87">
        <f t="shared" si="13"/>
        <v>0</v>
      </c>
      <c r="P46" s="303">
        <f t="shared" si="14"/>
        <v>648992.07482867991</v>
      </c>
      <c r="T46" s="208"/>
    </row>
    <row r="47" spans="2:29" x14ac:dyDescent="0.25">
      <c r="B47" s="419"/>
      <c r="C47" s="89" t="s">
        <v>184</v>
      </c>
      <c r="D47" s="55" t="s">
        <v>179</v>
      </c>
      <c r="E47" s="77"/>
      <c r="F47" s="76"/>
      <c r="G47" s="88"/>
      <c r="H47" s="88" t="s">
        <v>203</v>
      </c>
      <c r="I47" s="55">
        <v>2023</v>
      </c>
      <c r="J47" s="176"/>
      <c r="K47" s="88"/>
      <c r="L47" s="432">
        <f>M47</f>
        <v>91225.578600000008</v>
      </c>
      <c r="M47" s="432">
        <v>91225.578600000008</v>
      </c>
      <c r="N47" s="315"/>
      <c r="O47" s="81">
        <f t="shared" si="13"/>
        <v>0</v>
      </c>
      <c r="P47" s="302">
        <f t="shared" si="14"/>
        <v>91225.578600000008</v>
      </c>
      <c r="R47" s="4"/>
    </row>
    <row r="48" spans="2:29" x14ac:dyDescent="0.25">
      <c r="B48" s="418"/>
      <c r="I48" s="1"/>
      <c r="J48" s="167"/>
      <c r="L48" s="472"/>
      <c r="M48" s="428"/>
      <c r="N48" s="304"/>
      <c r="O48" s="18"/>
      <c r="P48" s="304"/>
      <c r="R48" s="4"/>
      <c r="S48" s="4"/>
    </row>
    <row r="49" spans="2:28" x14ac:dyDescent="0.25">
      <c r="B49" s="418">
        <v>6</v>
      </c>
      <c r="C49" s="94" t="s">
        <v>177</v>
      </c>
      <c r="J49" s="249"/>
      <c r="K49" s="37"/>
      <c r="L49" s="318">
        <f>SUM(L50:L55)</f>
        <v>42121515.236816138</v>
      </c>
      <c r="M49" s="429"/>
      <c r="N49" s="303"/>
      <c r="O49" s="450">
        <f t="shared" ref="O49" si="15">SUM(O50:O55)</f>
        <v>0</v>
      </c>
      <c r="P49" s="312">
        <f t="shared" ref="P49" si="16">SUM(P50:P55)</f>
        <v>42121515.236816138</v>
      </c>
      <c r="R49" s="30"/>
    </row>
    <row r="50" spans="2:28" x14ac:dyDescent="0.25">
      <c r="B50" s="418"/>
      <c r="C50" t="s">
        <v>21</v>
      </c>
      <c r="D50" s="1" t="s">
        <v>179</v>
      </c>
      <c r="H50" t="s">
        <v>203</v>
      </c>
      <c r="I50" s="388">
        <v>2023</v>
      </c>
      <c r="J50" s="174"/>
      <c r="K50" s="110"/>
      <c r="L50" s="435">
        <f>M50</f>
        <v>8642810.8664470278</v>
      </c>
      <c r="M50" s="429">
        <v>8642810.8664470278</v>
      </c>
      <c r="N50" s="304"/>
      <c r="O50" s="5">
        <f>L50-M50</f>
        <v>0</v>
      </c>
      <c r="P50" s="309">
        <f>M50</f>
        <v>8642810.8664470278</v>
      </c>
      <c r="R50" s="9"/>
      <c r="S50" s="29"/>
    </row>
    <row r="51" spans="2:28" x14ac:dyDescent="0.25">
      <c r="B51" s="418"/>
      <c r="C51" t="s">
        <v>23</v>
      </c>
      <c r="D51" s="1" t="s">
        <v>179</v>
      </c>
      <c r="H51" t="s">
        <v>203</v>
      </c>
      <c r="I51" s="388">
        <v>2023</v>
      </c>
      <c r="J51" s="174"/>
      <c r="K51" s="110"/>
      <c r="L51" s="435">
        <f t="shared" ref="L51:L54" si="17">M51</f>
        <v>13580061.544892583</v>
      </c>
      <c r="M51" s="429">
        <v>13580061.544892583</v>
      </c>
      <c r="N51" s="304"/>
      <c r="O51" s="5">
        <f t="shared" ref="O51:O55" si="18">L51-M51</f>
        <v>0</v>
      </c>
      <c r="P51" s="309">
        <f t="shared" ref="P51:P55" si="19">M51</f>
        <v>13580061.544892583</v>
      </c>
      <c r="R51" s="30"/>
    </row>
    <row r="52" spans="2:28" x14ac:dyDescent="0.25">
      <c r="B52" s="418"/>
      <c r="C52" t="s">
        <v>265</v>
      </c>
      <c r="D52" s="1" t="s">
        <v>179</v>
      </c>
      <c r="H52" t="s">
        <v>203</v>
      </c>
      <c r="I52" s="388">
        <v>2023</v>
      </c>
      <c r="J52" s="174"/>
      <c r="K52" s="110"/>
      <c r="L52" s="435">
        <f t="shared" si="17"/>
        <v>2202047.9741384201</v>
      </c>
      <c r="M52" s="429">
        <v>2202047.9741384201</v>
      </c>
      <c r="N52" s="304"/>
      <c r="O52" s="5">
        <f t="shared" si="18"/>
        <v>0</v>
      </c>
      <c r="P52" s="309">
        <f t="shared" si="19"/>
        <v>2202047.9741384201</v>
      </c>
      <c r="R52" s="36"/>
    </row>
    <row r="53" spans="2:28" x14ac:dyDescent="0.25">
      <c r="B53" s="418"/>
      <c r="C53" t="s">
        <v>24</v>
      </c>
      <c r="D53" s="1" t="s">
        <v>179</v>
      </c>
      <c r="H53" t="s">
        <v>203</v>
      </c>
      <c r="I53" s="388">
        <v>2023</v>
      </c>
      <c r="J53" s="174"/>
      <c r="K53" s="110"/>
      <c r="L53" s="435">
        <f t="shared" si="17"/>
        <v>11547964.759777293</v>
      </c>
      <c r="M53" s="429">
        <v>11547964.759777293</v>
      </c>
      <c r="N53" s="304"/>
      <c r="O53" s="5">
        <f t="shared" si="18"/>
        <v>0</v>
      </c>
      <c r="P53" s="309">
        <f t="shared" si="19"/>
        <v>11547964.759777293</v>
      </c>
      <c r="R53" s="36"/>
    </row>
    <row r="54" spans="2:28" x14ac:dyDescent="0.25">
      <c r="B54" s="418"/>
      <c r="C54" t="s">
        <v>266</v>
      </c>
      <c r="D54" s="1" t="s">
        <v>179</v>
      </c>
      <c r="H54" t="s">
        <v>203</v>
      </c>
      <c r="I54" s="388">
        <v>2023</v>
      </c>
      <c r="J54" s="174"/>
      <c r="K54" s="110"/>
      <c r="L54" s="435">
        <f t="shared" si="17"/>
        <v>6148630.0915608108</v>
      </c>
      <c r="M54" s="429">
        <v>6148630.0915608108</v>
      </c>
      <c r="N54" s="304"/>
      <c r="O54" s="5">
        <f t="shared" si="18"/>
        <v>0</v>
      </c>
      <c r="P54" s="309">
        <f t="shared" si="19"/>
        <v>6148630.0915608108</v>
      </c>
      <c r="R54" s="30"/>
    </row>
    <row r="55" spans="2:28" x14ac:dyDescent="0.25">
      <c r="B55" s="419"/>
      <c r="C55" s="89" t="s">
        <v>184</v>
      </c>
      <c r="D55" s="55" t="s">
        <v>179</v>
      </c>
      <c r="E55" s="77"/>
      <c r="F55" s="76"/>
      <c r="G55" s="88"/>
      <c r="H55" s="88"/>
      <c r="I55" s="55"/>
      <c r="J55" s="176"/>
      <c r="K55" s="88"/>
      <c r="L55" s="433">
        <v>0</v>
      </c>
      <c r="M55" s="433">
        <f>L55</f>
        <v>0</v>
      </c>
      <c r="N55" s="310"/>
      <c r="O55" s="96">
        <f t="shared" si="18"/>
        <v>0</v>
      </c>
      <c r="P55" s="313">
        <f t="shared" si="19"/>
        <v>0</v>
      </c>
      <c r="R55" s="30"/>
    </row>
    <row r="56" spans="2:28" x14ac:dyDescent="0.25">
      <c r="B56" s="418"/>
      <c r="I56" s="1"/>
      <c r="J56" s="167"/>
      <c r="L56" s="472"/>
      <c r="M56" s="428"/>
      <c r="N56" s="304"/>
      <c r="O56" s="18"/>
      <c r="P56" s="304"/>
    </row>
    <row r="57" spans="2:28" x14ac:dyDescent="0.25">
      <c r="B57" s="418">
        <v>7</v>
      </c>
      <c r="C57" s="94" t="s">
        <v>178</v>
      </c>
      <c r="J57" s="249"/>
      <c r="K57" s="37"/>
      <c r="L57" s="318">
        <f>SUM(L58:L61)</f>
        <v>13301057.307239272</v>
      </c>
      <c r="M57" s="434"/>
      <c r="N57" s="303"/>
      <c r="O57" s="450">
        <f t="shared" ref="O57:P57" si="20">SUM(O58:O61)</f>
        <v>6669348.2641723864</v>
      </c>
      <c r="P57" s="312">
        <f t="shared" si="20"/>
        <v>6631709.0430668881</v>
      </c>
      <c r="Q57" s="4" t="s">
        <v>230</v>
      </c>
      <c r="R57" s="268">
        <f>SUM(R59:R61)</f>
        <v>51</v>
      </c>
      <c r="S57" s="47"/>
      <c r="T57" s="47"/>
      <c r="U57" s="47"/>
      <c r="V57" s="47"/>
      <c r="W57" s="47"/>
      <c r="X57" s="47"/>
      <c r="Y57" s="48"/>
      <c r="Z57" s="47"/>
      <c r="AA57" s="47"/>
      <c r="AB57" s="47"/>
    </row>
    <row r="58" spans="2:28" x14ac:dyDescent="0.25">
      <c r="B58" s="418"/>
      <c r="C58" t="s">
        <v>21</v>
      </c>
      <c r="D58" s="1" t="s">
        <v>179</v>
      </c>
      <c r="E58" s="107">
        <v>51</v>
      </c>
      <c r="F58" s="100" t="s">
        <v>98</v>
      </c>
      <c r="G58" s="4"/>
      <c r="H58" t="s">
        <v>203</v>
      </c>
      <c r="I58" s="388">
        <v>2023</v>
      </c>
      <c r="J58" s="174"/>
      <c r="K58" s="110"/>
      <c r="L58" s="438">
        <f>(M58/R59)*R57</f>
        <v>8721455.4223792739</v>
      </c>
      <c r="M58" s="429">
        <v>2052107.158206888</v>
      </c>
      <c r="N58" s="303"/>
      <c r="O58" s="87">
        <f>L58-M58</f>
        <v>6669348.2641723864</v>
      </c>
      <c r="P58" s="303">
        <f>M58</f>
        <v>2052107.158206888</v>
      </c>
      <c r="S58" s="4"/>
      <c r="T58" s="256"/>
      <c r="U58" s="102"/>
      <c r="V58" s="9"/>
      <c r="W58" s="4"/>
      <c r="X58" s="4"/>
      <c r="Y58" s="4"/>
    </row>
    <row r="59" spans="2:28" x14ac:dyDescent="0.25">
      <c r="B59" s="418"/>
      <c r="C59" t="s">
        <v>88</v>
      </c>
      <c r="D59" s="1" t="s">
        <v>179</v>
      </c>
      <c r="E59" s="11" t="s">
        <v>248</v>
      </c>
      <c r="F59" s="10">
        <v>27195.66</v>
      </c>
      <c r="G59" s="4"/>
      <c r="H59" t="s">
        <v>214</v>
      </c>
      <c r="I59" s="388">
        <v>2013</v>
      </c>
      <c r="J59" s="174" t="s">
        <v>142</v>
      </c>
      <c r="K59" s="37">
        <v>2.17</v>
      </c>
      <c r="L59" s="435">
        <f>M59</f>
        <v>3009743.6921999999</v>
      </c>
      <c r="M59" s="435">
        <v>3009743.6921999999</v>
      </c>
      <c r="N59" s="460"/>
      <c r="O59" s="87">
        <f t="shared" ref="O59:O61" si="21">L59-M59</f>
        <v>0</v>
      </c>
      <c r="P59" s="303">
        <f t="shared" ref="P59:P61" si="22">M59</f>
        <v>3009743.6921999999</v>
      </c>
      <c r="Q59" s="254" t="s">
        <v>218</v>
      </c>
      <c r="R59" s="4">
        <v>12</v>
      </c>
      <c r="S59" s="4"/>
      <c r="U59" s="102">
        <v>2052107.158206888</v>
      </c>
      <c r="V59" s="9"/>
      <c r="W59" s="4"/>
      <c r="X59" s="4"/>
      <c r="Y59" s="4"/>
    </row>
    <row r="60" spans="2:28" x14ac:dyDescent="0.25">
      <c r="B60" s="418"/>
      <c r="C60" t="s">
        <v>89</v>
      </c>
      <c r="D60" s="1" t="s">
        <v>179</v>
      </c>
      <c r="E60" s="11" t="s">
        <v>248</v>
      </c>
      <c r="F60" s="10">
        <f>F59*0.3</f>
        <v>8158.6979999999994</v>
      </c>
      <c r="G60" s="4"/>
      <c r="H60" t="s">
        <v>214</v>
      </c>
      <c r="I60" s="388">
        <v>2013</v>
      </c>
      <c r="J60" s="174" t="s">
        <v>142</v>
      </c>
      <c r="K60" s="37">
        <v>2.17</v>
      </c>
      <c r="L60" s="435">
        <f>M60</f>
        <v>902923.10765999998</v>
      </c>
      <c r="M60" s="435">
        <v>902923.10765999998</v>
      </c>
      <c r="N60" s="461"/>
      <c r="O60" s="451">
        <f t="shared" si="21"/>
        <v>0</v>
      </c>
      <c r="P60" s="307">
        <f t="shared" si="22"/>
        <v>902923.10765999998</v>
      </c>
      <c r="Q60" s="4"/>
      <c r="R60" s="4"/>
      <c r="S60" s="4"/>
      <c r="V60" s="9"/>
      <c r="W60" s="4"/>
      <c r="X60" s="4"/>
      <c r="Y60" s="4"/>
    </row>
    <row r="61" spans="2:28" x14ac:dyDescent="0.25">
      <c r="B61" s="419"/>
      <c r="C61" s="89" t="s">
        <v>184</v>
      </c>
      <c r="D61" s="55" t="s">
        <v>179</v>
      </c>
      <c r="E61" s="77"/>
      <c r="F61" s="76"/>
      <c r="G61" s="88"/>
      <c r="H61" s="88" t="s">
        <v>203</v>
      </c>
      <c r="I61" s="55">
        <v>2023</v>
      </c>
      <c r="J61" s="176"/>
      <c r="K61" s="88"/>
      <c r="L61" s="432">
        <f>M61</f>
        <v>666935.08499999996</v>
      </c>
      <c r="M61" s="432">
        <v>666935.08499999996</v>
      </c>
      <c r="N61" s="310"/>
      <c r="O61" s="452">
        <f t="shared" si="21"/>
        <v>0</v>
      </c>
      <c r="P61" s="314">
        <f t="shared" si="22"/>
        <v>666935.08499999996</v>
      </c>
      <c r="Q61" s="244" t="s">
        <v>219</v>
      </c>
      <c r="R61" s="4">
        <v>39</v>
      </c>
      <c r="S61" s="208"/>
      <c r="U61" s="116">
        <f>U59/R59</f>
        <v>171008.929850574</v>
      </c>
    </row>
    <row r="62" spans="2:28" x14ac:dyDescent="0.25">
      <c r="B62" s="418"/>
      <c r="I62" s="1"/>
      <c r="J62" s="167"/>
      <c r="L62" s="472"/>
      <c r="M62" s="428"/>
      <c r="N62" s="304"/>
      <c r="O62" s="18"/>
      <c r="P62" s="304"/>
      <c r="U62" s="208">
        <f>U58/U61</f>
        <v>0</v>
      </c>
    </row>
    <row r="63" spans="2:28" x14ac:dyDescent="0.25">
      <c r="B63" s="418">
        <v>8</v>
      </c>
      <c r="C63" s="94" t="s">
        <v>77</v>
      </c>
      <c r="J63" s="249"/>
      <c r="K63" s="37"/>
      <c r="L63" s="318">
        <f>SUM(L64:L68)</f>
        <v>5463754.3355999999</v>
      </c>
      <c r="M63" s="425"/>
      <c r="N63" s="303"/>
      <c r="O63" s="450">
        <f t="shared" ref="O63:P63" si="23">SUM(O64:O68)</f>
        <v>5371334.3443364399</v>
      </c>
      <c r="P63" s="312">
        <f t="shared" si="23"/>
        <v>92419.99126355999</v>
      </c>
      <c r="R63" s="30"/>
    </row>
    <row r="64" spans="2:28" x14ac:dyDescent="0.25">
      <c r="B64" s="418"/>
      <c r="C64" t="s">
        <v>78</v>
      </c>
      <c r="D64" s="1" t="s">
        <v>179</v>
      </c>
      <c r="J64" s="174"/>
      <c r="K64" s="37"/>
      <c r="L64" s="438">
        <f>0.1*SUM(L65:L67)</f>
        <v>491140.65659999999</v>
      </c>
      <c r="M64" s="428"/>
      <c r="N64" s="307"/>
      <c r="O64" s="451">
        <f>L64-M64</f>
        <v>491140.65659999999</v>
      </c>
      <c r="P64" s="307">
        <f>M64</f>
        <v>0</v>
      </c>
    </row>
    <row r="65" spans="2:18" x14ac:dyDescent="0.25">
      <c r="B65" s="418"/>
      <c r="C65" t="s">
        <v>60</v>
      </c>
      <c r="D65" s="1" t="s">
        <v>179</v>
      </c>
      <c r="E65" s="1" t="s">
        <v>249</v>
      </c>
      <c r="F65" s="33" t="s">
        <v>59</v>
      </c>
      <c r="H65" s="40" t="s">
        <v>99</v>
      </c>
      <c r="I65" s="388">
        <v>2023</v>
      </c>
      <c r="J65" s="174"/>
      <c r="K65" s="78"/>
      <c r="L65" s="435">
        <f>((1*314*4849.13)+(1*314*7273.41))</f>
        <v>3806477.5599999996</v>
      </c>
      <c r="M65" s="428"/>
      <c r="N65" s="462"/>
      <c r="O65" s="451">
        <f t="shared" ref="O65:O68" si="24">L65-M65</f>
        <v>3806477.5599999996</v>
      </c>
      <c r="P65" s="307">
        <f t="shared" ref="P65:P68" si="25">M65</f>
        <v>0</v>
      </c>
    </row>
    <row r="66" spans="2:18" x14ac:dyDescent="0.25">
      <c r="B66" s="418"/>
      <c r="C66" t="s">
        <v>61</v>
      </c>
      <c r="D66" s="1" t="s">
        <v>179</v>
      </c>
      <c r="E66" s="1" t="s">
        <v>250</v>
      </c>
      <c r="F66" s="1" t="s">
        <v>148</v>
      </c>
      <c r="H66" s="40" t="s">
        <v>99</v>
      </c>
      <c r="I66" s="388">
        <v>2023</v>
      </c>
      <c r="J66" s="12" t="s">
        <v>145</v>
      </c>
      <c r="K66" s="78"/>
      <c r="L66" s="435">
        <f>(2*263375)*1.25</f>
        <v>658437.5</v>
      </c>
      <c r="M66" s="428"/>
      <c r="N66" s="462"/>
      <c r="O66" s="451">
        <f t="shared" si="24"/>
        <v>658437.5</v>
      </c>
      <c r="P66" s="307">
        <f t="shared" si="25"/>
        <v>0</v>
      </c>
    </row>
    <row r="67" spans="2:18" x14ac:dyDescent="0.25">
      <c r="B67" s="418"/>
      <c r="C67" t="s">
        <v>265</v>
      </c>
      <c r="D67" s="1" t="s">
        <v>179</v>
      </c>
      <c r="F67" s="1" t="s">
        <v>146</v>
      </c>
      <c r="H67" t="s">
        <v>203</v>
      </c>
      <c r="I67" s="388">
        <v>2023</v>
      </c>
      <c r="J67" s="1" t="s">
        <v>147</v>
      </c>
      <c r="K67" s="110"/>
      <c r="L67" s="435">
        <f>0.1*SUM(L65:L66)</f>
        <v>446491.50599999999</v>
      </c>
      <c r="M67" s="435">
        <v>31212.87826356</v>
      </c>
      <c r="N67" s="462"/>
      <c r="O67" s="451">
        <f t="shared" si="24"/>
        <v>415278.62773643999</v>
      </c>
      <c r="P67" s="307">
        <f t="shared" si="25"/>
        <v>31212.87826356</v>
      </c>
    </row>
    <row r="68" spans="2:18" x14ac:dyDescent="0.25">
      <c r="B68" s="419"/>
      <c r="C68" s="89" t="s">
        <v>184</v>
      </c>
      <c r="D68" s="55" t="s">
        <v>179</v>
      </c>
      <c r="E68" s="77"/>
      <c r="F68" s="76"/>
      <c r="G68" s="88"/>
      <c r="H68" s="88"/>
      <c r="I68" s="55"/>
      <c r="J68" s="176"/>
      <c r="K68" s="88"/>
      <c r="L68" s="432">
        <f>M68</f>
        <v>61207.112999999998</v>
      </c>
      <c r="M68" s="432">
        <v>61207.112999999998</v>
      </c>
      <c r="N68" s="315"/>
      <c r="O68" s="453">
        <f t="shared" si="24"/>
        <v>0</v>
      </c>
      <c r="P68" s="315">
        <f t="shared" si="25"/>
        <v>61207.112999999998</v>
      </c>
    </row>
    <row r="69" spans="2:18" x14ac:dyDescent="0.25">
      <c r="B69" s="418"/>
      <c r="I69" s="1"/>
      <c r="J69" s="167"/>
      <c r="L69" s="472"/>
      <c r="M69" s="428"/>
      <c r="N69" s="304"/>
      <c r="O69" s="18"/>
      <c r="P69" s="304"/>
    </row>
    <row r="70" spans="2:18" x14ac:dyDescent="0.25">
      <c r="B70" s="418">
        <v>9</v>
      </c>
      <c r="C70" s="94" t="s">
        <v>58</v>
      </c>
      <c r="J70" s="249"/>
      <c r="K70" s="37"/>
      <c r="L70" s="318">
        <f>SUM(L71:L75)</f>
        <v>14415956.940000001</v>
      </c>
      <c r="M70" s="425"/>
      <c r="N70" s="303"/>
      <c r="O70" s="450">
        <f t="shared" ref="O70" si="26">SUM(O71:O75)</f>
        <v>14328771.209563082</v>
      </c>
      <c r="P70" s="312">
        <f t="shared" ref="P70" si="27">SUM(P71:P75)</f>
        <v>87185.730436919999</v>
      </c>
      <c r="R70" s="30"/>
    </row>
    <row r="71" spans="2:18" x14ac:dyDescent="0.25">
      <c r="B71" s="418"/>
      <c r="C71" t="s">
        <v>78</v>
      </c>
      <c r="D71" s="1" t="s">
        <v>179</v>
      </c>
      <c r="J71" s="174"/>
      <c r="K71" s="59"/>
      <c r="L71" s="438">
        <f>0.1*SUM(L72:L74)</f>
        <v>1310541.54</v>
      </c>
      <c r="M71" s="428"/>
      <c r="N71" s="307"/>
      <c r="O71" s="451">
        <f>L71-M71</f>
        <v>1310541.54</v>
      </c>
      <c r="P71" s="307">
        <f>M71</f>
        <v>0</v>
      </c>
    </row>
    <row r="72" spans="2:18" x14ac:dyDescent="0.25">
      <c r="B72" s="418"/>
      <c r="C72" t="s">
        <v>60</v>
      </c>
      <c r="D72" s="1" t="s">
        <v>179</v>
      </c>
      <c r="E72" s="1" t="s">
        <v>252</v>
      </c>
      <c r="F72" s="33" t="s">
        <v>62</v>
      </c>
      <c r="H72" s="40" t="s">
        <v>99</v>
      </c>
      <c r="I72" s="390">
        <v>2023</v>
      </c>
      <c r="J72" s="251"/>
      <c r="K72" s="252"/>
      <c r="L72" s="438">
        <f>2*(840*5818.97)</f>
        <v>9775869.5999999996</v>
      </c>
      <c r="M72" s="436"/>
      <c r="N72" s="462"/>
      <c r="O72" s="451">
        <f t="shared" ref="O72:O75" si="28">L72-M72</f>
        <v>9775869.5999999996</v>
      </c>
      <c r="P72" s="307">
        <f t="shared" ref="P72:P75" si="29">M72</f>
        <v>0</v>
      </c>
    </row>
    <row r="73" spans="2:18" x14ac:dyDescent="0.25">
      <c r="B73" s="418"/>
      <c r="C73" t="s">
        <v>85</v>
      </c>
      <c r="D73" s="1" t="s">
        <v>179</v>
      </c>
      <c r="F73" s="1" t="s">
        <v>63</v>
      </c>
      <c r="H73" t="s">
        <v>251</v>
      </c>
      <c r="I73" s="390">
        <v>2013</v>
      </c>
      <c r="J73" s="174" t="s">
        <v>142</v>
      </c>
      <c r="K73" s="37">
        <v>2.17</v>
      </c>
      <c r="L73" s="438">
        <f>(2*469200)*1.05*K73</f>
        <v>2138144.4</v>
      </c>
      <c r="M73" s="428"/>
      <c r="N73" s="462"/>
      <c r="O73" s="451">
        <f t="shared" si="28"/>
        <v>2138144.4</v>
      </c>
      <c r="P73" s="307">
        <f t="shared" si="29"/>
        <v>0</v>
      </c>
    </row>
    <row r="74" spans="2:18" x14ac:dyDescent="0.25">
      <c r="B74" s="418"/>
      <c r="C74" t="s">
        <v>76</v>
      </c>
      <c r="D74" s="1" t="s">
        <v>179</v>
      </c>
      <c r="H74" t="s">
        <v>203</v>
      </c>
      <c r="I74" s="388">
        <v>2023</v>
      </c>
      <c r="J74" s="174"/>
      <c r="K74" s="110"/>
      <c r="L74" s="435">
        <f>0.1*SUM(L72:L73)</f>
        <v>1191401.4000000001</v>
      </c>
      <c r="M74" s="435">
        <v>5524.7368369199994</v>
      </c>
      <c r="N74" s="462"/>
      <c r="O74" s="451">
        <f t="shared" si="28"/>
        <v>1185876.6631630801</v>
      </c>
      <c r="P74" s="307">
        <f t="shared" si="29"/>
        <v>5524.7368369199994</v>
      </c>
    </row>
    <row r="75" spans="2:18" x14ac:dyDescent="0.25">
      <c r="B75" s="419"/>
      <c r="C75" s="89" t="s">
        <v>184</v>
      </c>
      <c r="D75" s="55" t="s">
        <v>179</v>
      </c>
      <c r="E75" s="77"/>
      <c r="F75" s="76"/>
      <c r="G75" s="88"/>
      <c r="H75" s="88"/>
      <c r="I75" s="55"/>
      <c r="J75" s="176"/>
      <c r="K75" s="88"/>
      <c r="L75" s="432">
        <v>0</v>
      </c>
      <c r="M75" s="432">
        <v>81660.993600000002</v>
      </c>
      <c r="N75" s="315"/>
      <c r="O75" s="453">
        <f t="shared" si="28"/>
        <v>-81660.993600000002</v>
      </c>
      <c r="P75" s="315">
        <f t="shared" si="29"/>
        <v>81660.993600000002</v>
      </c>
    </row>
    <row r="76" spans="2:18" x14ac:dyDescent="0.25">
      <c r="B76" s="418"/>
      <c r="I76" s="1"/>
      <c r="J76" s="167"/>
      <c r="L76" s="472"/>
      <c r="M76" s="428"/>
      <c r="N76" s="304"/>
      <c r="O76" s="18"/>
      <c r="P76" s="304"/>
    </row>
    <row r="77" spans="2:18" x14ac:dyDescent="0.25">
      <c r="B77" s="418">
        <v>10</v>
      </c>
      <c r="C77" s="94" t="s">
        <v>79</v>
      </c>
      <c r="J77" s="249"/>
      <c r="K77" s="37"/>
      <c r="L77" s="318">
        <f>SUM(L78:L82)</f>
        <v>60065638.132500008</v>
      </c>
      <c r="M77" s="425"/>
      <c r="N77" s="303"/>
      <c r="O77" s="450">
        <f t="shared" ref="O77" si="30">SUM(O78:O82)</f>
        <v>59681563.123318806</v>
      </c>
      <c r="P77" s="312">
        <f t="shared" ref="P77" si="31">SUM(P78:P82)</f>
        <v>384075.0091812</v>
      </c>
      <c r="R77" s="30"/>
    </row>
    <row r="78" spans="2:18" x14ac:dyDescent="0.25">
      <c r="B78" s="418"/>
      <c r="C78" t="s">
        <v>78</v>
      </c>
      <c r="D78" s="1" t="s">
        <v>179</v>
      </c>
      <c r="J78" s="174"/>
      <c r="K78" s="37"/>
      <c r="L78" s="438">
        <f>0.1*SUM(L79:L81)</f>
        <v>5460512.557500001</v>
      </c>
      <c r="M78" s="428"/>
      <c r="N78" s="307"/>
      <c r="O78" s="451">
        <f>L78-M78</f>
        <v>5460512.557500001</v>
      </c>
      <c r="P78" s="307">
        <f>M78</f>
        <v>0</v>
      </c>
    </row>
    <row r="79" spans="2:18" x14ac:dyDescent="0.25">
      <c r="B79" s="418"/>
      <c r="C79" t="s">
        <v>60</v>
      </c>
      <c r="D79" s="1" t="s">
        <v>179</v>
      </c>
      <c r="E79" s="1" t="s">
        <v>64</v>
      </c>
      <c r="F79" s="33" t="s">
        <v>65</v>
      </c>
      <c r="H79" s="40" t="s">
        <v>99</v>
      </c>
      <c r="I79" s="178">
        <v>2023</v>
      </c>
      <c r="J79" s="174"/>
      <c r="K79" s="37"/>
      <c r="L79" s="438">
        <f>2*(3250*7273.41)</f>
        <v>47277165</v>
      </c>
      <c r="M79" s="436"/>
      <c r="N79" s="462"/>
      <c r="O79" s="451">
        <f t="shared" ref="O79:O82" si="32">L79-M79</f>
        <v>47277165</v>
      </c>
      <c r="P79" s="307">
        <f t="shared" ref="P79:P82" si="33">M79</f>
        <v>0</v>
      </c>
    </row>
    <row r="80" spans="2:18" x14ac:dyDescent="0.25">
      <c r="B80" s="418"/>
      <c r="C80" t="s">
        <v>75</v>
      </c>
      <c r="D80" s="1" t="s">
        <v>179</v>
      </c>
      <c r="J80" s="174"/>
      <c r="K80" s="79"/>
      <c r="L80" s="438">
        <f>0.05*L79</f>
        <v>2363858.25</v>
      </c>
      <c r="M80" s="428"/>
      <c r="N80" s="462"/>
      <c r="O80" s="451">
        <f t="shared" si="32"/>
        <v>2363858.25</v>
      </c>
      <c r="P80" s="307">
        <f t="shared" si="33"/>
        <v>0</v>
      </c>
    </row>
    <row r="81" spans="2:28" x14ac:dyDescent="0.25">
      <c r="B81" s="418"/>
      <c r="C81" t="s">
        <v>265</v>
      </c>
      <c r="D81" s="1" t="s">
        <v>179</v>
      </c>
      <c r="J81" s="174"/>
      <c r="K81" s="54"/>
      <c r="L81" s="438">
        <f>0.1*SUM(L79:L80)</f>
        <v>4964102.3250000002</v>
      </c>
      <c r="M81" s="435">
        <v>43830.007981199989</v>
      </c>
      <c r="N81" s="462"/>
      <c r="O81" s="451">
        <f t="shared" si="32"/>
        <v>4920272.3170188004</v>
      </c>
      <c r="P81" s="307">
        <f t="shared" si="33"/>
        <v>43830.007981199989</v>
      </c>
    </row>
    <row r="82" spans="2:28" x14ac:dyDescent="0.25">
      <c r="B82" s="419"/>
      <c r="C82" s="89" t="s">
        <v>184</v>
      </c>
      <c r="D82" s="55" t="s">
        <v>179</v>
      </c>
      <c r="E82" s="77"/>
      <c r="F82" s="76"/>
      <c r="G82" s="88"/>
      <c r="H82" s="88"/>
      <c r="I82" s="55"/>
      <c r="J82" s="176"/>
      <c r="K82" s="88"/>
      <c r="L82" s="432">
        <v>0</v>
      </c>
      <c r="M82" s="432">
        <v>340245.0012</v>
      </c>
      <c r="N82" s="315"/>
      <c r="O82" s="453">
        <f t="shared" si="32"/>
        <v>-340245.0012</v>
      </c>
      <c r="P82" s="315">
        <f t="shared" si="33"/>
        <v>340245.0012</v>
      </c>
    </row>
    <row r="83" spans="2:28" x14ac:dyDescent="0.25">
      <c r="B83" s="418"/>
      <c r="I83" s="1"/>
      <c r="J83" s="167"/>
      <c r="L83" s="472"/>
      <c r="M83" s="428"/>
      <c r="N83" s="304"/>
      <c r="O83" s="18"/>
      <c r="P83" s="304"/>
    </row>
    <row r="84" spans="2:28" x14ac:dyDescent="0.25">
      <c r="B84" s="418">
        <v>11</v>
      </c>
      <c r="C84" s="94" t="s">
        <v>100</v>
      </c>
      <c r="J84" s="249"/>
      <c r="K84" s="37"/>
      <c r="L84" s="318">
        <f>SUM(L85:L88)</f>
        <v>4392651.0506370887</v>
      </c>
      <c r="M84" s="425"/>
      <c r="N84" s="303"/>
      <c r="O84" s="450">
        <f t="shared" ref="O84" si="34">SUM(O85:O89)</f>
        <v>3997299.0854370887</v>
      </c>
      <c r="P84" s="312">
        <f t="shared" ref="P84" si="35">SUM(P85:P89)</f>
        <v>395351.96519999998</v>
      </c>
      <c r="Q84" s="47"/>
      <c r="R84" s="47"/>
      <c r="S84" s="47"/>
      <c r="T84" s="47"/>
      <c r="U84" s="47"/>
      <c r="V84" s="47"/>
      <c r="W84" s="47"/>
      <c r="X84" s="47"/>
      <c r="Y84" s="48"/>
      <c r="Z84" s="47"/>
      <c r="AA84" s="47"/>
      <c r="AB84" s="47"/>
    </row>
    <row r="85" spans="2:28" x14ac:dyDescent="0.25">
      <c r="B85" s="418"/>
      <c r="C85" t="s">
        <v>254</v>
      </c>
      <c r="D85" s="1" t="s">
        <v>179</v>
      </c>
      <c r="E85" s="108"/>
      <c r="F85" s="108"/>
      <c r="H85" s="4" t="s">
        <v>91</v>
      </c>
      <c r="I85" s="388">
        <v>2013</v>
      </c>
      <c r="J85" s="174" t="s">
        <v>142</v>
      </c>
      <c r="K85" s="99">
        <v>2.4594548096904609</v>
      </c>
      <c r="L85" s="438">
        <f>(E91*5.6*500)*K85</f>
        <v>3172459.5916167372</v>
      </c>
      <c r="M85" s="437"/>
      <c r="N85" s="308"/>
      <c r="O85" s="454">
        <f>L85-M85</f>
        <v>3172459.5916167372</v>
      </c>
      <c r="P85" s="308">
        <f>M85</f>
        <v>0</v>
      </c>
      <c r="R85" s="30"/>
    </row>
    <row r="86" spans="2:28" x14ac:dyDescent="0.25">
      <c r="B86" s="418"/>
      <c r="C86" t="s">
        <v>88</v>
      </c>
      <c r="D86" s="1" t="s">
        <v>179</v>
      </c>
      <c r="E86" s="64">
        <v>0.2</v>
      </c>
      <c r="F86" s="4"/>
      <c r="H86" s="4"/>
      <c r="J86" s="174"/>
      <c r="K86" s="49"/>
      <c r="L86" s="438">
        <f>L85*E86</f>
        <v>634491.91832334746</v>
      </c>
      <c r="M86" s="429"/>
      <c r="N86" s="309"/>
      <c r="O86" s="454">
        <f t="shared" ref="O86:O88" si="36">L86-M86</f>
        <v>634491.91832334746</v>
      </c>
      <c r="P86" s="308">
        <f t="shared" ref="P86:P88" si="37">M86</f>
        <v>0</v>
      </c>
      <c r="R86" s="30"/>
    </row>
    <row r="87" spans="2:28" x14ac:dyDescent="0.25">
      <c r="B87" s="418"/>
      <c r="C87" t="s">
        <v>101</v>
      </c>
      <c r="D87" s="1" t="s">
        <v>179</v>
      </c>
      <c r="E87" s="64">
        <v>0.3</v>
      </c>
      <c r="F87" s="4"/>
      <c r="H87" s="4"/>
      <c r="J87" s="174"/>
      <c r="K87" s="37"/>
      <c r="L87" s="438">
        <f>L86*E87</f>
        <v>190347.57549700423</v>
      </c>
      <c r="M87" s="429"/>
      <c r="N87" s="309"/>
      <c r="O87" s="454">
        <f t="shared" si="36"/>
        <v>190347.57549700423</v>
      </c>
      <c r="P87" s="308">
        <f t="shared" si="37"/>
        <v>0</v>
      </c>
      <c r="R87" s="30"/>
    </row>
    <row r="88" spans="2:28" x14ac:dyDescent="0.25">
      <c r="B88" s="419"/>
      <c r="C88" s="89" t="s">
        <v>184</v>
      </c>
      <c r="D88" s="55" t="s">
        <v>179</v>
      </c>
      <c r="E88" s="77"/>
      <c r="F88" s="76"/>
      <c r="G88" s="88"/>
      <c r="H88" s="88" t="s">
        <v>203</v>
      </c>
      <c r="I88" s="55">
        <v>2023</v>
      </c>
      <c r="J88" s="176"/>
      <c r="K88" s="88"/>
      <c r="L88" s="432">
        <f>M88</f>
        <v>395351.96519999998</v>
      </c>
      <c r="M88" s="432">
        <v>395351.96519999998</v>
      </c>
      <c r="N88" s="310"/>
      <c r="O88" s="455">
        <f t="shared" si="36"/>
        <v>0</v>
      </c>
      <c r="P88" s="316">
        <f t="shared" si="37"/>
        <v>395351.96519999998</v>
      </c>
      <c r="R88" s="30"/>
    </row>
    <row r="89" spans="2:28" x14ac:dyDescent="0.25">
      <c r="B89" s="418"/>
      <c r="F89" s="280"/>
      <c r="I89" s="1"/>
      <c r="J89" s="167"/>
      <c r="L89" s="472"/>
      <c r="M89" s="428"/>
      <c r="N89" s="304"/>
      <c r="O89" s="18"/>
      <c r="P89" s="304"/>
    </row>
    <row r="90" spans="2:28" x14ac:dyDescent="0.25">
      <c r="B90" s="418">
        <v>12</v>
      </c>
      <c r="C90" s="94" t="s">
        <v>46</v>
      </c>
      <c r="E90" s="333" t="s">
        <v>253</v>
      </c>
      <c r="F90" s="281">
        <v>5.6</v>
      </c>
      <c r="H90" s="38" t="s">
        <v>442</v>
      </c>
      <c r="J90" s="249"/>
      <c r="K90" s="37"/>
      <c r="L90" s="318">
        <f>SUM(L91:L95)</f>
        <v>36500713.280619361</v>
      </c>
      <c r="M90" s="425"/>
      <c r="N90" s="309"/>
      <c r="O90" s="446">
        <f>SUM(O91:O95)</f>
        <v>35035672.722900137</v>
      </c>
      <c r="P90" s="318">
        <f>SUM(P91:P95)</f>
        <v>1465040.557719219</v>
      </c>
      <c r="Q90" s="47" t="s">
        <v>185</v>
      </c>
      <c r="R90" s="47"/>
      <c r="S90" s="47"/>
      <c r="T90" s="47"/>
      <c r="U90" s="47"/>
      <c r="V90" s="47"/>
      <c r="W90" s="47"/>
      <c r="X90" s="47"/>
      <c r="Y90" s="48"/>
      <c r="Z90" s="47"/>
      <c r="AA90" s="47"/>
      <c r="AB90" s="47"/>
    </row>
    <row r="91" spans="2:28" x14ac:dyDescent="0.25">
      <c r="B91" s="418"/>
      <c r="C91" t="s">
        <v>256</v>
      </c>
      <c r="D91" s="1" t="s">
        <v>179</v>
      </c>
      <c r="E91" s="23">
        <v>460.67985402946346</v>
      </c>
      <c r="F91" s="9" t="s">
        <v>54</v>
      </c>
      <c r="H91" s="4" t="s">
        <v>213</v>
      </c>
      <c r="I91" s="388">
        <v>2010</v>
      </c>
      <c r="J91" s="174" t="s">
        <v>142</v>
      </c>
      <c r="K91" s="99">
        <v>2.45945480969046</v>
      </c>
      <c r="L91" s="438">
        <f>5495*E91*F90*K91</f>
        <v>34865330.911867931</v>
      </c>
      <c r="M91" s="438">
        <v>310482.63490259671</v>
      </c>
      <c r="N91" s="309"/>
      <c r="O91" s="5">
        <f>L91-M91</f>
        <v>34554848.276965335</v>
      </c>
      <c r="P91" s="309">
        <f>M91</f>
        <v>310482.63490259671</v>
      </c>
      <c r="Q91" s="4" t="s">
        <v>186</v>
      </c>
      <c r="R91" s="4"/>
      <c r="S91" s="4"/>
      <c r="V91" s="9"/>
      <c r="W91" s="4"/>
      <c r="X91" s="4"/>
      <c r="Y91" s="4"/>
    </row>
    <row r="92" spans="2:28" x14ac:dyDescent="0.25">
      <c r="B92" s="418"/>
      <c r="C92" t="s">
        <v>38</v>
      </c>
      <c r="D92" s="1" t="s">
        <v>179</v>
      </c>
      <c r="E92" s="332">
        <v>8.0798396563723299E-3</v>
      </c>
      <c r="F92" s="9" t="s">
        <v>237</v>
      </c>
      <c r="H92" s="4" t="s">
        <v>213</v>
      </c>
      <c r="I92" s="388">
        <v>2010</v>
      </c>
      <c r="J92" s="174"/>
      <c r="K92" s="286"/>
      <c r="L92" s="438">
        <f>L91*E92</f>
        <v>281706.28333425458</v>
      </c>
      <c r="M92" s="429"/>
      <c r="N92" s="309"/>
      <c r="O92" s="5">
        <f t="shared" ref="O92:O95" si="38">L92-M92</f>
        <v>281706.28333425458</v>
      </c>
      <c r="P92" s="309">
        <f t="shared" ref="P92:P95" si="39">M92</f>
        <v>0</v>
      </c>
      <c r="Q92" s="4"/>
      <c r="R92" s="4"/>
      <c r="S92" s="4"/>
      <c r="V92" s="9"/>
      <c r="W92" s="4"/>
      <c r="X92" s="4"/>
      <c r="Y92" s="4"/>
    </row>
    <row r="93" spans="2:28" x14ac:dyDescent="0.25">
      <c r="B93" s="418"/>
      <c r="C93" t="s">
        <v>29</v>
      </c>
      <c r="D93" s="1" t="s">
        <v>179</v>
      </c>
      <c r="E93" s="332">
        <v>0.70682897180638637</v>
      </c>
      <c r="F93" s="9" t="s">
        <v>236</v>
      </c>
      <c r="H93" s="4" t="s">
        <v>213</v>
      </c>
      <c r="I93" s="388">
        <v>2010</v>
      </c>
      <c r="J93" s="174"/>
      <c r="K93" s="286"/>
      <c r="L93" s="438">
        <f>L92*E93</f>
        <v>199118.16260054972</v>
      </c>
      <c r="M93" s="429"/>
      <c r="N93" s="309"/>
      <c r="O93" s="5">
        <f t="shared" si="38"/>
        <v>199118.16260054972</v>
      </c>
      <c r="P93" s="309">
        <f t="shared" si="39"/>
        <v>0</v>
      </c>
      <c r="Q93" s="4"/>
      <c r="R93" s="4"/>
      <c r="S93" s="4"/>
      <c r="V93" s="9"/>
      <c r="W93" s="4"/>
      <c r="X93" s="4"/>
      <c r="Y93" s="4"/>
    </row>
    <row r="94" spans="2:28" x14ac:dyDescent="0.25">
      <c r="B94" s="418"/>
      <c r="C94" t="s">
        <v>37</v>
      </c>
      <c r="D94" s="1" t="s">
        <v>179</v>
      </c>
      <c r="E94" s="11"/>
      <c r="G94" s="4"/>
      <c r="H94" s="4" t="s">
        <v>203</v>
      </c>
      <c r="I94" s="388">
        <v>2023</v>
      </c>
      <c r="J94" s="174"/>
      <c r="K94" s="37"/>
      <c r="L94" s="438">
        <f>M94</f>
        <v>206053.41891161999</v>
      </c>
      <c r="M94" s="438">
        <v>206053.41891161999</v>
      </c>
      <c r="N94" s="309"/>
      <c r="O94" s="5">
        <f t="shared" si="38"/>
        <v>0</v>
      </c>
      <c r="P94" s="309">
        <f t="shared" si="39"/>
        <v>206053.41891161999</v>
      </c>
      <c r="Q94" s="4"/>
      <c r="R94" s="4"/>
      <c r="S94" s="4"/>
      <c r="V94" s="9"/>
      <c r="W94" s="4"/>
      <c r="X94" s="4"/>
      <c r="Y94" s="4"/>
    </row>
    <row r="95" spans="2:28" x14ac:dyDescent="0.25">
      <c r="B95" s="419"/>
      <c r="C95" s="89" t="s">
        <v>184</v>
      </c>
      <c r="D95" s="55" t="s">
        <v>179</v>
      </c>
      <c r="E95" s="77"/>
      <c r="F95" s="76"/>
      <c r="G95" s="88"/>
      <c r="H95" s="88" t="s">
        <v>203</v>
      </c>
      <c r="I95" s="55">
        <v>2023</v>
      </c>
      <c r="J95" s="176"/>
      <c r="K95" s="88"/>
      <c r="L95" s="432">
        <f>M95</f>
        <v>948504.50390500238</v>
      </c>
      <c r="M95" s="432">
        <v>948504.50390500238</v>
      </c>
      <c r="N95" s="310"/>
      <c r="O95" s="96">
        <f t="shared" si="38"/>
        <v>0</v>
      </c>
      <c r="P95" s="313">
        <f t="shared" si="39"/>
        <v>948504.50390500238</v>
      </c>
      <c r="R95" s="30"/>
    </row>
    <row r="96" spans="2:28" x14ac:dyDescent="0.25">
      <c r="B96" s="418"/>
      <c r="I96" s="1"/>
      <c r="J96" s="167"/>
      <c r="L96" s="472"/>
      <c r="M96" s="428"/>
      <c r="N96" s="304"/>
      <c r="O96" s="18"/>
      <c r="P96" s="304"/>
    </row>
    <row r="97" spans="2:25" x14ac:dyDescent="0.25">
      <c r="B97" s="418">
        <v>13</v>
      </c>
      <c r="C97" s="94" t="s">
        <v>45</v>
      </c>
      <c r="E97" s="333" t="s">
        <v>255</v>
      </c>
      <c r="F97" s="281">
        <f>(3.95+1.3)/2</f>
        <v>2.625</v>
      </c>
      <c r="J97" s="249"/>
      <c r="K97" s="37"/>
      <c r="L97" s="318">
        <f>SUM(L98:L102)</f>
        <v>17501261.152978811</v>
      </c>
      <c r="M97" s="425"/>
      <c r="N97" s="303"/>
      <c r="O97" s="450">
        <f>SUM(O98:O102)</f>
        <v>14857330.083524615</v>
      </c>
      <c r="P97" s="312">
        <f>SUM(P98:P102)</f>
        <v>2643931.0694541973</v>
      </c>
      <c r="R97" s="30"/>
    </row>
    <row r="98" spans="2:25" x14ac:dyDescent="0.25">
      <c r="B98" s="418"/>
      <c r="C98" t="s">
        <v>257</v>
      </c>
      <c r="D98" s="1" t="s">
        <v>179</v>
      </c>
      <c r="E98" s="23">
        <v>460.67985402946346</v>
      </c>
      <c r="F98" s="9" t="s">
        <v>54</v>
      </c>
      <c r="H98" s="4" t="s">
        <v>213</v>
      </c>
      <c r="I98" s="388">
        <v>2010</v>
      </c>
      <c r="J98" s="174" t="s">
        <v>142</v>
      </c>
      <c r="K98" s="99">
        <v>2.45945480969046</v>
      </c>
      <c r="L98" s="438">
        <f>E98*F97*5390*K98</f>
        <v>16030834.873888319</v>
      </c>
      <c r="M98" s="438">
        <v>1394584.5017708302</v>
      </c>
      <c r="N98" s="309"/>
      <c r="O98" s="5">
        <f t="shared" ref="O98:O102" si="40">L98-M98</f>
        <v>14636250.37211749</v>
      </c>
      <c r="P98" s="309">
        <f t="shared" ref="P98:P102" si="41">M98</f>
        <v>1394584.5017708302</v>
      </c>
      <c r="Q98" s="4"/>
      <c r="R98" s="4"/>
      <c r="S98" s="4"/>
      <c r="V98" s="9"/>
      <c r="W98" s="4"/>
      <c r="X98" s="4"/>
      <c r="Y98" s="4"/>
    </row>
    <row r="99" spans="2:25" x14ac:dyDescent="0.25">
      <c r="B99" s="418"/>
      <c r="C99" t="s">
        <v>38</v>
      </c>
      <c r="D99" s="1" t="s">
        <v>179</v>
      </c>
      <c r="E99" s="332">
        <v>8.0798396563723299E-3</v>
      </c>
      <c r="F99" s="9" t="s">
        <v>237</v>
      </c>
      <c r="H99" s="4" t="s">
        <v>213</v>
      </c>
      <c r="I99" s="388">
        <v>2010</v>
      </c>
      <c r="J99" s="174"/>
      <c r="K99" s="49"/>
      <c r="L99" s="438">
        <f>L98*E99</f>
        <v>129526.57533879936</v>
      </c>
      <c r="M99" s="429"/>
      <c r="N99" s="309"/>
      <c r="O99" s="5">
        <f t="shared" si="40"/>
        <v>129526.57533879936</v>
      </c>
      <c r="P99" s="309">
        <f t="shared" si="41"/>
        <v>0</v>
      </c>
      <c r="Q99" s="4"/>
      <c r="R99" s="4"/>
      <c r="S99" s="4"/>
      <c r="V99" s="9"/>
      <c r="W99" s="4"/>
      <c r="X99" s="4"/>
      <c r="Y99" s="4"/>
    </row>
    <row r="100" spans="2:25" x14ac:dyDescent="0.25">
      <c r="B100" s="418"/>
      <c r="C100" t="s">
        <v>29</v>
      </c>
      <c r="D100" s="1" t="s">
        <v>179</v>
      </c>
      <c r="E100" s="332">
        <v>0.70682897180638637</v>
      </c>
      <c r="F100" s="9" t="s">
        <v>236</v>
      </c>
      <c r="H100" s="4" t="s">
        <v>213</v>
      </c>
      <c r="I100" s="388">
        <v>2010</v>
      </c>
      <c r="J100" s="174"/>
      <c r="K100" s="49"/>
      <c r="L100" s="438">
        <f>L99*E100</f>
        <v>91553.136068325999</v>
      </c>
      <c r="M100" s="429"/>
      <c r="N100" s="309"/>
      <c r="O100" s="5">
        <f t="shared" si="40"/>
        <v>91553.136068325999</v>
      </c>
      <c r="P100" s="309">
        <f t="shared" si="41"/>
        <v>0</v>
      </c>
      <c r="Q100" s="4"/>
      <c r="R100" s="4"/>
      <c r="S100" s="4"/>
      <c r="V100" s="9"/>
      <c r="W100" s="4"/>
      <c r="X100" s="4"/>
      <c r="Y100" s="4"/>
    </row>
    <row r="101" spans="2:25" x14ac:dyDescent="0.25">
      <c r="B101" s="418"/>
      <c r="C101" t="s">
        <v>97</v>
      </c>
      <c r="D101" s="1" t="s">
        <v>179</v>
      </c>
      <c r="H101" s="4" t="s">
        <v>203</v>
      </c>
      <c r="I101" s="388">
        <v>2023</v>
      </c>
      <c r="J101" s="174"/>
      <c r="K101" s="37"/>
      <c r="L101" s="438">
        <f>M101</f>
        <v>318966.35366190004</v>
      </c>
      <c r="M101" s="429">
        <v>318966.35366190004</v>
      </c>
      <c r="N101" s="309"/>
      <c r="O101" s="5">
        <f t="shared" si="40"/>
        <v>0</v>
      </c>
      <c r="P101" s="309">
        <f t="shared" si="41"/>
        <v>318966.35366190004</v>
      </c>
      <c r="V101" s="38"/>
    </row>
    <row r="102" spans="2:25" x14ac:dyDescent="0.25">
      <c r="B102" s="419"/>
      <c r="C102" s="89" t="s">
        <v>184</v>
      </c>
      <c r="D102" s="55" t="s">
        <v>179</v>
      </c>
      <c r="E102" s="77"/>
      <c r="F102" s="76"/>
      <c r="G102" s="88"/>
      <c r="H102" s="88" t="s">
        <v>203</v>
      </c>
      <c r="I102" s="55">
        <v>2023</v>
      </c>
      <c r="J102" s="176"/>
      <c r="K102" s="88"/>
      <c r="L102" s="432">
        <f>M102</f>
        <v>930380.21402146725</v>
      </c>
      <c r="M102" s="432">
        <v>930380.21402146725</v>
      </c>
      <c r="N102" s="310"/>
      <c r="O102" s="96">
        <f t="shared" si="40"/>
        <v>0</v>
      </c>
      <c r="P102" s="313">
        <f t="shared" si="41"/>
        <v>930380.21402146725</v>
      </c>
      <c r="R102" s="30"/>
    </row>
    <row r="103" spans="2:25" x14ac:dyDescent="0.25">
      <c r="B103" s="418"/>
      <c r="I103" s="1"/>
      <c r="J103" s="167"/>
      <c r="L103" s="472"/>
      <c r="M103" s="428"/>
      <c r="N103" s="304"/>
      <c r="O103" s="18"/>
      <c r="P103" s="304"/>
    </row>
    <row r="104" spans="2:25" x14ac:dyDescent="0.25">
      <c r="B104" s="418">
        <v>14</v>
      </c>
      <c r="C104" s="94" t="s">
        <v>44</v>
      </c>
      <c r="E104" s="333" t="s">
        <v>255</v>
      </c>
      <c r="F104" s="281">
        <f>(2.24+1.3)/2</f>
        <v>1.77</v>
      </c>
      <c r="J104" s="249"/>
      <c r="K104" s="37"/>
      <c r="L104" s="318">
        <f>SUM(L105:L109)</f>
        <v>16465690.00635167</v>
      </c>
      <c r="M104" s="425"/>
      <c r="N104" s="303"/>
      <c r="O104" s="450">
        <f>SUM(O105:O109)</f>
        <v>13119536.569460548</v>
      </c>
      <c r="P104" s="312">
        <f>SUM(P105:P109)</f>
        <v>3346153.4368911227</v>
      </c>
      <c r="R104" s="30"/>
    </row>
    <row r="105" spans="2:25" x14ac:dyDescent="0.25">
      <c r="B105" s="418"/>
      <c r="C105" t="s">
        <v>258</v>
      </c>
      <c r="D105" s="1" t="s">
        <v>179</v>
      </c>
      <c r="E105" s="23">
        <v>460.67985402946346</v>
      </c>
      <c r="F105" s="9" t="s">
        <v>54</v>
      </c>
      <c r="H105" s="4" t="s">
        <v>213</v>
      </c>
      <c r="I105" s="388">
        <v>2010</v>
      </c>
      <c r="J105" s="174" t="s">
        <v>142</v>
      </c>
      <c r="K105" s="99">
        <v>2.45945480969046</v>
      </c>
      <c r="L105" s="438">
        <f>E105*F104*7391*K105</f>
        <v>14822263.73203627</v>
      </c>
      <c r="M105" s="438">
        <v>1907139.5848892003</v>
      </c>
      <c r="N105" s="309"/>
      <c r="O105" s="5">
        <f t="shared" ref="O105:O109" si="42">L105-M105</f>
        <v>12915124.147147071</v>
      </c>
      <c r="P105" s="309">
        <f t="shared" ref="P105:P109" si="43">M105</f>
        <v>1907139.5848892003</v>
      </c>
      <c r="Q105" s="4"/>
      <c r="R105" s="4"/>
      <c r="S105" s="4"/>
      <c r="V105" s="9"/>
      <c r="W105" s="4"/>
      <c r="X105" s="4"/>
      <c r="Y105" s="4"/>
    </row>
    <row r="106" spans="2:25" x14ac:dyDescent="0.25">
      <c r="B106" s="418"/>
      <c r="C106" t="s">
        <v>38</v>
      </c>
      <c r="D106" s="1" t="s">
        <v>179</v>
      </c>
      <c r="E106" s="332">
        <v>8.0798396563723299E-3</v>
      </c>
      <c r="F106" s="9" t="s">
        <v>237</v>
      </c>
      <c r="H106" s="4" t="s">
        <v>213</v>
      </c>
      <c r="I106" s="388">
        <v>2010</v>
      </c>
      <c r="J106" s="174"/>
      <c r="K106" s="49"/>
      <c r="L106" s="438">
        <f>L105*E106</f>
        <v>119761.51429931598</v>
      </c>
      <c r="M106" s="429"/>
      <c r="N106" s="309"/>
      <c r="O106" s="5">
        <f t="shared" si="42"/>
        <v>119761.51429931598</v>
      </c>
      <c r="P106" s="309">
        <f t="shared" si="43"/>
        <v>0</v>
      </c>
      <c r="Q106" s="4"/>
      <c r="R106" s="4"/>
      <c r="S106" s="4"/>
      <c r="V106" s="9"/>
      <c r="W106" s="4"/>
      <c r="X106" s="4"/>
      <c r="Y106" s="4"/>
    </row>
    <row r="107" spans="2:25" x14ac:dyDescent="0.25">
      <c r="B107" s="418"/>
      <c r="C107" t="s">
        <v>29</v>
      </c>
      <c r="D107" s="1" t="s">
        <v>179</v>
      </c>
      <c r="E107" s="332">
        <v>0.70682897180638637</v>
      </c>
      <c r="F107" s="9" t="s">
        <v>236</v>
      </c>
      <c r="H107" s="4" t="s">
        <v>215</v>
      </c>
      <c r="I107" s="388">
        <v>2010</v>
      </c>
      <c r="J107" s="174"/>
      <c r="K107" s="49"/>
      <c r="L107" s="438">
        <f>L106*E107</f>
        <v>84650.908014161352</v>
      </c>
      <c r="M107" s="428"/>
      <c r="N107" s="304"/>
      <c r="O107" s="5">
        <f t="shared" si="42"/>
        <v>84650.908014161352</v>
      </c>
      <c r="P107" s="309">
        <f t="shared" si="43"/>
        <v>0</v>
      </c>
      <c r="Q107" s="4"/>
      <c r="R107" s="4"/>
      <c r="S107" s="4"/>
      <c r="V107" s="9"/>
      <c r="W107" s="4"/>
      <c r="X107" s="4"/>
      <c r="Y107" s="4"/>
    </row>
    <row r="108" spans="2:25" x14ac:dyDescent="0.25">
      <c r="B108" s="418"/>
      <c r="C108" t="s">
        <v>96</v>
      </c>
      <c r="D108" s="1" t="s">
        <v>179</v>
      </c>
      <c r="H108" s="4" t="s">
        <v>203</v>
      </c>
      <c r="I108" s="388">
        <v>2023</v>
      </c>
      <c r="J108" s="174"/>
      <c r="K108" s="37"/>
      <c r="L108" s="438">
        <f>M108</f>
        <v>166688.70217776002</v>
      </c>
      <c r="M108" s="429">
        <v>166688.70217776002</v>
      </c>
      <c r="N108" s="304"/>
      <c r="O108" s="5">
        <f t="shared" si="42"/>
        <v>0</v>
      </c>
      <c r="P108" s="309">
        <f t="shared" si="43"/>
        <v>166688.70217776002</v>
      </c>
      <c r="V108" s="38"/>
    </row>
    <row r="109" spans="2:25" x14ac:dyDescent="0.25">
      <c r="B109" s="419"/>
      <c r="C109" s="89" t="s">
        <v>184</v>
      </c>
      <c r="D109" s="55" t="s">
        <v>179</v>
      </c>
      <c r="E109" s="77"/>
      <c r="F109" s="76"/>
      <c r="G109" s="88"/>
      <c r="H109" s="88" t="s">
        <v>203</v>
      </c>
      <c r="I109" s="55">
        <v>2023</v>
      </c>
      <c r="J109" s="176"/>
      <c r="K109" s="88"/>
      <c r="L109" s="432">
        <f>M109</f>
        <v>1272325.1498241622</v>
      </c>
      <c r="M109" s="432">
        <v>1272325.1498241622</v>
      </c>
      <c r="N109" s="310"/>
      <c r="O109" s="96">
        <f t="shared" si="42"/>
        <v>0</v>
      </c>
      <c r="P109" s="313">
        <f t="shared" si="43"/>
        <v>1272325.1498241622</v>
      </c>
      <c r="R109" s="30"/>
    </row>
    <row r="110" spans="2:25" x14ac:dyDescent="0.25">
      <c r="B110" s="418"/>
      <c r="I110" s="1"/>
      <c r="J110" s="167"/>
      <c r="L110" s="472"/>
      <c r="M110" s="428"/>
      <c r="N110" s="304"/>
      <c r="O110" s="18"/>
      <c r="P110" s="304"/>
    </row>
    <row r="111" spans="2:25" x14ac:dyDescent="0.25">
      <c r="B111" s="418">
        <v>15</v>
      </c>
      <c r="C111" s="94" t="s">
        <v>43</v>
      </c>
      <c r="E111" s="333" t="s">
        <v>255</v>
      </c>
      <c r="F111" s="281">
        <f>(8.37+1.3)/2</f>
        <v>4.835</v>
      </c>
      <c r="J111" s="249"/>
      <c r="K111" s="37"/>
      <c r="L111" s="318">
        <f>SUM(L112:L116)</f>
        <v>78410765.773613244</v>
      </c>
      <c r="M111" s="425"/>
      <c r="N111" s="303"/>
      <c r="O111" s="450">
        <f>SUM(O112:O116)</f>
        <v>61321930.370310001</v>
      </c>
      <c r="P111" s="312">
        <f>SUM(P112:P116)</f>
        <v>17088835.403303232</v>
      </c>
      <c r="R111" s="30"/>
    </row>
    <row r="112" spans="2:25" x14ac:dyDescent="0.25">
      <c r="B112" s="418"/>
      <c r="C112" t="s">
        <v>259</v>
      </c>
      <c r="D112" s="1" t="s">
        <v>179</v>
      </c>
      <c r="E112" s="23">
        <v>460.67985402946346</v>
      </c>
      <c r="F112" s="9" t="s">
        <v>54</v>
      </c>
      <c r="H112" s="4" t="s">
        <v>213</v>
      </c>
      <c r="I112" s="388">
        <v>2010</v>
      </c>
      <c r="J112" s="174" t="s">
        <v>142</v>
      </c>
      <c r="K112" s="99">
        <v>2.45945480969046</v>
      </c>
      <c r="L112" s="438">
        <f>E112*F111*11650*K112</f>
        <v>63820539.557746291</v>
      </c>
      <c r="M112" s="438">
        <v>3014268.9138460429</v>
      </c>
      <c r="N112" s="309"/>
      <c r="O112" s="5">
        <f t="shared" ref="O112:O116" si="44">L112-M112</f>
        <v>60806270.643900245</v>
      </c>
      <c r="P112" s="309">
        <f t="shared" ref="P112:P116" si="45">M112</f>
        <v>3014268.9138460429</v>
      </c>
      <c r="Q112" s="4"/>
      <c r="R112" s="4"/>
      <c r="S112" s="4"/>
      <c r="V112" s="9"/>
      <c r="W112" s="4"/>
      <c r="X112" s="4"/>
      <c r="Y112" s="4"/>
    </row>
    <row r="113" spans="2:28" x14ac:dyDescent="0.25">
      <c r="B113" s="418"/>
      <c r="C113" t="s">
        <v>38</v>
      </c>
      <c r="D113" s="1" t="s">
        <v>179</v>
      </c>
      <c r="E113" s="332">
        <v>8.0798396563723299E-3</v>
      </c>
      <c r="F113" s="9" t="s">
        <v>237</v>
      </c>
      <c r="H113" s="4" t="s">
        <v>213</v>
      </c>
      <c r="I113" s="388">
        <v>2010</v>
      </c>
      <c r="J113" s="174"/>
      <c r="K113" s="49"/>
      <c r="L113" s="438">
        <f>L112*E113</f>
        <v>515659.72640975745</v>
      </c>
      <c r="M113" s="429"/>
      <c r="N113" s="309"/>
      <c r="O113" s="5">
        <f t="shared" si="44"/>
        <v>515659.72640975745</v>
      </c>
      <c r="P113" s="309">
        <f t="shared" si="45"/>
        <v>0</v>
      </c>
      <c r="Q113" s="4"/>
      <c r="R113" s="4"/>
      <c r="S113" s="4"/>
      <c r="V113" s="9"/>
      <c r="W113" s="4"/>
      <c r="X113" s="4"/>
      <c r="Y113" s="4"/>
    </row>
    <row r="114" spans="2:28" x14ac:dyDescent="0.25">
      <c r="B114" s="418"/>
      <c r="C114" t="s">
        <v>29</v>
      </c>
      <c r="D114" s="1" t="s">
        <v>179</v>
      </c>
      <c r="F114" s="24"/>
      <c r="G114" s="4"/>
      <c r="H114" s="4" t="s">
        <v>203</v>
      </c>
      <c r="I114" s="388">
        <v>2023</v>
      </c>
      <c r="J114" s="174"/>
      <c r="K114" s="49"/>
      <c r="L114" s="438">
        <f>M114</f>
        <v>11220487.188864799</v>
      </c>
      <c r="M114" s="429">
        <v>11220487.188864799</v>
      </c>
      <c r="N114" s="309"/>
      <c r="O114" s="5">
        <f t="shared" si="44"/>
        <v>0</v>
      </c>
      <c r="P114" s="309">
        <f t="shared" si="45"/>
        <v>11220487.188864799</v>
      </c>
      <c r="Q114" s="4"/>
      <c r="R114" s="4"/>
      <c r="S114" s="4"/>
      <c r="V114" s="9"/>
      <c r="W114" s="4"/>
      <c r="X114" s="4"/>
      <c r="Y114" s="4"/>
    </row>
    <row r="115" spans="2:28" x14ac:dyDescent="0.25">
      <c r="B115" s="418"/>
      <c r="C115" t="s">
        <v>37</v>
      </c>
      <c r="D115" s="1" t="s">
        <v>179</v>
      </c>
      <c r="G115" s="58"/>
      <c r="H115" s="4" t="s">
        <v>203</v>
      </c>
      <c r="I115" s="388">
        <v>2023</v>
      </c>
      <c r="J115" s="174"/>
      <c r="K115" s="37"/>
      <c r="L115" s="438">
        <f>M115</f>
        <v>843146.18494301999</v>
      </c>
      <c r="M115" s="429">
        <v>843146.18494301999</v>
      </c>
      <c r="N115" s="309"/>
      <c r="O115" s="5">
        <f t="shared" si="44"/>
        <v>0</v>
      </c>
      <c r="P115" s="309">
        <f t="shared" si="45"/>
        <v>843146.18494301999</v>
      </c>
      <c r="V115" s="38"/>
    </row>
    <row r="116" spans="2:28" x14ac:dyDescent="0.25">
      <c r="B116" s="419"/>
      <c r="C116" s="89" t="s">
        <v>184</v>
      </c>
      <c r="D116" s="55" t="s">
        <v>179</v>
      </c>
      <c r="E116" s="77"/>
      <c r="F116" s="76"/>
      <c r="G116" s="88"/>
      <c r="H116" s="88" t="s">
        <v>203</v>
      </c>
      <c r="I116" s="55">
        <v>2023</v>
      </c>
      <c r="J116" s="176"/>
      <c r="K116" s="88"/>
      <c r="L116" s="432">
        <f>M116</f>
        <v>2010933.1156493679</v>
      </c>
      <c r="M116" s="432">
        <v>2010933.1156493679</v>
      </c>
      <c r="N116" s="310"/>
      <c r="O116" s="96">
        <f t="shared" si="44"/>
        <v>0</v>
      </c>
      <c r="P116" s="313">
        <f t="shared" si="45"/>
        <v>2010933.1156493679</v>
      </c>
      <c r="R116" s="30"/>
    </row>
    <row r="117" spans="2:28" x14ac:dyDescent="0.25">
      <c r="B117" s="418"/>
      <c r="I117" s="1"/>
      <c r="J117" s="167"/>
      <c r="L117" s="472"/>
      <c r="M117" s="429"/>
      <c r="N117" s="304"/>
      <c r="O117" s="18"/>
      <c r="P117" s="304"/>
    </row>
    <row r="118" spans="2:28" x14ac:dyDescent="0.25">
      <c r="B118" s="418">
        <v>16</v>
      </c>
      <c r="C118" s="94" t="s">
        <v>42</v>
      </c>
      <c r="J118" s="249"/>
      <c r="K118" s="37"/>
      <c r="L118" s="318">
        <f>SUM(L119:L125)</f>
        <v>14401846.8091665</v>
      </c>
      <c r="M118" s="425"/>
      <c r="N118" s="303"/>
      <c r="O118" s="450">
        <f>SUM(O119:O125)</f>
        <v>14171491.7239665</v>
      </c>
      <c r="P118" s="312">
        <f>SUM(P119:P125)</f>
        <v>230355.0852</v>
      </c>
      <c r="R118" s="30"/>
    </row>
    <row r="119" spans="2:28" x14ac:dyDescent="0.25">
      <c r="B119" s="418"/>
      <c r="C119" t="s">
        <v>149</v>
      </c>
      <c r="J119" s="174"/>
      <c r="K119" s="37"/>
      <c r="L119" s="438">
        <f>(E123+E124)*SUM(L120:L124)</f>
        <v>1848455.4422565005</v>
      </c>
      <c r="M119" s="428"/>
      <c r="N119" s="307"/>
      <c r="O119" s="5">
        <f t="shared" ref="O119:O125" si="46">L119-M119</f>
        <v>1848455.4422565005</v>
      </c>
      <c r="P119" s="309">
        <f t="shared" ref="P119:P125" si="47">M119</f>
        <v>0</v>
      </c>
    </row>
    <row r="120" spans="2:28" x14ac:dyDescent="0.25">
      <c r="B120" s="418"/>
      <c r="C120" t="s">
        <v>66</v>
      </c>
      <c r="D120" s="1" t="s">
        <v>179</v>
      </c>
      <c r="E120" s="1" t="s">
        <v>69</v>
      </c>
      <c r="F120" s="1" t="s">
        <v>70</v>
      </c>
      <c r="H120" s="40" t="s">
        <v>99</v>
      </c>
      <c r="I120" s="178">
        <v>2023</v>
      </c>
      <c r="J120" s="174"/>
      <c r="K120" s="78"/>
      <c r="L120" s="438">
        <f>2*(440.1*7273.41)</f>
        <v>6402055.4819999998</v>
      </c>
      <c r="M120" s="428"/>
      <c r="N120" s="462"/>
      <c r="O120" s="5">
        <f t="shared" si="46"/>
        <v>6402055.4819999998</v>
      </c>
      <c r="P120" s="309">
        <f t="shared" si="47"/>
        <v>0</v>
      </c>
    </row>
    <row r="121" spans="2:28" x14ac:dyDescent="0.25">
      <c r="B121" s="418"/>
      <c r="C121" t="s">
        <v>67</v>
      </c>
      <c r="D121" s="1" t="s">
        <v>179</v>
      </c>
      <c r="E121" s="1" t="s">
        <v>71</v>
      </c>
      <c r="F121" s="1" t="s">
        <v>72</v>
      </c>
      <c r="H121" s="40" t="s">
        <v>99</v>
      </c>
      <c r="I121" s="178">
        <v>2023</v>
      </c>
      <c r="J121" s="174"/>
      <c r="K121" s="78"/>
      <c r="L121" s="438">
        <f>1*(400*5818.97)</f>
        <v>2327588</v>
      </c>
      <c r="M121" s="428"/>
      <c r="N121" s="462"/>
      <c r="O121" s="5">
        <f t="shared" si="46"/>
        <v>2327588</v>
      </c>
      <c r="P121" s="309">
        <f t="shared" si="47"/>
        <v>0</v>
      </c>
    </row>
    <row r="122" spans="2:28" x14ac:dyDescent="0.25">
      <c r="B122" s="418"/>
      <c r="C122" t="s">
        <v>68</v>
      </c>
      <c r="D122" s="1" t="s">
        <v>179</v>
      </c>
      <c r="E122" s="1" t="s">
        <v>71</v>
      </c>
      <c r="F122" s="1" t="s">
        <v>73</v>
      </c>
      <c r="H122" s="40" t="s">
        <v>99</v>
      </c>
      <c r="I122" s="178">
        <v>2023</v>
      </c>
      <c r="J122" s="174"/>
      <c r="K122" s="78"/>
      <c r="L122" s="438">
        <f>1*(400*4849.13)</f>
        <v>1939652</v>
      </c>
      <c r="M122" s="428"/>
      <c r="N122" s="462"/>
      <c r="O122" s="5">
        <f t="shared" si="46"/>
        <v>1939652</v>
      </c>
      <c r="P122" s="309">
        <f t="shared" si="47"/>
        <v>0</v>
      </c>
    </row>
    <row r="123" spans="2:28" x14ac:dyDescent="0.25">
      <c r="B123" s="418"/>
      <c r="C123" t="s">
        <v>75</v>
      </c>
      <c r="D123" s="1" t="s">
        <v>179</v>
      </c>
      <c r="E123" s="326">
        <v>0.05</v>
      </c>
      <c r="F123" s="253" t="s">
        <v>205</v>
      </c>
      <c r="I123" s="178">
        <v>2023</v>
      </c>
      <c r="J123" s="174"/>
      <c r="K123" s="78"/>
      <c r="L123" s="438">
        <f>E123*SUM(L120:L122)</f>
        <v>533464.77410000004</v>
      </c>
      <c r="M123" s="428"/>
      <c r="N123" s="462"/>
      <c r="O123" s="5">
        <f t="shared" si="46"/>
        <v>533464.77410000004</v>
      </c>
      <c r="P123" s="309">
        <f t="shared" si="47"/>
        <v>0</v>
      </c>
    </row>
    <row r="124" spans="2:28" x14ac:dyDescent="0.25">
      <c r="B124" s="418"/>
      <c r="C124" t="s">
        <v>76</v>
      </c>
      <c r="D124" s="1" t="s">
        <v>179</v>
      </c>
      <c r="E124" s="326">
        <v>0.1</v>
      </c>
      <c r="F124" s="40" t="s">
        <v>204</v>
      </c>
      <c r="I124" s="178">
        <v>2023</v>
      </c>
      <c r="J124" s="174"/>
      <c r="K124" s="78"/>
      <c r="L124" s="438">
        <f>E124*SUM(L120:L123)</f>
        <v>1120276.0256100001</v>
      </c>
      <c r="M124" s="428"/>
      <c r="N124" s="307"/>
      <c r="O124" s="5">
        <f t="shared" si="46"/>
        <v>1120276.0256100001</v>
      </c>
      <c r="P124" s="309">
        <f t="shared" si="47"/>
        <v>0</v>
      </c>
    </row>
    <row r="125" spans="2:28" x14ac:dyDescent="0.25">
      <c r="B125" s="419"/>
      <c r="C125" s="89" t="s">
        <v>184</v>
      </c>
      <c r="D125" s="55" t="s">
        <v>179</v>
      </c>
      <c r="E125" s="77"/>
      <c r="F125" s="76"/>
      <c r="G125" s="88"/>
      <c r="H125" s="88" t="s">
        <v>203</v>
      </c>
      <c r="I125" s="55">
        <v>2023</v>
      </c>
      <c r="J125" s="176"/>
      <c r="K125" s="88"/>
      <c r="L125" s="432">
        <f>M125</f>
        <v>230355.0852</v>
      </c>
      <c r="M125" s="432">
        <v>230355.0852</v>
      </c>
      <c r="N125" s="315"/>
      <c r="O125" s="96">
        <f t="shared" si="46"/>
        <v>0</v>
      </c>
      <c r="P125" s="313">
        <f t="shared" si="47"/>
        <v>230355.0852</v>
      </c>
    </row>
    <row r="126" spans="2:28" x14ac:dyDescent="0.25">
      <c r="B126" s="418"/>
      <c r="I126" s="1"/>
      <c r="J126" s="167"/>
      <c r="L126" s="472"/>
      <c r="M126" s="428"/>
      <c r="N126" s="304"/>
      <c r="O126" s="18"/>
      <c r="P126" s="304"/>
    </row>
    <row r="127" spans="2:28" x14ac:dyDescent="0.25">
      <c r="B127" s="418">
        <v>17</v>
      </c>
      <c r="C127" s="94" t="s">
        <v>35</v>
      </c>
      <c r="E127" s="107">
        <v>6</v>
      </c>
      <c r="F127" s="100" t="s">
        <v>98</v>
      </c>
      <c r="J127" s="249"/>
      <c r="K127" s="37"/>
      <c r="L127" s="318">
        <f>SUM(L128:L130)</f>
        <v>523228.89544104005</v>
      </c>
      <c r="M127" s="425"/>
      <c r="N127" s="303"/>
      <c r="O127" s="450">
        <f>SUM(O128:O130)</f>
        <v>366260.22680872801</v>
      </c>
      <c r="P127" s="312">
        <f>SUM(P128:P130)</f>
        <v>156968.66863231201</v>
      </c>
      <c r="Q127" s="47"/>
      <c r="R127" s="47"/>
      <c r="S127" s="47"/>
      <c r="T127" s="47"/>
      <c r="U127" s="47"/>
      <c r="V127" s="47"/>
      <c r="W127" s="47"/>
      <c r="X127" s="47"/>
      <c r="Y127" s="48"/>
      <c r="Z127" s="47"/>
      <c r="AA127" s="47"/>
      <c r="AB127" s="47"/>
    </row>
    <row r="128" spans="2:28" x14ac:dyDescent="0.25">
      <c r="B128" s="418"/>
      <c r="C128" t="s">
        <v>21</v>
      </c>
      <c r="D128" s="1" t="s">
        <v>179</v>
      </c>
      <c r="E128" s="45">
        <v>0.3</v>
      </c>
      <c r="H128" s="4" t="s">
        <v>203</v>
      </c>
      <c r="I128" s="388">
        <v>2023</v>
      </c>
      <c r="J128" s="174"/>
      <c r="K128" s="37"/>
      <c r="L128" s="438">
        <f>M128</f>
        <v>156968.66863231201</v>
      </c>
      <c r="M128" s="429">
        <v>156968.66863231201</v>
      </c>
      <c r="N128" s="303"/>
      <c r="O128" s="5">
        <f t="shared" ref="O128:O129" si="48">L128-M128</f>
        <v>0</v>
      </c>
      <c r="P128" s="309">
        <f t="shared" ref="P128:P129" si="49">M128</f>
        <v>156968.66863231201</v>
      </c>
      <c r="Q128" s="4"/>
      <c r="R128" s="4"/>
      <c r="S128" s="4"/>
      <c r="V128" s="9"/>
      <c r="W128" s="4"/>
      <c r="X128" s="4"/>
      <c r="Y128" s="4"/>
    </row>
    <row r="129" spans="2:28" x14ac:dyDescent="0.25">
      <c r="B129" s="418"/>
      <c r="C129" t="s">
        <v>95</v>
      </c>
      <c r="D129" s="1" t="s">
        <v>179</v>
      </c>
      <c r="E129" s="45">
        <v>0.7</v>
      </c>
      <c r="F129" s="253" t="s">
        <v>206</v>
      </c>
      <c r="J129" s="174"/>
      <c r="K129" s="37"/>
      <c r="L129" s="438">
        <f>(L128/0.3*0.7)</f>
        <v>366260.22680872801</v>
      </c>
      <c r="M129" s="429"/>
      <c r="N129" s="303"/>
      <c r="O129" s="5">
        <f t="shared" si="48"/>
        <v>366260.22680872801</v>
      </c>
      <c r="P129" s="309">
        <f t="shared" si="49"/>
        <v>0</v>
      </c>
      <c r="Q129" s="4"/>
      <c r="R129" s="4"/>
      <c r="S129" s="4"/>
      <c r="V129" s="9"/>
      <c r="W129" s="4"/>
      <c r="X129" s="4"/>
      <c r="Y129" s="4"/>
    </row>
    <row r="130" spans="2:28" x14ac:dyDescent="0.25">
      <c r="B130" s="419"/>
      <c r="C130" s="89" t="s">
        <v>184</v>
      </c>
      <c r="D130" s="55" t="s">
        <v>179</v>
      </c>
      <c r="E130" s="77"/>
      <c r="F130" s="76"/>
      <c r="G130" s="88"/>
      <c r="H130" s="88"/>
      <c r="I130" s="55"/>
      <c r="J130" s="176"/>
      <c r="K130" s="88"/>
      <c r="L130" s="433">
        <f>L128*E130</f>
        <v>0</v>
      </c>
      <c r="M130" s="433">
        <f>L130</f>
        <v>0</v>
      </c>
      <c r="N130" s="310"/>
      <c r="O130" s="96">
        <f t="shared" ref="O130" si="50">L130-M130</f>
        <v>0</v>
      </c>
      <c r="P130" s="313">
        <f t="shared" ref="P130" si="51">M130</f>
        <v>0</v>
      </c>
      <c r="R130" s="30"/>
    </row>
    <row r="131" spans="2:28" x14ac:dyDescent="0.25">
      <c r="B131" s="418"/>
      <c r="I131" s="1"/>
      <c r="J131" s="167"/>
      <c r="L131" s="472"/>
      <c r="M131" s="428"/>
      <c r="N131" s="304"/>
      <c r="O131" s="18"/>
      <c r="P131" s="304"/>
    </row>
    <row r="132" spans="2:28" x14ac:dyDescent="0.25">
      <c r="B132" s="418">
        <v>18</v>
      </c>
      <c r="C132" s="94" t="s">
        <v>36</v>
      </c>
      <c r="J132" s="249"/>
      <c r="K132" s="37"/>
      <c r="L132" s="318">
        <f>SUM(L133:L136)</f>
        <v>1251254.0048214346</v>
      </c>
      <c r="M132" s="425"/>
      <c r="N132" s="463">
        <v>248593.30967165035</v>
      </c>
      <c r="O132" s="450">
        <f>SUM(O133:O136)</f>
        <v>435038.2919253881</v>
      </c>
      <c r="P132" s="312">
        <f>SUM(P133:P136)</f>
        <v>816215.71289604646</v>
      </c>
      <c r="Q132" s="47"/>
      <c r="R132" s="47"/>
      <c r="S132" s="47"/>
      <c r="T132" s="47"/>
      <c r="U132" s="47"/>
      <c r="V132" s="47"/>
      <c r="W132" s="47"/>
      <c r="X132" s="47"/>
      <c r="Y132" s="48"/>
      <c r="Z132" s="47"/>
      <c r="AA132" s="47"/>
      <c r="AB132" s="47"/>
    </row>
    <row r="133" spans="2:28" x14ac:dyDescent="0.25">
      <c r="B133" s="418"/>
      <c r="C133" t="s">
        <v>21</v>
      </c>
      <c r="D133" s="1" t="s">
        <v>179</v>
      </c>
      <c r="E133" s="107">
        <v>22</v>
      </c>
      <c r="F133" s="100" t="s">
        <v>98</v>
      </c>
      <c r="G133" s="4"/>
      <c r="H133" s="4" t="s">
        <v>203</v>
      </c>
      <c r="I133" s="388">
        <v>2023</v>
      </c>
      <c r="J133" s="174"/>
      <c r="K133" s="49"/>
      <c r="L133" s="438">
        <f>(M133/8)*22</f>
        <v>683631.60159703845</v>
      </c>
      <c r="M133" s="429">
        <v>248593.30967165035</v>
      </c>
      <c r="N133" s="464">
        <f>M134</f>
        <v>455754.40106469236</v>
      </c>
      <c r="O133" s="5">
        <f t="shared" ref="O133:O136" si="52">L133-M133</f>
        <v>435038.2919253881</v>
      </c>
      <c r="P133" s="309">
        <f t="shared" ref="P133:P136" si="53">M133</f>
        <v>248593.30967165035</v>
      </c>
      <c r="Q133" s="102" t="s">
        <v>229</v>
      </c>
      <c r="R133" s="4"/>
      <c r="S133" s="4"/>
      <c r="V133" s="9"/>
      <c r="W133" s="4"/>
      <c r="X133" s="4"/>
      <c r="Y133" s="4"/>
    </row>
    <row r="134" spans="2:28" x14ac:dyDescent="0.25">
      <c r="B134" s="418"/>
      <c r="C134" t="s">
        <v>87</v>
      </c>
      <c r="D134" s="1" t="s">
        <v>179</v>
      </c>
      <c r="E134" s="23">
        <f>L133/0.6*0.4</f>
        <v>455754.40106469236</v>
      </c>
      <c r="F134" s="253" t="s">
        <v>216</v>
      </c>
      <c r="G134" s="46"/>
      <c r="I134" s="178">
        <v>2023</v>
      </c>
      <c r="J134" s="174"/>
      <c r="K134" s="255"/>
      <c r="L134" s="435">
        <f>M134</f>
        <v>455754.40106469236</v>
      </c>
      <c r="M134" s="435">
        <v>455754.40106469236</v>
      </c>
      <c r="N134" s="309"/>
      <c r="O134" s="5">
        <f t="shared" si="52"/>
        <v>0</v>
      </c>
      <c r="P134" s="309">
        <f t="shared" si="53"/>
        <v>455754.40106469236</v>
      </c>
      <c r="Q134" s="4"/>
      <c r="R134" s="4"/>
      <c r="S134" s="4"/>
      <c r="V134" s="9"/>
      <c r="W134" s="4"/>
      <c r="X134" s="4"/>
      <c r="Y134" s="4"/>
    </row>
    <row r="135" spans="2:28" x14ac:dyDescent="0.25">
      <c r="B135" s="418"/>
      <c r="C135" t="s">
        <v>37</v>
      </c>
      <c r="D135" s="1" t="s">
        <v>179</v>
      </c>
      <c r="E135" s="23">
        <f>N133*0.15</f>
        <v>68363.160159703853</v>
      </c>
      <c r="F135" s="253" t="s">
        <v>217</v>
      </c>
      <c r="G135" s="45"/>
      <c r="I135" s="178">
        <v>2023</v>
      </c>
      <c r="J135" s="174"/>
      <c r="K135" s="37"/>
      <c r="L135" s="435">
        <f>M135</f>
        <v>68363.160159703853</v>
      </c>
      <c r="M135" s="435">
        <v>68363.160159703853</v>
      </c>
      <c r="N135" s="309"/>
      <c r="O135" s="5">
        <f t="shared" si="52"/>
        <v>0</v>
      </c>
      <c r="P135" s="309">
        <f t="shared" si="53"/>
        <v>68363.160159703853</v>
      </c>
      <c r="Q135" s="4"/>
      <c r="R135" s="4"/>
      <c r="S135" s="4"/>
      <c r="V135" s="9"/>
      <c r="W135" s="4"/>
      <c r="X135" s="4"/>
      <c r="Y135" s="4"/>
    </row>
    <row r="136" spans="2:28" x14ac:dyDescent="0.25">
      <c r="B136" s="419"/>
      <c r="C136" s="89" t="s">
        <v>184</v>
      </c>
      <c r="D136" s="55" t="s">
        <v>179</v>
      </c>
      <c r="E136" s="77"/>
      <c r="F136" s="76"/>
      <c r="G136" s="88"/>
      <c r="H136" s="88" t="s">
        <v>203</v>
      </c>
      <c r="I136" s="55">
        <v>2023</v>
      </c>
      <c r="J136" s="176"/>
      <c r="K136" s="88"/>
      <c r="L136" s="432">
        <f>M136</f>
        <v>43504.842000000004</v>
      </c>
      <c r="M136" s="432">
        <v>43504.842000000004</v>
      </c>
      <c r="N136" s="310"/>
      <c r="O136" s="96">
        <f t="shared" si="52"/>
        <v>0</v>
      </c>
      <c r="P136" s="313">
        <f t="shared" si="53"/>
        <v>43504.842000000004</v>
      </c>
      <c r="R136" s="30"/>
    </row>
    <row r="137" spans="2:28" x14ac:dyDescent="0.25">
      <c r="B137" s="418"/>
      <c r="C137" s="2"/>
      <c r="D137" s="82"/>
      <c r="E137" s="82"/>
      <c r="F137" s="82"/>
      <c r="G137" s="2"/>
      <c r="H137" s="2"/>
      <c r="I137" s="82"/>
      <c r="J137" s="205"/>
      <c r="K137" s="206"/>
      <c r="L137" s="475"/>
      <c r="M137" s="439"/>
      <c r="N137" s="304"/>
      <c r="O137" s="18"/>
      <c r="P137" s="304"/>
    </row>
    <row r="138" spans="2:28" x14ac:dyDescent="0.25">
      <c r="B138" s="418">
        <v>19</v>
      </c>
      <c r="C138" s="94" t="s">
        <v>32</v>
      </c>
      <c r="J138" s="249"/>
      <c r="K138" s="37"/>
      <c r="L138" s="318">
        <f>SUM(L139:L144)</f>
        <v>20849597.339400277</v>
      </c>
      <c r="M138" s="425"/>
      <c r="N138" s="303"/>
      <c r="O138" s="450">
        <f>SUM(O139:O144)</f>
        <v>17134336.945121977</v>
      </c>
      <c r="P138" s="312">
        <f>SUM(P139:P144)</f>
        <v>3715260.3942782977</v>
      </c>
      <c r="Q138" s="47" t="s">
        <v>183</v>
      </c>
      <c r="R138" s="239">
        <v>13275759.170129223</v>
      </c>
      <c r="S138" s="240">
        <v>1493002.4328000001</v>
      </c>
      <c r="T138" s="241" t="s">
        <v>187</v>
      </c>
      <c r="U138" s="47"/>
      <c r="V138" s="47"/>
      <c r="W138" s="47"/>
      <c r="X138" s="47"/>
      <c r="Y138" s="48"/>
      <c r="Z138" s="47"/>
      <c r="AA138" s="47"/>
    </row>
    <row r="139" spans="2:28" x14ac:dyDescent="0.25">
      <c r="B139" s="418"/>
      <c r="C139" s="60" t="s">
        <v>202</v>
      </c>
      <c r="D139" s="1" t="s">
        <v>179</v>
      </c>
      <c r="E139" s="323">
        <v>710.72</v>
      </c>
      <c r="F139" s="50" t="s">
        <v>50</v>
      </c>
      <c r="G139" s="4"/>
      <c r="H139" s="4" t="s">
        <v>213</v>
      </c>
      <c r="I139" s="388">
        <v>2010</v>
      </c>
      <c r="J139" s="174" t="s">
        <v>142</v>
      </c>
      <c r="K139" s="99">
        <v>2.4594548096904609</v>
      </c>
      <c r="L139" s="438">
        <f>(E139*SUM(Q5:AB5)*K139)-SUM(L140:L143)</f>
        <v>17134336.945121977</v>
      </c>
      <c r="M139" s="440"/>
      <c r="N139" s="309"/>
      <c r="O139" s="5">
        <f t="shared" ref="O139:O144" si="54">L139-M139</f>
        <v>17134336.945121977</v>
      </c>
      <c r="P139" s="309">
        <f t="shared" ref="P139:P144" si="55">M139</f>
        <v>0</v>
      </c>
      <c r="R139" s="30"/>
      <c r="T139" s="4"/>
      <c r="U139" s="4"/>
      <c r="V139" s="4"/>
      <c r="Y139" s="9"/>
      <c r="Z139" s="4"/>
      <c r="AA139" s="4"/>
    </row>
    <row r="140" spans="2:28" x14ac:dyDescent="0.25">
      <c r="B140" s="418"/>
      <c r="C140" t="s">
        <v>39</v>
      </c>
      <c r="D140" s="1" t="s">
        <v>179</v>
      </c>
      <c r="E140" s="13">
        <v>5495</v>
      </c>
      <c r="F140" s="100" t="s">
        <v>1</v>
      </c>
      <c r="G140" s="4"/>
      <c r="H140" s="4" t="s">
        <v>203</v>
      </c>
      <c r="I140" s="388">
        <v>2023</v>
      </c>
      <c r="J140" s="174"/>
      <c r="K140" s="37"/>
      <c r="L140" s="435">
        <f>M140</f>
        <v>104123.60133434685</v>
      </c>
      <c r="M140" s="429">
        <v>104123.60133434685</v>
      </c>
      <c r="N140" s="309"/>
      <c r="O140" s="5">
        <f t="shared" si="54"/>
        <v>0</v>
      </c>
      <c r="P140" s="309">
        <f t="shared" si="55"/>
        <v>104123.60133434685</v>
      </c>
      <c r="R140" s="30"/>
      <c r="T140" s="4"/>
      <c r="U140" s="4"/>
      <c r="V140" s="4"/>
      <c r="Y140" s="9"/>
      <c r="Z140" s="4"/>
      <c r="AA140" s="4"/>
    </row>
    <row r="141" spans="2:28" x14ac:dyDescent="0.25">
      <c r="B141" s="418"/>
      <c r="C141" t="s">
        <v>40</v>
      </c>
      <c r="D141" s="1" t="s">
        <v>179</v>
      </c>
      <c r="E141" s="13">
        <v>5390</v>
      </c>
      <c r="F141" s="100" t="s">
        <v>1</v>
      </c>
      <c r="G141" s="4"/>
      <c r="H141" s="4" t="s">
        <v>203</v>
      </c>
      <c r="I141" s="388">
        <v>2023</v>
      </c>
      <c r="J141" s="174"/>
      <c r="K141" s="37"/>
      <c r="L141" s="435">
        <f t="shared" ref="L141:L143" si="56">M141</f>
        <v>467688.50932677463</v>
      </c>
      <c r="M141" s="429">
        <v>467688.50932677463</v>
      </c>
      <c r="N141" s="309"/>
      <c r="O141" s="5">
        <f t="shared" si="54"/>
        <v>0</v>
      </c>
      <c r="P141" s="309">
        <f t="shared" si="55"/>
        <v>467688.50932677463</v>
      </c>
      <c r="R141" s="30"/>
      <c r="T141" s="4"/>
      <c r="U141" s="4"/>
      <c r="V141" s="4"/>
      <c r="Y141" s="9"/>
      <c r="Z141" s="4"/>
      <c r="AA141" s="4"/>
    </row>
    <row r="142" spans="2:28" x14ac:dyDescent="0.25">
      <c r="B142" s="418"/>
      <c r="C142" t="s">
        <v>53</v>
      </c>
      <c r="D142" s="1" t="s">
        <v>179</v>
      </c>
      <c r="E142" s="11">
        <v>7371</v>
      </c>
      <c r="F142" s="40" t="s">
        <v>1</v>
      </c>
      <c r="G142" s="4"/>
      <c r="H142" s="4" t="s">
        <v>203</v>
      </c>
      <c r="I142" s="388">
        <v>2023</v>
      </c>
      <c r="J142" s="174"/>
      <c r="K142" s="37"/>
      <c r="L142" s="435">
        <f t="shared" si="56"/>
        <v>639579.2211962255</v>
      </c>
      <c r="M142" s="429">
        <v>639579.2211962255</v>
      </c>
      <c r="N142" s="309"/>
      <c r="O142" s="5">
        <f t="shared" si="54"/>
        <v>0</v>
      </c>
      <c r="P142" s="309">
        <f t="shared" si="55"/>
        <v>639579.2211962255</v>
      </c>
      <c r="R142" s="30"/>
      <c r="S142">
        <v>1</v>
      </c>
      <c r="T142" s="4"/>
      <c r="U142" s="4"/>
      <c r="V142" s="4"/>
      <c r="Y142" s="9"/>
      <c r="Z142" s="4"/>
      <c r="AA142" s="4"/>
    </row>
    <row r="143" spans="2:28" x14ac:dyDescent="0.25">
      <c r="B143" s="418"/>
      <c r="C143" t="s">
        <v>34</v>
      </c>
      <c r="D143" s="1" t="s">
        <v>179</v>
      </c>
      <c r="E143" s="11">
        <v>11650</v>
      </c>
      <c r="F143" s="40" t="s">
        <v>1</v>
      </c>
      <c r="G143" s="4"/>
      <c r="H143" s="4" t="s">
        <v>203</v>
      </c>
      <c r="I143" s="388">
        <v>2023</v>
      </c>
      <c r="J143" s="174"/>
      <c r="K143" s="37"/>
      <c r="L143" s="435">
        <f t="shared" si="56"/>
        <v>1010866.6296209507</v>
      </c>
      <c r="M143" s="429">
        <v>1010866.6296209507</v>
      </c>
      <c r="N143" s="309"/>
      <c r="O143" s="5">
        <f t="shared" si="54"/>
        <v>0</v>
      </c>
      <c r="P143" s="309">
        <f t="shared" si="55"/>
        <v>1010866.6296209507</v>
      </c>
      <c r="R143" s="30"/>
      <c r="T143" s="4"/>
      <c r="U143" s="4"/>
      <c r="V143" s="4"/>
      <c r="Y143" s="9"/>
      <c r="Z143" s="4"/>
      <c r="AA143" s="4"/>
    </row>
    <row r="144" spans="2:28" x14ac:dyDescent="0.25">
      <c r="B144" s="419"/>
      <c r="C144" s="89" t="s">
        <v>184</v>
      </c>
      <c r="D144" s="55" t="s">
        <v>179</v>
      </c>
      <c r="E144" s="77"/>
      <c r="F144" s="76"/>
      <c r="G144" s="88"/>
      <c r="H144" s="88" t="s">
        <v>203</v>
      </c>
      <c r="I144" s="55">
        <v>2023</v>
      </c>
      <c r="J144" s="176"/>
      <c r="K144" s="88"/>
      <c r="L144" s="432">
        <f>M144</f>
        <v>1493002.4328000001</v>
      </c>
      <c r="M144" s="432">
        <v>1493002.4328000001</v>
      </c>
      <c r="N144" s="465" t="s">
        <v>207</v>
      </c>
      <c r="O144" s="96">
        <f t="shared" si="54"/>
        <v>0</v>
      </c>
      <c r="P144" s="313">
        <f t="shared" si="55"/>
        <v>1493002.4328000001</v>
      </c>
      <c r="R144" s="30"/>
    </row>
    <row r="145" spans="2:37" x14ac:dyDescent="0.25">
      <c r="B145" s="418"/>
      <c r="C145" s="2"/>
      <c r="D145" s="82"/>
      <c r="E145" s="82"/>
      <c r="F145" s="82"/>
      <c r="G145" s="2"/>
      <c r="H145" s="2"/>
      <c r="I145" s="82"/>
      <c r="J145" s="205"/>
      <c r="K145" s="206"/>
      <c r="L145" s="475"/>
      <c r="M145" s="439"/>
      <c r="N145" s="304"/>
      <c r="O145" s="18"/>
      <c r="P145" s="304"/>
      <c r="R145" s="30"/>
    </row>
    <row r="146" spans="2:37" x14ac:dyDescent="0.25">
      <c r="B146" s="418">
        <v>20</v>
      </c>
      <c r="C146" s="94" t="s">
        <v>41</v>
      </c>
      <c r="E146" s="327" t="s">
        <v>94</v>
      </c>
      <c r="F146" s="106">
        <f>SUM(E148:E151)/E170</f>
        <v>0.23363332395862629</v>
      </c>
      <c r="J146" s="249"/>
      <c r="K146" s="37"/>
      <c r="L146" s="318">
        <f>SUM(L147:L152)</f>
        <v>5132938.6338175768</v>
      </c>
      <c r="M146" s="425"/>
      <c r="N146" s="303"/>
      <c r="O146" s="450">
        <f>SUM(O147:O152)</f>
        <v>4785014.423597577</v>
      </c>
      <c r="P146" s="312">
        <f>SUM(P147:P152)</f>
        <v>347924.21022000001</v>
      </c>
      <c r="Q146" s="47" t="s">
        <v>183</v>
      </c>
      <c r="R146" s="240">
        <v>1094101.29</v>
      </c>
      <c r="S146" s="47"/>
      <c r="T146" s="47"/>
      <c r="U146" s="47"/>
      <c r="V146" s="47"/>
      <c r="W146" s="47"/>
      <c r="X146" s="47"/>
      <c r="Y146" s="48"/>
      <c r="Z146" s="47"/>
      <c r="AA146" s="47"/>
    </row>
    <row r="147" spans="2:37" x14ac:dyDescent="0.25">
      <c r="B147" s="418"/>
      <c r="C147" s="60" t="s">
        <v>93</v>
      </c>
      <c r="D147" s="1" t="s">
        <v>179</v>
      </c>
      <c r="E147" s="328">
        <f>(L171/F169)/91400</f>
        <v>65.055807974843646</v>
      </c>
      <c r="F147" s="329" t="s">
        <v>260</v>
      </c>
      <c r="H147" s="4" t="s">
        <v>213</v>
      </c>
      <c r="I147" s="388">
        <v>2010</v>
      </c>
      <c r="J147" s="174" t="s">
        <v>142</v>
      </c>
      <c r="K147" s="49">
        <v>2.4594548096904609</v>
      </c>
      <c r="L147" s="438">
        <f>(E147*SUM(E148:E151)*K147)-SUM(L148:L151)</f>
        <v>602835.18048715545</v>
      </c>
      <c r="M147" s="429"/>
      <c r="N147" s="309"/>
      <c r="O147" s="5">
        <f t="shared" ref="O147:O152" si="57">L147-M147</f>
        <v>602835.18048715545</v>
      </c>
      <c r="P147" s="309">
        <f t="shared" ref="P147:P152" si="58">M147</f>
        <v>0</v>
      </c>
      <c r="Q147" s="4"/>
      <c r="R147" s="4">
        <f>L146+L169</f>
        <v>26045950.691573046</v>
      </c>
      <c r="S147" s="4"/>
      <c r="T147" s="4"/>
      <c r="U147" s="4"/>
      <c r="V147" s="4"/>
      <c r="W147" s="4"/>
      <c r="X147" s="4"/>
      <c r="Y147" s="9"/>
      <c r="Z147" s="4"/>
      <c r="AA147" s="4"/>
    </row>
    <row r="148" spans="2:37" x14ac:dyDescent="0.25">
      <c r="B148" s="418"/>
      <c r="C148" t="s">
        <v>39</v>
      </c>
      <c r="D148" s="1" t="s">
        <v>179</v>
      </c>
      <c r="E148" s="13">
        <v>5495</v>
      </c>
      <c r="F148" s="330">
        <f>SUM(N172:N174)/SUM(Q170:AB170)</f>
        <v>72.133073889775929</v>
      </c>
      <c r="G148" s="1"/>
      <c r="H148" s="4" t="s">
        <v>91</v>
      </c>
      <c r="I148" s="388">
        <v>2012</v>
      </c>
      <c r="J148" s="174" t="s">
        <v>143</v>
      </c>
      <c r="K148" s="51">
        <v>1.9386967111712305</v>
      </c>
      <c r="L148" s="438">
        <f>E148*F148*K148</f>
        <v>768443.62137670582</v>
      </c>
      <c r="M148" s="429"/>
      <c r="N148" s="309"/>
      <c r="O148" s="5">
        <f t="shared" si="57"/>
        <v>768443.62137670582</v>
      </c>
      <c r="P148" s="309">
        <f t="shared" si="58"/>
        <v>0</v>
      </c>
      <c r="Q148" s="4"/>
      <c r="R148" s="45">
        <f>L146/R147</f>
        <v>0.19707242383278784</v>
      </c>
      <c r="S148" s="4" t="s">
        <v>188</v>
      </c>
      <c r="T148" s="116">
        <f>R146*R148</f>
        <v>215617.19313887993</v>
      </c>
      <c r="V148" s="9"/>
      <c r="W148" s="4"/>
      <c r="X148" s="4"/>
      <c r="Y148" s="4"/>
    </row>
    <row r="149" spans="2:37" x14ac:dyDescent="0.25">
      <c r="B149" s="418"/>
      <c r="C149" t="s">
        <v>40</v>
      </c>
      <c r="D149" s="1" t="s">
        <v>179</v>
      </c>
      <c r="E149" s="13">
        <v>5390</v>
      </c>
      <c r="F149" s="330">
        <f>F148</f>
        <v>72.133073889775929</v>
      </c>
      <c r="G149" s="4"/>
      <c r="H149" s="4" t="s">
        <v>91</v>
      </c>
      <c r="I149" s="388">
        <v>2012</v>
      </c>
      <c r="J149" s="174" t="s">
        <v>143</v>
      </c>
      <c r="K149" s="51">
        <v>1.9386967111712305</v>
      </c>
      <c r="L149" s="438">
        <f>E149*F149*K149</f>
        <v>753759.98529944406</v>
      </c>
      <c r="M149" s="429"/>
      <c r="N149" s="309"/>
      <c r="O149" s="5">
        <f t="shared" si="57"/>
        <v>753759.98529944406</v>
      </c>
      <c r="P149" s="309">
        <f t="shared" si="58"/>
        <v>0</v>
      </c>
      <c r="Q149" s="4"/>
      <c r="R149" s="45">
        <f>L169/R147</f>
        <v>0.80292757616721222</v>
      </c>
      <c r="S149" s="4" t="s">
        <v>189</v>
      </c>
      <c r="T149" s="116">
        <f>R146*R149</f>
        <v>878484.0968611202</v>
      </c>
      <c r="V149" s="9"/>
      <c r="W149" s="4"/>
      <c r="X149" s="4"/>
      <c r="Y149" s="4"/>
    </row>
    <row r="150" spans="2:37" x14ac:dyDescent="0.25">
      <c r="B150" s="418"/>
      <c r="C150" t="s">
        <v>53</v>
      </c>
      <c r="D150" s="1" t="s">
        <v>179</v>
      </c>
      <c r="E150" s="11">
        <v>7371</v>
      </c>
      <c r="F150" s="330">
        <f t="shared" ref="F150:F151" si="59">F149</f>
        <v>72.133073889775929</v>
      </c>
      <c r="G150" s="4"/>
      <c r="H150" s="4" t="s">
        <v>91</v>
      </c>
      <c r="I150" s="388">
        <v>2012</v>
      </c>
      <c r="J150" s="174" t="s">
        <v>143</v>
      </c>
      <c r="K150" s="51">
        <v>1.9386967111712305</v>
      </c>
      <c r="L150" s="438">
        <f>E150*F150*K150</f>
        <v>1030791.2526237851</v>
      </c>
      <c r="M150" s="429"/>
      <c r="N150" s="309"/>
      <c r="O150" s="5">
        <f t="shared" si="57"/>
        <v>1030791.2526237851</v>
      </c>
      <c r="P150" s="309">
        <f t="shared" si="58"/>
        <v>0</v>
      </c>
      <c r="Q150" s="4"/>
      <c r="R150" s="4"/>
      <c r="S150" s="4"/>
      <c r="V150" s="9"/>
      <c r="W150" s="4"/>
      <c r="X150" s="4"/>
      <c r="Y150" s="4"/>
    </row>
    <row r="151" spans="2:37" x14ac:dyDescent="0.25">
      <c r="B151" s="418"/>
      <c r="C151" t="s">
        <v>34</v>
      </c>
      <c r="D151" s="1" t="s">
        <v>179</v>
      </c>
      <c r="E151" s="11">
        <v>11650</v>
      </c>
      <c r="F151" s="330">
        <f t="shared" si="59"/>
        <v>72.133073889775929</v>
      </c>
      <c r="G151" s="4"/>
      <c r="H151" s="4" t="s">
        <v>91</v>
      </c>
      <c r="I151" s="388">
        <v>2012</v>
      </c>
      <c r="J151" s="174" t="s">
        <v>143</v>
      </c>
      <c r="K151" s="51">
        <v>1.9386967111712305</v>
      </c>
      <c r="L151" s="438">
        <f>E151*F151*K151</f>
        <v>1629184.3838104866</v>
      </c>
      <c r="M151" s="429"/>
      <c r="N151" s="309"/>
      <c r="O151" s="5">
        <f t="shared" si="57"/>
        <v>1629184.3838104866</v>
      </c>
      <c r="P151" s="309">
        <f t="shared" si="58"/>
        <v>0</v>
      </c>
      <c r="Q151" s="4"/>
      <c r="R151" s="4"/>
      <c r="S151" s="4"/>
      <c r="V151" s="9"/>
      <c r="W151" s="4"/>
      <c r="X151" s="4"/>
      <c r="Y151" s="4"/>
    </row>
    <row r="152" spans="2:37" x14ac:dyDescent="0.25">
      <c r="B152" s="419"/>
      <c r="C152" s="89" t="s">
        <v>184</v>
      </c>
      <c r="D152" s="55" t="str">
        <f>D151</f>
        <v>gl.</v>
      </c>
      <c r="E152" s="77"/>
      <c r="F152" s="76"/>
      <c r="G152" s="88"/>
      <c r="H152" s="88" t="s">
        <v>203</v>
      </c>
      <c r="I152" s="55">
        <v>2023</v>
      </c>
      <c r="J152" s="176"/>
      <c r="K152" s="88"/>
      <c r="L152" s="432">
        <f>M152</f>
        <v>347924.21022000001</v>
      </c>
      <c r="M152" s="432">
        <v>347924.21022000001</v>
      </c>
      <c r="N152" s="310"/>
      <c r="O152" s="96">
        <f t="shared" si="57"/>
        <v>0</v>
      </c>
      <c r="P152" s="313">
        <f t="shared" si="58"/>
        <v>347924.21022000001</v>
      </c>
      <c r="R152" s="30"/>
    </row>
    <row r="153" spans="2:37" x14ac:dyDescent="0.25">
      <c r="B153" s="418"/>
      <c r="I153" s="1"/>
      <c r="J153" s="167"/>
      <c r="L153" s="472"/>
      <c r="M153" s="428"/>
      <c r="N153" s="304"/>
      <c r="O153" s="18"/>
      <c r="P153" s="304"/>
      <c r="AD153" s="26" t="s">
        <v>49</v>
      </c>
      <c r="AE153" s="27"/>
      <c r="AF153" s="27"/>
      <c r="AG153" s="28"/>
      <c r="AH153" s="26" t="s">
        <v>51</v>
      </c>
      <c r="AI153" s="27"/>
      <c r="AJ153" s="27"/>
      <c r="AK153" s="28"/>
    </row>
    <row r="154" spans="2:37" x14ac:dyDescent="0.25">
      <c r="B154" s="418">
        <v>21</v>
      </c>
      <c r="C154" s="94" t="s">
        <v>176</v>
      </c>
      <c r="J154" s="480" t="s">
        <v>262</v>
      </c>
      <c r="K154" s="481">
        <f>Y5</f>
        <v>676.1</v>
      </c>
      <c r="L154" s="318">
        <f>SUM(L156:L161)</f>
        <v>150971346.5532563</v>
      </c>
      <c r="M154" s="425"/>
      <c r="N154" s="303"/>
      <c r="O154" s="450">
        <f>SUM(O155:O161)</f>
        <v>0</v>
      </c>
      <c r="P154" s="312">
        <f>SUM(P155:P161)</f>
        <v>150971346.5532563</v>
      </c>
      <c r="Q154" s="14" t="s">
        <v>3</v>
      </c>
      <c r="R154" s="14" t="s">
        <v>4</v>
      </c>
      <c r="S154" s="15" t="s">
        <v>5</v>
      </c>
      <c r="T154" s="14" t="s">
        <v>6</v>
      </c>
      <c r="U154" s="15" t="s">
        <v>7</v>
      </c>
      <c r="V154" s="15" t="s">
        <v>8</v>
      </c>
      <c r="W154" s="14" t="s">
        <v>9</v>
      </c>
      <c r="X154" s="14" t="s">
        <v>10</v>
      </c>
      <c r="Y154" s="15" t="s">
        <v>11</v>
      </c>
      <c r="Z154" s="14" t="s">
        <v>12</v>
      </c>
      <c r="AA154" s="14" t="s">
        <v>13</v>
      </c>
      <c r="AB154" s="16" t="s">
        <v>14</v>
      </c>
      <c r="AD154" s="17" t="s">
        <v>47</v>
      </c>
      <c r="AE154" s="25" t="s">
        <v>33</v>
      </c>
      <c r="AF154" s="25" t="s">
        <v>48</v>
      </c>
      <c r="AG154" s="25" t="s">
        <v>50</v>
      </c>
      <c r="AH154" s="17" t="s">
        <v>47</v>
      </c>
      <c r="AI154" s="25" t="s">
        <v>33</v>
      </c>
      <c r="AJ154" s="25" t="s">
        <v>48</v>
      </c>
      <c r="AK154" s="25" t="s">
        <v>50</v>
      </c>
    </row>
    <row r="155" spans="2:37" x14ac:dyDescent="0.25">
      <c r="B155" s="418"/>
      <c r="C155" t="s">
        <v>28</v>
      </c>
      <c r="D155" s="1" t="s">
        <v>1</v>
      </c>
      <c r="G155" s="4"/>
      <c r="H155" s="4"/>
      <c r="K155" s="168"/>
      <c r="L155" s="476">
        <v>0</v>
      </c>
      <c r="M155" s="429"/>
      <c r="N155" s="309">
        <f>M175+M152</f>
        <v>1094101.29</v>
      </c>
      <c r="O155" s="5">
        <f t="shared" ref="O155:O160" si="60">L155-M155</f>
        <v>0</v>
      </c>
      <c r="P155" s="309">
        <f t="shared" ref="P155:P160" si="61">M155</f>
        <v>0</v>
      </c>
      <c r="Q155" s="4">
        <v>5288</v>
      </c>
      <c r="R155" s="4">
        <v>6696</v>
      </c>
      <c r="S155" s="4">
        <v>15917</v>
      </c>
      <c r="T155" s="4">
        <v>4614</v>
      </c>
      <c r="U155" s="4">
        <v>7873</v>
      </c>
      <c r="V155" s="4">
        <v>20556</v>
      </c>
      <c r="W155" s="4">
        <v>4432</v>
      </c>
      <c r="X155" s="4">
        <v>6114</v>
      </c>
      <c r="Y155" s="9">
        <v>12838</v>
      </c>
      <c r="Z155" s="4">
        <v>9248</v>
      </c>
      <c r="AA155" s="4">
        <v>3334</v>
      </c>
      <c r="AB155" s="5">
        <v>14916</v>
      </c>
      <c r="AD155" s="3"/>
      <c r="AG155" s="18"/>
      <c r="AH155" s="3"/>
      <c r="AK155" s="18"/>
    </row>
    <row r="156" spans="2:37" x14ac:dyDescent="0.25">
      <c r="B156" s="418"/>
      <c r="C156" t="s">
        <v>37</v>
      </c>
      <c r="D156" s="1" t="s">
        <v>179</v>
      </c>
      <c r="G156" s="4"/>
      <c r="H156" s="4" t="s">
        <v>203</v>
      </c>
      <c r="I156" s="388">
        <v>2023</v>
      </c>
      <c r="J156" s="334" t="s">
        <v>244</v>
      </c>
      <c r="K156" s="323">
        <f>Y156/$K$154</f>
        <v>135.03955036237244</v>
      </c>
      <c r="L156" s="438">
        <f>M156</f>
        <v>2870935.8885792601</v>
      </c>
      <c r="M156" s="429">
        <v>2870935.8885792601</v>
      </c>
      <c r="N156" s="309"/>
      <c r="O156" s="5">
        <f t="shared" si="60"/>
        <v>0</v>
      </c>
      <c r="P156" s="309">
        <f t="shared" si="61"/>
        <v>2870935.8885792601</v>
      </c>
      <c r="Q156" s="4">
        <v>56545.57</v>
      </c>
      <c r="R156" s="4">
        <v>88245.87</v>
      </c>
      <c r="S156" s="4">
        <v>152992.42999999996</v>
      </c>
      <c r="T156" s="4">
        <v>53575.78</v>
      </c>
      <c r="U156" s="4">
        <v>65288.268000000004</v>
      </c>
      <c r="V156" s="4">
        <v>211787.42959999997</v>
      </c>
      <c r="W156" s="4">
        <v>45040.14</v>
      </c>
      <c r="X156" s="4">
        <v>88255.000000000015</v>
      </c>
      <c r="Y156" s="9">
        <v>91300.24</v>
      </c>
      <c r="Z156" s="4">
        <v>133491.09</v>
      </c>
      <c r="AA156" s="4">
        <v>44767.38</v>
      </c>
      <c r="AB156" s="5">
        <v>238712.99</v>
      </c>
      <c r="AD156" s="21" t="s">
        <v>11</v>
      </c>
      <c r="AE156" s="19">
        <f>Y5</f>
        <v>676.1</v>
      </c>
      <c r="AF156" s="4">
        <f>Y156</f>
        <v>91300.24</v>
      </c>
      <c r="AG156" s="20">
        <f t="shared" ref="AG156:AG160" si="62">+AF156/$AE$156</f>
        <v>135.03955036237244</v>
      </c>
      <c r="AH156" s="3" t="s">
        <v>52</v>
      </c>
      <c r="AI156" s="19">
        <f>SUM(Q8:X8)+SUM(Z8:AB8)</f>
        <v>5923.73</v>
      </c>
      <c r="AJ156" s="4">
        <f>SUM(Q156:X156)+SUM(Z156:AB156)</f>
        <v>1178701.9476000001</v>
      </c>
      <c r="AK156" s="20">
        <f>AJ156/$AI$156</f>
        <v>198.97968806815979</v>
      </c>
    </row>
    <row r="157" spans="2:37" x14ac:dyDescent="0.25">
      <c r="B157" s="418"/>
      <c r="C157" t="s">
        <v>29</v>
      </c>
      <c r="D157" s="1" t="s">
        <v>179</v>
      </c>
      <c r="F157" s="10"/>
      <c r="G157" s="4"/>
      <c r="H157" s="4" t="s">
        <v>203</v>
      </c>
      <c r="I157" s="388">
        <v>2023</v>
      </c>
      <c r="K157" s="323">
        <f>Y157/$K$154</f>
        <v>1128.6472711137405</v>
      </c>
      <c r="L157" s="438">
        <f t="shared" ref="L157:L160" si="63">M157</f>
        <v>136287711.12090904</v>
      </c>
      <c r="M157" s="429">
        <v>136287711.12090904</v>
      </c>
      <c r="N157" s="309"/>
      <c r="O157" s="5">
        <f t="shared" si="60"/>
        <v>0</v>
      </c>
      <c r="P157" s="309">
        <f t="shared" si="61"/>
        <v>136287711.12090904</v>
      </c>
      <c r="Q157" s="4"/>
      <c r="R157" s="482">
        <v>27888714.130000006</v>
      </c>
      <c r="S157" s="483"/>
      <c r="T157" s="483"/>
      <c r="U157" s="483"/>
      <c r="V157" s="484"/>
      <c r="W157" s="4"/>
      <c r="X157" s="4"/>
      <c r="Y157" s="9">
        <v>763078.42</v>
      </c>
      <c r="Z157" s="482">
        <v>25828947.24000001</v>
      </c>
      <c r="AA157" s="483"/>
      <c r="AB157" s="484"/>
      <c r="AD157" s="3"/>
      <c r="AE157" s="19"/>
      <c r="AF157" s="4">
        <f t="shared" ref="AF157:AF160" si="64">Y157</f>
        <v>763078.42</v>
      </c>
      <c r="AG157" s="20">
        <f t="shared" si="62"/>
        <v>1128.6472711137405</v>
      </c>
      <c r="AH157" s="3"/>
      <c r="AI157" s="19">
        <f>SUM(R8:V8)+SUM(Z8:AB8)</f>
        <v>4239.57</v>
      </c>
      <c r="AJ157" s="4">
        <f>R157+Z157</f>
        <v>53717661.37000002</v>
      </c>
      <c r="AK157" s="20">
        <f>AJ157/$AI$156</f>
        <v>9068.215696866675</v>
      </c>
    </row>
    <row r="158" spans="2:37" ht="15" customHeight="1" x14ac:dyDescent="0.25">
      <c r="B158" s="418"/>
      <c r="C158" t="s">
        <v>30</v>
      </c>
      <c r="D158" s="1" t="s">
        <v>179</v>
      </c>
      <c r="F158" s="238"/>
      <c r="G158" s="4"/>
      <c r="H158" s="4" t="s">
        <v>203</v>
      </c>
      <c r="I158" s="388">
        <v>2023</v>
      </c>
      <c r="J158" s="174"/>
      <c r="K158" s="323">
        <f>Y158/$K$154</f>
        <v>531.96824964994073</v>
      </c>
      <c r="L158" s="438">
        <f t="shared" si="63"/>
        <v>9654659.1651725136</v>
      </c>
      <c r="M158" s="429">
        <v>9654659.1651725136</v>
      </c>
      <c r="N158" s="309"/>
      <c r="O158" s="5">
        <f t="shared" si="60"/>
        <v>0</v>
      </c>
      <c r="P158" s="309">
        <f t="shared" si="61"/>
        <v>9654659.1651725136</v>
      </c>
      <c r="Q158" s="4">
        <v>179820.44554093754</v>
      </c>
      <c r="R158" s="4">
        <v>254923.38867502499</v>
      </c>
      <c r="S158" s="4">
        <v>458659.74508649996</v>
      </c>
      <c r="T158" s="4">
        <v>159104.30979922501</v>
      </c>
      <c r="U158" s="4">
        <v>245087.43118350004</v>
      </c>
      <c r="V158" s="4">
        <v>690158.1693059376</v>
      </c>
      <c r="W158" s="4">
        <v>139774.56022347501</v>
      </c>
      <c r="X158" s="4">
        <v>241982.67970313749</v>
      </c>
      <c r="Y158" s="9">
        <v>359663.73358832498</v>
      </c>
      <c r="Z158" s="4">
        <v>362559.69991063746</v>
      </c>
      <c r="AA158" s="4">
        <v>130684.578771575</v>
      </c>
      <c r="AB158" s="5">
        <v>632144.82405016245</v>
      </c>
      <c r="AD158" s="3"/>
      <c r="AF158" s="4">
        <f t="shared" si="64"/>
        <v>359663.73358832498</v>
      </c>
      <c r="AG158" s="20">
        <f t="shared" si="62"/>
        <v>531.96824964994073</v>
      </c>
      <c r="AH158" s="3"/>
      <c r="AI158" s="19">
        <f>AI156</f>
        <v>5923.73</v>
      </c>
      <c r="AJ158" s="4">
        <f>SUM(Q158:X158)+SUM(Z158:AB158)</f>
        <v>3494899.8322501122</v>
      </c>
      <c r="AK158" s="20">
        <f>AJ158/$AI$156</f>
        <v>589.9829722573636</v>
      </c>
    </row>
    <row r="159" spans="2:37" ht="15" customHeight="1" x14ac:dyDescent="0.25">
      <c r="B159" s="418"/>
      <c r="C159" t="s">
        <v>31</v>
      </c>
      <c r="D159" s="1" t="s">
        <v>179</v>
      </c>
      <c r="F159" s="238"/>
      <c r="G159" s="4"/>
      <c r="H159" s="4" t="s">
        <v>203</v>
      </c>
      <c r="I159" s="388">
        <v>2023</v>
      </c>
      <c r="J159" s="174"/>
      <c r="K159" s="323">
        <f>Y159/$K$154</f>
        <v>109.6196481659518</v>
      </c>
      <c r="L159" s="438">
        <f t="shared" si="63"/>
        <v>1247135.6114806861</v>
      </c>
      <c r="M159" s="429">
        <v>1247135.6114806861</v>
      </c>
      <c r="N159" s="309"/>
      <c r="O159" s="5">
        <f t="shared" si="60"/>
        <v>0</v>
      </c>
      <c r="P159" s="309">
        <f t="shared" si="61"/>
        <v>1247135.6114806861</v>
      </c>
      <c r="Q159" s="4">
        <v>74113.844125000018</v>
      </c>
      <c r="R159" s="4">
        <v>29645.537650000006</v>
      </c>
      <c r="S159" s="4">
        <v>35574.645180000007</v>
      </c>
      <c r="T159" s="4">
        <v>29645.537650000006</v>
      </c>
      <c r="U159" s="4">
        <v>41503.752710000008</v>
      </c>
      <c r="V159" s="4">
        <v>65220.182829999998</v>
      </c>
      <c r="W159" s="4">
        <v>59291.075300000011</v>
      </c>
      <c r="X159" s="4">
        <v>41503.752710000008</v>
      </c>
      <c r="Y159" s="9">
        <v>74113.844125000018</v>
      </c>
      <c r="Z159" s="4">
        <v>44468.306474999998</v>
      </c>
      <c r="AA159" s="4">
        <v>29645.537650000006</v>
      </c>
      <c r="AB159" s="5">
        <v>88936.612949999995</v>
      </c>
      <c r="AD159" s="3"/>
      <c r="AF159" s="4">
        <f t="shared" si="64"/>
        <v>74113.844125000018</v>
      </c>
      <c r="AG159" s="20">
        <f t="shared" si="62"/>
        <v>109.6196481659518</v>
      </c>
      <c r="AH159" s="3"/>
      <c r="AJ159" s="4">
        <f>SUM(Q159:X159)+SUM(Z159:AB159)</f>
        <v>539548.78523000004</v>
      </c>
      <c r="AK159" s="20">
        <f>AJ159/$AI$158</f>
        <v>91.082609306973822</v>
      </c>
    </row>
    <row r="160" spans="2:37" ht="15" customHeight="1" x14ac:dyDescent="0.25">
      <c r="B160" s="418"/>
      <c r="C160" t="s">
        <v>26</v>
      </c>
      <c r="D160" s="1" t="s">
        <v>179</v>
      </c>
      <c r="F160" s="238"/>
      <c r="G160" s="4"/>
      <c r="H160" s="4" t="s">
        <v>203</v>
      </c>
      <c r="I160" s="388">
        <v>2023</v>
      </c>
      <c r="J160" s="174"/>
      <c r="K160" s="323">
        <f>Y160/$K$154</f>
        <v>62.836867548254681</v>
      </c>
      <c r="L160" s="438">
        <f t="shared" si="63"/>
        <v>910904.7671148089</v>
      </c>
      <c r="M160" s="429">
        <v>910904.7671148089</v>
      </c>
      <c r="N160" s="309"/>
      <c r="O160" s="5">
        <f t="shared" si="60"/>
        <v>0</v>
      </c>
      <c r="P160" s="309">
        <f t="shared" si="61"/>
        <v>910904.7671148089</v>
      </c>
      <c r="Q160" s="4">
        <v>35224.685344375001</v>
      </c>
      <c r="R160" s="4">
        <v>10965.355600000003</v>
      </c>
      <c r="S160" s="4">
        <v>19516.883859999998</v>
      </c>
      <c r="T160" s="4">
        <v>5535.2344199999989</v>
      </c>
      <c r="U160" s="4">
        <v>13415.602519999999</v>
      </c>
      <c r="V160" s="4">
        <v>33819.383719999998</v>
      </c>
      <c r="W160" s="4">
        <v>30472.128524375003</v>
      </c>
      <c r="X160" s="4">
        <v>59424.175845000005</v>
      </c>
      <c r="Y160" s="9">
        <v>42484.006149374989</v>
      </c>
      <c r="Z160" s="4">
        <v>47489.168633124995</v>
      </c>
      <c r="AA160" s="4">
        <v>17824.594023124999</v>
      </c>
      <c r="AB160" s="5">
        <v>80039.155553124991</v>
      </c>
      <c r="AD160" s="3"/>
      <c r="AF160" s="4">
        <f t="shared" si="64"/>
        <v>42484.006149374989</v>
      </c>
      <c r="AG160" s="20">
        <f t="shared" si="62"/>
        <v>62.836867548254681</v>
      </c>
      <c r="AH160" s="3"/>
      <c r="AJ160" s="4">
        <f>SUM(Q160:X160)+SUM(Z160:AB160)</f>
        <v>353726.36804312502</v>
      </c>
      <c r="AK160" s="20">
        <f>AJ160/$AI$158</f>
        <v>59.713452173398359</v>
      </c>
    </row>
    <row r="161" spans="2:37" x14ac:dyDescent="0.25">
      <c r="B161" s="419"/>
      <c r="C161" s="89" t="s">
        <v>184</v>
      </c>
      <c r="D161" s="55" t="str">
        <f>D160</f>
        <v>gl.</v>
      </c>
      <c r="E161" s="77"/>
      <c r="F161" s="76"/>
      <c r="G161" s="88"/>
      <c r="H161" s="88" t="s">
        <v>203</v>
      </c>
      <c r="I161" s="55">
        <v>2023</v>
      </c>
      <c r="J161" s="176"/>
      <c r="K161" s="88"/>
      <c r="L161" s="433">
        <f>SUM(L158:L160)*E161</f>
        <v>0</v>
      </c>
      <c r="M161" s="433">
        <f>L161</f>
        <v>0</v>
      </c>
      <c r="N161" s="310"/>
      <c r="O161" s="96">
        <f t="shared" ref="O161" si="65">L161-M161</f>
        <v>0</v>
      </c>
      <c r="P161" s="313">
        <f t="shared" ref="P161" si="66">M161</f>
        <v>0</v>
      </c>
      <c r="R161" s="31"/>
    </row>
    <row r="162" spans="2:37" x14ac:dyDescent="0.25">
      <c r="B162" s="418"/>
      <c r="I162" s="1"/>
      <c r="J162" s="167"/>
      <c r="L162" s="472"/>
      <c r="M162" s="428"/>
      <c r="N162" s="304"/>
      <c r="O162" s="18"/>
      <c r="P162" s="304"/>
    </row>
    <row r="163" spans="2:37" x14ac:dyDescent="0.25">
      <c r="B163" s="418">
        <v>22</v>
      </c>
      <c r="C163" s="94" t="s">
        <v>27</v>
      </c>
      <c r="J163" s="249"/>
      <c r="K163" s="37"/>
      <c r="L163" s="318">
        <f>SUM(L165:L166)</f>
        <v>19356594.906600274</v>
      </c>
      <c r="M163" s="425"/>
      <c r="N163" s="303"/>
      <c r="O163" s="450">
        <f>SUM(O164:O167)</f>
        <v>8303093.697949348</v>
      </c>
      <c r="P163" s="312">
        <f>SUM(P164:P167)</f>
        <v>11053501.208650926</v>
      </c>
      <c r="Q163" s="47"/>
      <c r="R163" s="47"/>
      <c r="S163" s="47"/>
      <c r="T163" s="47"/>
      <c r="U163" s="47"/>
      <c r="V163" s="47"/>
      <c r="W163" s="47"/>
      <c r="X163" s="47"/>
      <c r="Y163" s="48"/>
      <c r="Z163" s="47"/>
      <c r="AA163" s="47"/>
      <c r="AB163" s="87"/>
      <c r="AD163" s="3"/>
      <c r="AG163" s="18"/>
      <c r="AH163" s="3"/>
      <c r="AK163" s="18"/>
    </row>
    <row r="164" spans="2:37" x14ac:dyDescent="0.25">
      <c r="B164" s="418"/>
      <c r="C164" t="s">
        <v>92</v>
      </c>
      <c r="D164" s="1" t="s">
        <v>1</v>
      </c>
      <c r="E164" s="4"/>
      <c r="F164" s="4"/>
      <c r="G164" s="4"/>
      <c r="H164" s="4"/>
      <c r="J164" s="174"/>
      <c r="K164" s="37"/>
      <c r="L164" s="308"/>
      <c r="M164" s="429"/>
      <c r="N164" s="309"/>
      <c r="O164" s="5">
        <f t="shared" ref="O164:O167" si="67">L164-M164</f>
        <v>0</v>
      </c>
      <c r="P164" s="309">
        <f t="shared" ref="P164:P167" si="68">M164</f>
        <v>0</v>
      </c>
      <c r="Q164" s="4">
        <v>1888</v>
      </c>
      <c r="R164" s="4">
        <v>6700</v>
      </c>
      <c r="S164" s="4">
        <v>16080</v>
      </c>
      <c r="T164" s="4">
        <v>4600</v>
      </c>
      <c r="U164" s="4">
        <v>7980</v>
      </c>
      <c r="V164" s="4">
        <v>20700</v>
      </c>
      <c r="Y164" s="9">
        <v>2038</v>
      </c>
      <c r="Z164" s="4">
        <v>9258</v>
      </c>
      <c r="AA164" s="4">
        <v>3345</v>
      </c>
      <c r="AB164" s="5">
        <v>11028</v>
      </c>
      <c r="AD164" s="3"/>
      <c r="AF164" s="4"/>
      <c r="AG164" s="20"/>
      <c r="AH164" s="3"/>
      <c r="AJ164" s="4"/>
      <c r="AK164" s="20"/>
    </row>
    <row r="165" spans="2:37" x14ac:dyDescent="0.25">
      <c r="B165" s="418"/>
      <c r="C165" t="s">
        <v>201</v>
      </c>
      <c r="D165" s="1" t="s">
        <v>179</v>
      </c>
      <c r="E165" s="35">
        <v>710.72</v>
      </c>
      <c r="F165" s="50" t="s">
        <v>50</v>
      </c>
      <c r="G165" s="4"/>
      <c r="H165" s="4" t="s">
        <v>213</v>
      </c>
      <c r="I165" s="388">
        <v>2010</v>
      </c>
      <c r="J165" s="174" t="s">
        <v>142</v>
      </c>
      <c r="K165" s="49">
        <v>2.4594548096904609</v>
      </c>
      <c r="L165" s="438">
        <f>(E165*SUM(Q5:AB5)*K165)-L166</f>
        <v>8303093.697949348</v>
      </c>
      <c r="M165" s="437"/>
      <c r="N165" s="309"/>
      <c r="O165" s="5">
        <f t="shared" si="67"/>
        <v>8303093.697949348</v>
      </c>
      <c r="P165" s="309">
        <f t="shared" si="68"/>
        <v>0</v>
      </c>
      <c r="Q165" s="4"/>
      <c r="R165" s="4"/>
      <c r="S165" s="4"/>
      <c r="T165" s="4"/>
      <c r="U165" s="4"/>
      <c r="V165" s="4"/>
      <c r="Y165" s="9"/>
      <c r="Z165" s="4"/>
      <c r="AA165" s="4"/>
      <c r="AB165" s="5"/>
      <c r="AD165" s="3"/>
      <c r="AF165" s="4"/>
      <c r="AG165" s="20"/>
      <c r="AH165" s="3"/>
      <c r="AJ165" s="4"/>
      <c r="AK165" s="20"/>
    </row>
    <row r="166" spans="2:37" x14ac:dyDescent="0.25">
      <c r="B166" s="418"/>
      <c r="C166" t="s">
        <v>195</v>
      </c>
      <c r="D166" s="1" t="s">
        <v>2</v>
      </c>
      <c r="E166" s="4"/>
      <c r="F166" s="4"/>
      <c r="G166" s="4"/>
      <c r="H166" s="4" t="s">
        <v>203</v>
      </c>
      <c r="I166" s="388">
        <v>2023</v>
      </c>
      <c r="J166" s="174"/>
      <c r="K166" s="37"/>
      <c r="L166" s="477">
        <f>M166</f>
        <v>11053501.208650926</v>
      </c>
      <c r="M166" s="429">
        <v>11053501.208650926</v>
      </c>
      <c r="N166" s="466">
        <f>SUM(Q166:V166)+Y166+SUM(Z166:AB166)+(W5+X5)*AK166</f>
        <v>6162847.0405015275</v>
      </c>
      <c r="O166" s="5">
        <f t="shared" si="67"/>
        <v>0</v>
      </c>
      <c r="P166" s="309">
        <f t="shared" si="68"/>
        <v>11053501.208650926</v>
      </c>
      <c r="Q166" s="4">
        <v>114013.95999999999</v>
      </c>
      <c r="R166" s="4">
        <v>404604.625</v>
      </c>
      <c r="S166" s="4">
        <v>971051.10000000021</v>
      </c>
      <c r="T166" s="4">
        <v>277788.25</v>
      </c>
      <c r="U166" s="4">
        <v>481902.22499999992</v>
      </c>
      <c r="V166" s="4">
        <v>1250047.1249999998</v>
      </c>
      <c r="Y166" s="9">
        <v>123072.27249999998</v>
      </c>
      <c r="Z166" s="4">
        <v>559079.04749999999</v>
      </c>
      <c r="AA166" s="4">
        <v>202000.36875000002</v>
      </c>
      <c r="AB166" s="5">
        <v>665967.13500000001</v>
      </c>
      <c r="AD166" s="3" t="s">
        <v>11</v>
      </c>
      <c r="AE166" s="19">
        <f>AE156</f>
        <v>676.1</v>
      </c>
      <c r="AF166" s="4">
        <f>Y166</f>
        <v>123072.27249999998</v>
      </c>
      <c r="AG166" s="20">
        <f>+AF166/$AE$166</f>
        <v>182.03264679781094</v>
      </c>
      <c r="AH166" s="3" t="s">
        <v>52</v>
      </c>
      <c r="AI166" s="19">
        <f>SUM(Q5:V5)+SUM(Z5:AB5)</f>
        <v>8480.9699999999993</v>
      </c>
      <c r="AJ166" s="4">
        <f>SUM(Q166:V166)+SUM(Z166:AB166)</f>
        <v>4926453.8362499997</v>
      </c>
      <c r="AK166" s="20">
        <f>AJ166/$AI$166</f>
        <v>580.88329946338683</v>
      </c>
    </row>
    <row r="167" spans="2:37" x14ac:dyDescent="0.25">
      <c r="B167" s="419"/>
      <c r="C167" s="89" t="s">
        <v>184</v>
      </c>
      <c r="D167" s="55" t="str">
        <f>D166</f>
        <v>R$</v>
      </c>
      <c r="E167" s="77"/>
      <c r="F167" s="76"/>
      <c r="G167" s="88"/>
      <c r="H167" s="88" t="s">
        <v>203</v>
      </c>
      <c r="I167" s="55">
        <v>2023</v>
      </c>
      <c r="J167" s="176"/>
      <c r="K167" s="88"/>
      <c r="L167" s="433">
        <f>M167</f>
        <v>0</v>
      </c>
      <c r="M167" s="433">
        <f>S138*Q167</f>
        <v>0</v>
      </c>
      <c r="N167" s="310"/>
      <c r="O167" s="96">
        <f t="shared" si="67"/>
        <v>0</v>
      </c>
      <c r="P167" s="313">
        <f t="shared" si="68"/>
        <v>0</v>
      </c>
      <c r="Q167" s="242">
        <f>Q144</f>
        <v>0</v>
      </c>
      <c r="R167" s="31"/>
    </row>
    <row r="168" spans="2:37" x14ac:dyDescent="0.25">
      <c r="B168" s="418"/>
      <c r="C168" s="2"/>
      <c r="D168" s="82"/>
      <c r="E168" s="82"/>
      <c r="F168" s="82"/>
      <c r="G168" s="2"/>
      <c r="H168" s="2"/>
      <c r="I168" s="82"/>
      <c r="J168" s="205"/>
      <c r="K168" s="206"/>
      <c r="L168" s="475"/>
      <c r="M168" s="429"/>
      <c r="N168" s="304"/>
      <c r="O168" s="18"/>
      <c r="P168" s="304"/>
    </row>
    <row r="169" spans="2:37" x14ac:dyDescent="0.25">
      <c r="B169" s="418">
        <v>23</v>
      </c>
      <c r="C169" s="94" t="s">
        <v>16</v>
      </c>
      <c r="F169" s="93">
        <f>1-F146</f>
        <v>0.76636667604137365</v>
      </c>
      <c r="J169" s="249"/>
      <c r="K169" s="37"/>
      <c r="L169" s="318">
        <f>SUM(L171:L175)</f>
        <v>20913012.05775547</v>
      </c>
      <c r="M169" s="429"/>
      <c r="N169" s="309"/>
      <c r="O169" s="450">
        <f>SUM(O170:O175)</f>
        <v>4556893.5429788269</v>
      </c>
      <c r="P169" s="312">
        <f>SUM(P170:P175)</f>
        <v>16356118.51477664</v>
      </c>
      <c r="Q169" s="47"/>
      <c r="R169" s="47"/>
      <c r="S169" s="47"/>
      <c r="T169" s="47"/>
      <c r="U169" s="47"/>
      <c r="V169" s="47"/>
      <c r="W169" s="47"/>
      <c r="X169" s="47"/>
      <c r="Y169" s="48"/>
      <c r="Z169" s="47"/>
      <c r="AA169" s="47"/>
      <c r="AB169" s="87"/>
      <c r="AD169" s="3"/>
      <c r="AG169" s="18"/>
      <c r="AH169" s="3"/>
      <c r="AK169" s="18"/>
    </row>
    <row r="170" spans="2:37" x14ac:dyDescent="0.25">
      <c r="B170" s="418"/>
      <c r="C170" t="s">
        <v>20</v>
      </c>
      <c r="D170" s="1" t="s">
        <v>1</v>
      </c>
      <c r="E170" s="101">
        <f>SUM(Q170:AB170)</f>
        <v>128004</v>
      </c>
      <c r="F170" s="102" t="s">
        <v>153</v>
      </c>
      <c r="J170" s="174"/>
      <c r="K170" s="37"/>
      <c r="L170" s="308"/>
      <c r="M170" s="429"/>
      <c r="N170" s="309">
        <f>M175+M152</f>
        <v>1094101.29</v>
      </c>
      <c r="O170" s="5">
        <f t="shared" ref="O170:O175" si="69">L170-M170</f>
        <v>0</v>
      </c>
      <c r="P170" s="309">
        <f t="shared" ref="P170:P175" si="70">M170</f>
        <v>0</v>
      </c>
      <c r="Q170" s="4">
        <v>2904</v>
      </c>
      <c r="R170" s="103">
        <v>12200</v>
      </c>
      <c r="S170" s="103">
        <v>13044</v>
      </c>
      <c r="T170" s="103">
        <v>7000</v>
      </c>
      <c r="U170" s="103">
        <v>8570</v>
      </c>
      <c r="V170" s="103">
        <v>10827</v>
      </c>
      <c r="W170" s="103">
        <v>16673</v>
      </c>
      <c r="X170" s="103">
        <v>8162</v>
      </c>
      <c r="Y170" s="104">
        <v>4805</v>
      </c>
      <c r="Z170" s="103">
        <v>16939</v>
      </c>
      <c r="AA170" s="103">
        <v>10990</v>
      </c>
      <c r="AB170" s="105">
        <v>15890</v>
      </c>
      <c r="AD170" s="3"/>
      <c r="AK170" s="18"/>
    </row>
    <row r="171" spans="2:37" x14ac:dyDescent="0.25">
      <c r="B171" s="418"/>
      <c r="C171" t="s">
        <v>202</v>
      </c>
      <c r="D171" s="1" t="s">
        <v>179</v>
      </c>
      <c r="E171" s="35">
        <v>817.59436289928783</v>
      </c>
      <c r="F171" s="50" t="s">
        <v>50</v>
      </c>
      <c r="H171" s="4" t="s">
        <v>213</v>
      </c>
      <c r="I171" s="388">
        <v>2010</v>
      </c>
      <c r="J171" s="174" t="s">
        <v>142</v>
      </c>
      <c r="K171" s="49">
        <v>2.4594548096904609</v>
      </c>
      <c r="L171" s="438">
        <f>(E171*SUM(Q5:AB5)*F169*K171)-L172</f>
        <v>4556893.5429788269</v>
      </c>
      <c r="M171" s="437"/>
      <c r="N171" s="309"/>
      <c r="O171" s="5">
        <f t="shared" si="69"/>
        <v>4556893.5429788269</v>
      </c>
      <c r="P171" s="309">
        <f t="shared" si="70"/>
        <v>0</v>
      </c>
      <c r="Q171" s="4"/>
      <c r="R171" s="4"/>
      <c r="S171" s="4"/>
      <c r="T171" s="4"/>
      <c r="U171" s="4"/>
      <c r="V171" s="4"/>
      <c r="W171" s="4"/>
      <c r="X171" s="4"/>
      <c r="Y171" s="9"/>
      <c r="Z171" s="4"/>
      <c r="AA171" s="4"/>
      <c r="AB171" s="5"/>
      <c r="AD171" s="3"/>
      <c r="AK171" s="18"/>
    </row>
    <row r="172" spans="2:37" x14ac:dyDescent="0.25">
      <c r="B172" s="418"/>
      <c r="C172" t="s">
        <v>17</v>
      </c>
      <c r="D172" s="1" t="s">
        <v>179</v>
      </c>
      <c r="E172" s="321">
        <f>N172/$E$5</f>
        <v>676.90743461291493</v>
      </c>
      <c r="F172" s="322" t="s">
        <v>50</v>
      </c>
      <c r="G172" s="52"/>
      <c r="H172" s="4" t="s">
        <v>203</v>
      </c>
      <c r="I172" s="388">
        <v>2023</v>
      </c>
      <c r="J172" s="174"/>
      <c r="K172" s="51"/>
      <c r="L172" s="438">
        <f>M172</f>
        <v>12508052.714237683</v>
      </c>
      <c r="M172" s="429">
        <v>12508052.714237683</v>
      </c>
      <c r="N172" s="467">
        <f>SUM(Q172:AB172)</f>
        <v>7495849.5514499983</v>
      </c>
      <c r="O172" s="5">
        <f t="shared" si="69"/>
        <v>0</v>
      </c>
      <c r="P172" s="309">
        <f t="shared" si="70"/>
        <v>12508052.714237683</v>
      </c>
      <c r="Q172" s="4">
        <v>168533.05919999999</v>
      </c>
      <c r="R172" s="4">
        <v>708024.55999999994</v>
      </c>
      <c r="S172" s="4">
        <v>757005.93119999988</v>
      </c>
      <c r="T172" s="4">
        <v>406243.6</v>
      </c>
      <c r="U172" s="4">
        <v>497358.23599999998</v>
      </c>
      <c r="V172" s="4">
        <v>628342.77960000001</v>
      </c>
      <c r="W172" s="4">
        <v>1034777.2326499999</v>
      </c>
      <c r="X172" s="4">
        <v>473680.03759999992</v>
      </c>
      <c r="Y172" s="9">
        <v>278857.21399999998</v>
      </c>
      <c r="Z172" s="4">
        <v>983051.47719999996</v>
      </c>
      <c r="AA172" s="4">
        <v>637802.45200000005</v>
      </c>
      <c r="AB172" s="5">
        <v>922172.97199999995</v>
      </c>
      <c r="AD172" s="21" t="s">
        <v>11</v>
      </c>
      <c r="AE172" s="19">
        <f>Y5</f>
        <v>676.1</v>
      </c>
      <c r="AF172" s="4">
        <f>Y172</f>
        <v>278857.21399999998</v>
      </c>
      <c r="AG172" s="22">
        <f>AF172/$AE$172</f>
        <v>412.44965833456587</v>
      </c>
      <c r="AH172" t="s">
        <v>52</v>
      </c>
      <c r="AI172" s="19">
        <f>SUM(Q5:X5)+SUM(Z5:AB5)</f>
        <v>10397.57</v>
      </c>
      <c r="AJ172" s="4">
        <f>SUM(Q172:X172)+SUM(Z172:AB172)</f>
        <v>7216992.3374499995</v>
      </c>
      <c r="AK172" s="20">
        <f>AJ172/$AI$172</f>
        <v>694.10375091968604</v>
      </c>
    </row>
    <row r="173" spans="2:37" x14ac:dyDescent="0.25">
      <c r="B173" s="418"/>
      <c r="C173" t="s">
        <v>18</v>
      </c>
      <c r="D173" s="1" t="s">
        <v>179</v>
      </c>
      <c r="E173" s="321">
        <f t="shared" ref="E173:E174" si="71">N173/$E$5</f>
        <v>86.75128288425428</v>
      </c>
      <c r="F173" s="322" t="s">
        <v>50</v>
      </c>
      <c r="G173" s="4"/>
      <c r="H173" s="4" t="s">
        <v>203</v>
      </c>
      <c r="I173" s="388">
        <v>2023</v>
      </c>
      <c r="J173" s="174"/>
      <c r="K173" s="51"/>
      <c r="L173" s="438">
        <f t="shared" ref="L173:L174" si="72">M173</f>
        <v>1743243.8829049582</v>
      </c>
      <c r="M173" s="429">
        <v>1743243.8829049582</v>
      </c>
      <c r="N173" s="467">
        <f>SUM(Q173:AB173)</f>
        <v>960655.0787368801</v>
      </c>
      <c r="O173" s="5">
        <f t="shared" si="69"/>
        <v>0</v>
      </c>
      <c r="P173" s="309">
        <f t="shared" si="70"/>
        <v>1743243.8829049582</v>
      </c>
      <c r="Q173" s="4">
        <v>78395.545346480008</v>
      </c>
      <c r="R173" s="4">
        <v>92828.416491920012</v>
      </c>
      <c r="S173" s="4">
        <v>92419.437153520004</v>
      </c>
      <c r="T173" s="4">
        <v>96643.584020000009</v>
      </c>
      <c r="U173" s="4">
        <v>96661.873482399998</v>
      </c>
      <c r="V173" s="4">
        <v>39238.257683839998</v>
      </c>
      <c r="W173" s="4">
        <v>96794.672814079997</v>
      </c>
      <c r="X173" s="4">
        <v>33138.032466880002</v>
      </c>
      <c r="Y173" s="9">
        <v>80817.429106559983</v>
      </c>
      <c r="Z173" s="4">
        <v>84936.25737503999</v>
      </c>
      <c r="AA173" s="4">
        <v>74084.62070592001</v>
      </c>
      <c r="AB173" s="5">
        <v>94696.952090239982</v>
      </c>
      <c r="AD173" s="3"/>
      <c r="AF173" s="4">
        <f t="shared" ref="AF173:AF174" si="73">Y173</f>
        <v>80817.429106559983</v>
      </c>
      <c r="AG173" s="22">
        <f>AF173/$AE$172</f>
        <v>119.53472726898384</v>
      </c>
      <c r="AJ173" s="4">
        <f>SUM(Q173:X173)+SUM(Z173:AB173)</f>
        <v>879837.64963032014</v>
      </c>
      <c r="AK173" s="20">
        <f>AJ173/$AI$172</f>
        <v>84.619545685224551</v>
      </c>
    </row>
    <row r="174" spans="2:37" x14ac:dyDescent="0.25">
      <c r="B174" s="418"/>
      <c r="C174" t="s">
        <v>19</v>
      </c>
      <c r="D174" s="1" t="s">
        <v>179</v>
      </c>
      <c r="E174" s="321">
        <f t="shared" si="71"/>
        <v>70.149946675311796</v>
      </c>
      <c r="F174" s="322" t="s">
        <v>50</v>
      </c>
      <c r="G174" s="4"/>
      <c r="H174" s="4" t="s">
        <v>203</v>
      </c>
      <c r="I174" s="388">
        <v>2023</v>
      </c>
      <c r="J174" s="174"/>
      <c r="K174" s="51"/>
      <c r="L174" s="438">
        <f t="shared" si="72"/>
        <v>1358644.8378540003</v>
      </c>
      <c r="M174" s="429">
        <v>1358644.8378540003</v>
      </c>
      <c r="N174" s="467">
        <f>SUM(Q174:AB174)</f>
        <v>776817.36</v>
      </c>
      <c r="O174" s="5">
        <f t="shared" si="69"/>
        <v>0</v>
      </c>
      <c r="P174" s="309">
        <f t="shared" si="70"/>
        <v>1358644.8378540003</v>
      </c>
      <c r="Q174" s="4">
        <v>65035.871999999996</v>
      </c>
      <c r="R174" s="4">
        <v>36131.040000000001</v>
      </c>
      <c r="S174" s="4">
        <v>36131.040000000001</v>
      </c>
      <c r="T174" s="4">
        <v>25291.728000000003</v>
      </c>
      <c r="U174" s="4">
        <v>21678.624000000003</v>
      </c>
      <c r="V174" s="4">
        <v>54196.560000000005</v>
      </c>
      <c r="W174" s="4">
        <v>86714.496000000014</v>
      </c>
      <c r="X174" s="4">
        <v>18065.52</v>
      </c>
      <c r="Y174" s="9">
        <v>361310.39999999997</v>
      </c>
      <c r="Z174" s="4">
        <v>21678.624000000003</v>
      </c>
      <c r="AA174" s="4">
        <v>36131.040000000001</v>
      </c>
      <c r="AB174" s="5">
        <v>14452.415999999999</v>
      </c>
      <c r="AD174" s="3"/>
      <c r="AF174" s="4">
        <f t="shared" si="73"/>
        <v>361310.39999999997</v>
      </c>
      <c r="AG174" s="22">
        <f>AF174/$AE$172</f>
        <v>534.40378642212681</v>
      </c>
      <c r="AJ174" s="4">
        <f>SUM(Q174:X174)+SUM(Z174:AB174)</f>
        <v>415506.96</v>
      </c>
      <c r="AK174" s="20">
        <f>AJ174/$AI$172</f>
        <v>39.961929566235192</v>
      </c>
    </row>
    <row r="175" spans="2:37" x14ac:dyDescent="0.25">
      <c r="B175" s="419"/>
      <c r="C175" s="89" t="s">
        <v>184</v>
      </c>
      <c r="D175" s="55" t="str">
        <f>D174</f>
        <v>gl.</v>
      </c>
      <c r="E175" s="77"/>
      <c r="F175" s="76"/>
      <c r="G175" s="88"/>
      <c r="H175" s="88" t="s">
        <v>203</v>
      </c>
      <c r="I175" s="55">
        <v>2023</v>
      </c>
      <c r="J175" s="176"/>
      <c r="K175" s="88"/>
      <c r="L175" s="432">
        <f>M175</f>
        <v>746177.07978000003</v>
      </c>
      <c r="M175" s="432">
        <v>746177.07978000003</v>
      </c>
      <c r="N175" s="310"/>
      <c r="O175" s="96">
        <f t="shared" si="69"/>
        <v>0</v>
      </c>
      <c r="P175" s="313">
        <f t="shared" si="70"/>
        <v>746177.07978000003</v>
      </c>
      <c r="Q175" s="6"/>
      <c r="R175" s="31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x14ac:dyDescent="0.25">
      <c r="B176" s="418"/>
      <c r="C176" s="2"/>
      <c r="D176" s="82"/>
      <c r="E176" s="82"/>
      <c r="F176" s="82"/>
      <c r="G176" s="2"/>
      <c r="H176" s="2"/>
      <c r="I176" s="82"/>
      <c r="J176" s="205"/>
      <c r="K176" s="206"/>
      <c r="L176" s="475"/>
      <c r="M176" s="428"/>
      <c r="N176" s="304"/>
      <c r="O176" s="18"/>
      <c r="P176" s="304"/>
    </row>
    <row r="177" spans="2:42" x14ac:dyDescent="0.25">
      <c r="B177" s="418">
        <v>24</v>
      </c>
      <c r="C177" s="94" t="s">
        <v>440</v>
      </c>
      <c r="J177" s="249"/>
      <c r="K177" s="37"/>
      <c r="L177" s="318">
        <f>SUM(L178:L180)</f>
        <v>63501859.323363088</v>
      </c>
      <c r="M177" s="425"/>
      <c r="N177" s="308"/>
      <c r="O177" s="450">
        <f>SUM(O178:O180)</f>
        <v>0</v>
      </c>
      <c r="P177" s="312">
        <f>SUM(P178:P180)</f>
        <v>63501859.323363088</v>
      </c>
      <c r="Q177" s="47"/>
      <c r="R177" s="47"/>
      <c r="S177" s="47"/>
      <c r="T177" s="47"/>
      <c r="U177" s="47"/>
      <c r="V177" s="47"/>
      <c r="W177" s="47"/>
      <c r="X177" s="47"/>
      <c r="Y177" s="48"/>
      <c r="Z177" s="47"/>
      <c r="AA177" s="47"/>
      <c r="AB177" s="87"/>
      <c r="AD177" s="3"/>
      <c r="AG177" s="18"/>
      <c r="AH177" s="3"/>
      <c r="AK177" s="18"/>
    </row>
    <row r="178" spans="2:42" ht="15" customHeight="1" x14ac:dyDescent="0.25">
      <c r="B178" s="418"/>
      <c r="C178" s="60" t="s">
        <v>104</v>
      </c>
      <c r="D178" s="1" t="s">
        <v>179</v>
      </c>
      <c r="E178" s="243">
        <v>0.75</v>
      </c>
      <c r="G178" s="4"/>
      <c r="H178" s="4" t="s">
        <v>203</v>
      </c>
      <c r="I178" s="388">
        <v>2023</v>
      </c>
      <c r="J178" s="174"/>
      <c r="K178" s="51">
        <v>2.501576</v>
      </c>
      <c r="L178" s="438">
        <f>$R$178*E178</f>
        <v>41414256.080454186</v>
      </c>
      <c r="M178" s="425"/>
      <c r="N178" s="308"/>
      <c r="O178" s="5"/>
      <c r="P178" s="309">
        <f>L178</f>
        <v>41414256.080454186</v>
      </c>
      <c r="Q178" s="299"/>
      <c r="R178" s="263">
        <f>SUM(S178:Y178)*R179</f>
        <v>55219008.107272252</v>
      </c>
      <c r="S178" s="4">
        <v>5424499.2300000014</v>
      </c>
      <c r="T178" s="4"/>
      <c r="U178" s="4">
        <v>3297244.6300000008</v>
      </c>
      <c r="V178" s="4">
        <v>9679008.4300000016</v>
      </c>
      <c r="W178" s="4"/>
      <c r="X178" s="4"/>
      <c r="Y178" s="9">
        <v>3672935.6999999997</v>
      </c>
      <c r="Z178" s="4"/>
      <c r="AA178" s="4"/>
      <c r="AB178" s="5"/>
      <c r="AD178" s="3"/>
      <c r="AF178" s="4">
        <f>Y178</f>
        <v>3672935.6999999997</v>
      </c>
      <c r="AG178" s="20">
        <f>+AF178/$AE$156</f>
        <v>5432.5332051471669</v>
      </c>
      <c r="AH178" s="3" t="s">
        <v>74</v>
      </c>
      <c r="AI178" s="65">
        <f>AG178</f>
        <v>5432.5332051471669</v>
      </c>
      <c r="AK178" s="18"/>
    </row>
    <row r="179" spans="2:42" ht="15" customHeight="1" x14ac:dyDescent="0.25">
      <c r="B179" s="418"/>
      <c r="C179" s="60" t="s">
        <v>105</v>
      </c>
      <c r="D179" s="1" t="s">
        <v>179</v>
      </c>
      <c r="E179" s="243">
        <v>0.25</v>
      </c>
      <c r="G179" s="4"/>
      <c r="H179" s="4" t="s">
        <v>208</v>
      </c>
      <c r="I179" s="10"/>
      <c r="J179" s="4"/>
      <c r="K179" s="4"/>
      <c r="L179" s="438">
        <f>$R$178*E179</f>
        <v>13804752.026818063</v>
      </c>
      <c r="M179" s="425"/>
      <c r="N179" s="308"/>
      <c r="O179" s="5"/>
      <c r="P179" s="309">
        <f t="shared" ref="P179:P180" si="74">L179</f>
        <v>13804752.026818063</v>
      </c>
      <c r="Q179" s="4" t="s">
        <v>231</v>
      </c>
      <c r="R179" s="270">
        <v>2.501576</v>
      </c>
      <c r="S179" s="4"/>
      <c r="T179" s="4"/>
      <c r="U179" s="4"/>
      <c r="V179" s="4"/>
      <c r="W179" s="4"/>
      <c r="X179" s="4"/>
      <c r="Y179" s="9"/>
      <c r="Z179" s="4"/>
      <c r="AA179" s="4"/>
      <c r="AB179" s="5"/>
      <c r="AD179" s="3"/>
      <c r="AF179" s="4"/>
      <c r="AG179" s="20"/>
      <c r="AI179" s="65"/>
      <c r="AK179" s="18"/>
    </row>
    <row r="180" spans="2:42" ht="15" customHeight="1" x14ac:dyDescent="0.25">
      <c r="B180" s="419"/>
      <c r="C180" s="67" t="s">
        <v>106</v>
      </c>
      <c r="D180" s="1" t="s">
        <v>179</v>
      </c>
      <c r="E180" s="68">
        <v>0.15</v>
      </c>
      <c r="F180" s="7"/>
      <c r="G180" s="8"/>
      <c r="H180" s="8" t="s">
        <v>209</v>
      </c>
      <c r="I180" s="391"/>
      <c r="J180" s="177"/>
      <c r="K180" s="177"/>
      <c r="L180" s="432">
        <f>SUM(L178:L179)*E180</f>
        <v>8282851.2160908375</v>
      </c>
      <c r="M180" s="432"/>
      <c r="N180" s="316"/>
      <c r="O180" s="96"/>
      <c r="P180" s="313">
        <f t="shared" si="74"/>
        <v>8282851.2160908375</v>
      </c>
      <c r="Q180" s="4"/>
      <c r="R180" s="4"/>
      <c r="S180" s="4"/>
      <c r="T180" s="4"/>
      <c r="U180" s="4"/>
      <c r="V180" s="4"/>
      <c r="W180" s="4"/>
      <c r="X180" s="4"/>
      <c r="Y180" s="9"/>
      <c r="Z180" s="4"/>
      <c r="AA180" s="4"/>
      <c r="AB180" s="5"/>
      <c r="AD180" s="3"/>
      <c r="AF180" s="4"/>
      <c r="AG180" s="20"/>
      <c r="AI180" s="65"/>
      <c r="AK180" s="18"/>
    </row>
    <row r="181" spans="2:42" x14ac:dyDescent="0.25">
      <c r="B181" s="418"/>
      <c r="C181" s="2"/>
      <c r="D181" s="82"/>
      <c r="E181" s="82"/>
      <c r="F181" s="82"/>
      <c r="G181" s="2"/>
      <c r="H181" s="2"/>
      <c r="I181" s="82"/>
      <c r="J181" s="205"/>
      <c r="K181" s="206"/>
      <c r="L181" s="475"/>
      <c r="M181" s="439"/>
      <c r="N181" s="468"/>
      <c r="O181" s="18"/>
      <c r="P181" s="304"/>
    </row>
    <row r="182" spans="2:42" ht="15" customHeight="1" x14ac:dyDescent="0.25">
      <c r="B182" s="418">
        <v>25</v>
      </c>
      <c r="C182" s="94" t="s">
        <v>437</v>
      </c>
      <c r="J182" s="249"/>
      <c r="K182" s="37"/>
      <c r="L182" s="318">
        <f>SUM(L183:L185)</f>
        <v>166564125.34957987</v>
      </c>
      <c r="M182" s="429"/>
      <c r="N182" s="308"/>
      <c r="O182" s="450">
        <f>SUM(O183:O185)</f>
        <v>0</v>
      </c>
      <c r="P182" s="312">
        <f>SUM(P183:P185)</f>
        <v>166564125.34957987</v>
      </c>
      <c r="Q182" s="300" t="s">
        <v>191</v>
      </c>
      <c r="R182" s="264">
        <f>S6+U6+V6+Y6</f>
        <v>2825.8999999999996</v>
      </c>
      <c r="S182" s="4"/>
      <c r="T182" s="4"/>
      <c r="U182" s="4"/>
      <c r="V182" s="4"/>
      <c r="W182" s="4"/>
      <c r="X182" s="4"/>
      <c r="Y182" s="9"/>
      <c r="Z182" s="4"/>
      <c r="AA182" s="4"/>
      <c r="AB182" s="5"/>
      <c r="AD182" s="3"/>
      <c r="AF182" s="4"/>
      <c r="AG182" s="20"/>
      <c r="AI182" s="65"/>
      <c r="AK182" s="18"/>
    </row>
    <row r="183" spans="2:42" ht="15" customHeight="1" x14ac:dyDescent="0.25">
      <c r="B183" s="418"/>
      <c r="C183" s="60" t="s">
        <v>104</v>
      </c>
      <c r="D183" s="1" t="s">
        <v>179</v>
      </c>
      <c r="E183" s="66">
        <v>0.75</v>
      </c>
      <c r="G183" s="4"/>
      <c r="H183" s="4" t="s">
        <v>91</v>
      </c>
      <c r="I183" s="388">
        <v>2012</v>
      </c>
      <c r="J183" s="174" t="s">
        <v>142</v>
      </c>
      <c r="K183" s="37">
        <v>2.17</v>
      </c>
      <c r="L183" s="438">
        <f>$R$184*E183</f>
        <v>108628777.40189993</v>
      </c>
      <c r="M183" s="429"/>
      <c r="N183" s="308"/>
      <c r="O183" s="5"/>
      <c r="P183" s="309">
        <f>L183</f>
        <v>108628777.40189993</v>
      </c>
      <c r="Q183" s="4" t="s">
        <v>192</v>
      </c>
      <c r="R183" s="265">
        <f>Q6+R6+T6+W6+X6+Z6+AA6+AB6</f>
        <v>7412.2799999999988</v>
      </c>
      <c r="S183" s="4"/>
      <c r="T183" s="4"/>
      <c r="U183" s="4"/>
      <c r="V183" s="4"/>
      <c r="W183" s="4"/>
      <c r="X183" s="4"/>
      <c r="Y183" s="9"/>
      <c r="Z183" s="4"/>
      <c r="AA183" s="4"/>
      <c r="AB183" s="5"/>
      <c r="AD183" s="3"/>
      <c r="AF183" s="4"/>
      <c r="AG183" s="20"/>
      <c r="AI183" s="19">
        <f>(Q8+R8+T8+W8+X8+Z8+AA8+AB8)</f>
        <v>4607.2799999999988</v>
      </c>
      <c r="AJ183" s="8">
        <f>AI183*AI178</f>
        <v>25029201.585410431</v>
      </c>
      <c r="AK183" s="39">
        <f>AJ183/AI183</f>
        <v>5432.5332051471669</v>
      </c>
    </row>
    <row r="184" spans="2:42" ht="15" customHeight="1" x14ac:dyDescent="0.25">
      <c r="B184" s="418"/>
      <c r="C184" s="60" t="s">
        <v>105</v>
      </c>
      <c r="D184" s="1" t="s">
        <v>179</v>
      </c>
      <c r="E184" s="66">
        <v>0.25</v>
      </c>
      <c r="G184" s="4"/>
      <c r="H184" s="4" t="s">
        <v>208</v>
      </c>
      <c r="I184" s="10"/>
      <c r="J184" s="4"/>
      <c r="K184" s="4"/>
      <c r="L184" s="438">
        <f>$R$184*E184</f>
        <v>36209592.467299975</v>
      </c>
      <c r="M184" s="429"/>
      <c r="N184" s="308"/>
      <c r="O184" s="5"/>
      <c r="P184" s="309">
        <f t="shared" ref="P184:P185" si="75">L184</f>
        <v>36209592.467299975</v>
      </c>
      <c r="Q184" s="8" t="s">
        <v>190</v>
      </c>
      <c r="R184" s="266">
        <f>R178/R182*R183</f>
        <v>144838369.8691999</v>
      </c>
      <c r="S184" s="4"/>
      <c r="T184" s="4"/>
      <c r="U184" s="4"/>
      <c r="V184" s="4"/>
      <c r="W184" s="4"/>
      <c r="X184" s="4"/>
      <c r="Y184" s="9"/>
      <c r="Z184" s="4"/>
      <c r="AA184" s="4"/>
      <c r="AB184" s="96"/>
      <c r="AC184" s="6"/>
      <c r="AD184" s="83"/>
      <c r="AE184" s="6"/>
      <c r="AF184" s="8"/>
      <c r="AG184" s="97"/>
      <c r="AH184" s="6"/>
      <c r="AI184" s="98"/>
      <c r="AJ184" s="8"/>
      <c r="AK184" s="39"/>
    </row>
    <row r="185" spans="2:42" ht="15" customHeight="1" x14ac:dyDescent="0.25">
      <c r="B185" s="419"/>
      <c r="C185" s="67" t="s">
        <v>106</v>
      </c>
      <c r="D185" s="1" t="s">
        <v>179</v>
      </c>
      <c r="E185" s="68">
        <v>0.15</v>
      </c>
      <c r="F185" s="7"/>
      <c r="G185" s="8"/>
      <c r="H185" s="8" t="s">
        <v>209</v>
      </c>
      <c r="I185" s="392"/>
      <c r="J185" s="8"/>
      <c r="K185" s="8"/>
      <c r="L185" s="432">
        <f>SUM(L183:L184)*E185</f>
        <v>21725755.480379984</v>
      </c>
      <c r="M185" s="432"/>
      <c r="N185" s="316"/>
      <c r="O185" s="96"/>
      <c r="P185" s="313">
        <f t="shared" si="75"/>
        <v>21725755.480379984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2:42" x14ac:dyDescent="0.25">
      <c r="B186" s="418"/>
      <c r="C186" s="2"/>
      <c r="D186" s="82"/>
      <c r="E186" s="82"/>
      <c r="F186" s="82"/>
      <c r="G186" s="2"/>
      <c r="H186" s="2"/>
      <c r="I186" s="82"/>
      <c r="J186" s="205"/>
      <c r="K186" s="206"/>
      <c r="L186" s="475"/>
      <c r="M186" s="439"/>
      <c r="N186" s="468"/>
      <c r="O186" s="18"/>
      <c r="P186" s="30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2:42" x14ac:dyDescent="0.25">
      <c r="B187" s="418">
        <v>26</v>
      </c>
      <c r="C187" s="94" t="s">
        <v>151</v>
      </c>
      <c r="J187" s="249"/>
      <c r="K187" s="37"/>
      <c r="L187" s="318">
        <f>SUM(L188:L191)</f>
        <v>94479167.08046177</v>
      </c>
      <c r="M187" s="429"/>
      <c r="N187" s="303"/>
      <c r="O187" s="450">
        <f>SUM(O188:O192)</f>
        <v>0</v>
      </c>
      <c r="P187" s="312">
        <f>SUM(P188:P192)</f>
        <v>94479167.08046177</v>
      </c>
      <c r="R187" s="30"/>
    </row>
    <row r="188" spans="2:42" ht="15" customHeight="1" x14ac:dyDescent="0.25">
      <c r="B188" s="418"/>
      <c r="C188" s="90" t="s">
        <v>152</v>
      </c>
      <c r="D188" s="75" t="s">
        <v>179</v>
      </c>
      <c r="E188" s="91"/>
      <c r="F188" s="91"/>
      <c r="G188" s="92"/>
      <c r="H188" s="421" t="s">
        <v>203</v>
      </c>
      <c r="I188" s="422">
        <v>2023</v>
      </c>
      <c r="J188" s="245"/>
      <c r="K188" s="51"/>
      <c r="L188" s="438">
        <f>M188</f>
        <v>22489196.759040002</v>
      </c>
      <c r="M188" s="438">
        <v>22489196.759040002</v>
      </c>
      <c r="N188" s="306"/>
      <c r="O188" s="447">
        <f>L188-M188</f>
        <v>0</v>
      </c>
      <c r="P188" s="306">
        <f>M188</f>
        <v>22489196.759040002</v>
      </c>
    </row>
    <row r="189" spans="2:42" ht="31.5" customHeight="1" x14ac:dyDescent="0.25">
      <c r="B189" s="418"/>
      <c r="C189" s="90" t="s">
        <v>150</v>
      </c>
      <c r="D189" s="75" t="s">
        <v>179</v>
      </c>
      <c r="E189" s="91"/>
      <c r="F189" s="91"/>
      <c r="G189" s="92"/>
      <c r="H189" s="421" t="s">
        <v>203</v>
      </c>
      <c r="I189" s="422">
        <v>2023</v>
      </c>
      <c r="J189" s="245"/>
      <c r="K189" s="115"/>
      <c r="L189" s="438">
        <f t="shared" ref="L189:L190" si="76">M189</f>
        <v>49429072.634920001</v>
      </c>
      <c r="M189" s="438">
        <v>49429072.634920001</v>
      </c>
      <c r="N189" s="306"/>
      <c r="O189" s="447">
        <f t="shared" ref="O189:O192" si="77">L189-M189</f>
        <v>0</v>
      </c>
      <c r="P189" s="306">
        <f t="shared" ref="P189:P192" si="78">M189</f>
        <v>49429072.634920001</v>
      </c>
    </row>
    <row r="190" spans="2:42" ht="15" customHeight="1" x14ac:dyDescent="0.25">
      <c r="B190" s="418"/>
      <c r="C190" s="90" t="s">
        <v>155</v>
      </c>
      <c r="D190" s="75" t="s">
        <v>179</v>
      </c>
      <c r="E190" s="91"/>
      <c r="F190" s="91"/>
      <c r="G190" s="92"/>
      <c r="H190" s="421" t="s">
        <v>203</v>
      </c>
      <c r="I190" s="422">
        <v>2023</v>
      </c>
      <c r="J190" s="245"/>
      <c r="K190" s="51"/>
      <c r="L190" s="438">
        <f t="shared" si="76"/>
        <v>17742898.578724001</v>
      </c>
      <c r="M190" s="438">
        <v>17742898.578724001</v>
      </c>
      <c r="N190" s="306"/>
      <c r="O190" s="447">
        <f t="shared" si="77"/>
        <v>0</v>
      </c>
      <c r="P190" s="306">
        <f t="shared" si="78"/>
        <v>17742898.578724001</v>
      </c>
    </row>
    <row r="191" spans="2:42" ht="74.25" customHeight="1" x14ac:dyDescent="0.25">
      <c r="B191" s="418"/>
      <c r="C191" s="90" t="s">
        <v>234</v>
      </c>
      <c r="D191" s="75" t="s">
        <v>179</v>
      </c>
      <c r="E191" s="91"/>
      <c r="F191" s="91"/>
      <c r="G191" s="92"/>
      <c r="H191" s="421" t="s">
        <v>203</v>
      </c>
      <c r="I191" s="422">
        <v>2023</v>
      </c>
      <c r="J191" s="245"/>
      <c r="K191" s="115"/>
      <c r="L191" s="438">
        <f>M191</f>
        <v>4817999.1077777781</v>
      </c>
      <c r="M191" s="438">
        <v>4817999.1077777781</v>
      </c>
      <c r="N191" s="306"/>
      <c r="O191" s="447">
        <f t="shared" si="77"/>
        <v>0</v>
      </c>
      <c r="P191" s="306">
        <f t="shared" si="78"/>
        <v>4817999.1077777781</v>
      </c>
    </row>
    <row r="192" spans="2:42" ht="14.25" customHeight="1" x14ac:dyDescent="0.25">
      <c r="B192" s="419"/>
      <c r="C192" s="89" t="s">
        <v>184</v>
      </c>
      <c r="D192" s="420" t="str">
        <f>D191</f>
        <v>gl.</v>
      </c>
      <c r="E192" s="77"/>
      <c r="F192" s="76"/>
      <c r="G192" s="88"/>
      <c r="H192" s="88"/>
      <c r="I192" s="55"/>
      <c r="J192" s="176"/>
      <c r="K192" s="88"/>
      <c r="L192" s="471">
        <v>0</v>
      </c>
      <c r="M192" s="433">
        <f>L192</f>
        <v>0</v>
      </c>
      <c r="N192" s="310"/>
      <c r="O192" s="456">
        <f t="shared" si="77"/>
        <v>0</v>
      </c>
      <c r="P192" s="317">
        <f t="shared" si="78"/>
        <v>0</v>
      </c>
      <c r="R192" s="30"/>
    </row>
    <row r="193" spans="2:18" ht="14.25" customHeight="1" x14ac:dyDescent="0.25">
      <c r="B193" s="418"/>
      <c r="C193" s="60"/>
      <c r="E193" s="207"/>
      <c r="F193" s="40"/>
      <c r="I193" s="1"/>
      <c r="J193" s="175"/>
      <c r="K193"/>
      <c r="L193" s="478"/>
      <c r="M193" s="436"/>
      <c r="N193" s="304"/>
      <c r="O193" s="18"/>
      <c r="P193" s="304"/>
      <c r="R193" s="30"/>
    </row>
    <row r="194" spans="2:18" x14ac:dyDescent="0.25">
      <c r="B194" s="418">
        <v>27</v>
      </c>
      <c r="C194" s="94" t="s">
        <v>158</v>
      </c>
      <c r="J194" s="249"/>
      <c r="K194" s="37"/>
      <c r="L194" s="318">
        <f>SUM(L195:L198)</f>
        <v>169486079.02497804</v>
      </c>
      <c r="M194" s="428"/>
      <c r="N194" s="307"/>
      <c r="O194" s="450">
        <f>SUM(O195:O198)</f>
        <v>14032000.9405</v>
      </c>
      <c r="P194" s="312">
        <f>SUM(P195:P198)</f>
        <v>155454078.08447805</v>
      </c>
    </row>
    <row r="195" spans="2:18" x14ac:dyDescent="0.25">
      <c r="B195" s="418"/>
      <c r="C195" t="s">
        <v>159</v>
      </c>
      <c r="D195" s="1" t="s">
        <v>179</v>
      </c>
      <c r="E195" s="11">
        <f>SUM(Q6:AB6)</f>
        <v>10238.18</v>
      </c>
      <c r="H195" t="s">
        <v>203</v>
      </c>
      <c r="I195" s="388">
        <v>2023</v>
      </c>
      <c r="J195" s="174"/>
      <c r="K195" s="37"/>
      <c r="L195" s="308">
        <f>M195</f>
        <v>62856829.399999999</v>
      </c>
      <c r="M195" s="429">
        <v>62856829.399999999</v>
      </c>
      <c r="N195" s="307"/>
      <c r="O195" s="447">
        <f>L195-M195</f>
        <v>0</v>
      </c>
      <c r="P195" s="306">
        <f>M195</f>
        <v>62856829.399999999</v>
      </c>
    </row>
    <row r="196" spans="2:18" x14ac:dyDescent="0.25">
      <c r="B196" s="418"/>
      <c r="C196" t="s">
        <v>196</v>
      </c>
      <c r="D196" s="1" t="s">
        <v>179</v>
      </c>
      <c r="E196" s="11"/>
      <c r="F196" s="113"/>
      <c r="G196" s="111"/>
      <c r="H196" t="s">
        <v>210</v>
      </c>
      <c r="I196" s="388">
        <v>2023</v>
      </c>
      <c r="J196" s="174"/>
      <c r="K196" s="37"/>
      <c r="L196" s="308">
        <f>M196</f>
        <v>81403318.684478059</v>
      </c>
      <c r="M196" s="438">
        <v>81403318.684478059</v>
      </c>
      <c r="N196" s="307"/>
      <c r="O196" s="447">
        <f t="shared" ref="O196:O197" si="79">L196-M196</f>
        <v>0</v>
      </c>
      <c r="P196" s="306">
        <f t="shared" ref="P196:P197" si="80">M196</f>
        <v>81403318.684478059</v>
      </c>
    </row>
    <row r="197" spans="2:18" x14ac:dyDescent="0.25">
      <c r="B197" s="418"/>
      <c r="C197" t="s">
        <v>130</v>
      </c>
      <c r="D197" s="1" t="s">
        <v>179</v>
      </c>
      <c r="E197" s="331">
        <v>2.5000000000000001E-2</v>
      </c>
      <c r="F197" s="40" t="s">
        <v>193</v>
      </c>
      <c r="H197" t="s">
        <v>211</v>
      </c>
      <c r="I197" s="388">
        <v>2023</v>
      </c>
      <c r="J197" s="174"/>
      <c r="K197" s="78" t="s">
        <v>80</v>
      </c>
      <c r="L197" s="308">
        <f>M197</f>
        <v>11193930</v>
      </c>
      <c r="M197" s="429">
        <v>11193930</v>
      </c>
      <c r="N197" s="307"/>
      <c r="O197" s="447">
        <f t="shared" si="79"/>
        <v>0</v>
      </c>
      <c r="P197" s="306">
        <f t="shared" si="80"/>
        <v>11193930</v>
      </c>
    </row>
    <row r="198" spans="2:18" x14ac:dyDescent="0.25">
      <c r="B198" s="419"/>
      <c r="C198" s="6" t="s">
        <v>194</v>
      </c>
      <c r="D198" s="7" t="s">
        <v>179</v>
      </c>
      <c r="E198" s="336">
        <f>E5</f>
        <v>11073.67</v>
      </c>
      <c r="F198" s="337">
        <v>1267.1500000000001</v>
      </c>
      <c r="G198" s="200"/>
      <c r="H198" s="6" t="s">
        <v>212</v>
      </c>
      <c r="I198" s="391">
        <v>2023</v>
      </c>
      <c r="J198" s="177"/>
      <c r="K198" s="114" t="s">
        <v>80</v>
      </c>
      <c r="L198" s="316">
        <f>E198*F198</f>
        <v>14032000.9405</v>
      </c>
      <c r="M198" s="441"/>
      <c r="N198" s="315"/>
      <c r="O198" s="457">
        <f t="shared" ref="O198" si="81">L198-M198</f>
        <v>14032000.9405</v>
      </c>
      <c r="P198" s="317">
        <f t="shared" ref="P198" si="82">M198</f>
        <v>0</v>
      </c>
    </row>
    <row r="199" spans="2:18" ht="14.25" customHeight="1" x14ac:dyDescent="0.25">
      <c r="B199" s="418"/>
      <c r="C199" s="60"/>
      <c r="E199" s="207"/>
      <c r="F199" s="40"/>
      <c r="I199" s="1"/>
      <c r="J199" s="175"/>
      <c r="K199"/>
      <c r="L199" s="478"/>
      <c r="M199" s="436"/>
      <c r="N199" s="304"/>
      <c r="O199" s="18"/>
      <c r="P199" s="304"/>
      <c r="R199" s="30"/>
    </row>
    <row r="200" spans="2:18" ht="14.25" customHeight="1" x14ac:dyDescent="0.25">
      <c r="B200" s="418">
        <v>28</v>
      </c>
      <c r="C200" s="94" t="s">
        <v>197</v>
      </c>
      <c r="J200" s="249"/>
      <c r="K200" s="37"/>
      <c r="L200" s="318">
        <f>SUM(L201:L203)</f>
        <v>20424028.309894893</v>
      </c>
      <c r="M200" s="436"/>
      <c r="N200" s="304"/>
      <c r="O200" s="450">
        <f>SUM(O201:O204)</f>
        <v>0</v>
      </c>
      <c r="P200" s="312">
        <f>SUM(P201:P204)</f>
        <v>20424028.309894893</v>
      </c>
      <c r="R200" s="30"/>
    </row>
    <row r="201" spans="2:18" ht="14.25" customHeight="1" x14ac:dyDescent="0.25">
      <c r="B201" s="418"/>
      <c r="C201" s="60" t="s">
        <v>198</v>
      </c>
      <c r="E201" s="207"/>
      <c r="F201" s="40"/>
      <c r="H201" s="4" t="s">
        <v>203</v>
      </c>
      <c r="I201" s="388">
        <v>2023</v>
      </c>
      <c r="J201" s="175"/>
      <c r="K201"/>
      <c r="L201" s="309">
        <f>M201</f>
        <v>2278479.2769959993</v>
      </c>
      <c r="M201" s="436">
        <v>2278479.2769959993</v>
      </c>
      <c r="N201" s="304"/>
      <c r="O201" s="447">
        <f>L201-M201</f>
        <v>0</v>
      </c>
      <c r="P201" s="306">
        <f>M201</f>
        <v>2278479.2769959993</v>
      </c>
      <c r="R201" s="30"/>
    </row>
    <row r="202" spans="2:18" ht="14.25" customHeight="1" x14ac:dyDescent="0.25">
      <c r="B202" s="418"/>
      <c r="C202" s="60" t="s">
        <v>199</v>
      </c>
      <c r="E202" s="207"/>
      <c r="F202" s="40"/>
      <c r="H202" s="4" t="s">
        <v>203</v>
      </c>
      <c r="I202" s="388">
        <v>2023</v>
      </c>
      <c r="J202" s="175"/>
      <c r="K202"/>
      <c r="L202" s="309">
        <f t="shared" ref="L202:L203" si="83">M202</f>
        <v>17780541.249975875</v>
      </c>
      <c r="M202" s="436">
        <v>17780541.249975875</v>
      </c>
      <c r="N202" s="469" t="s">
        <v>222</v>
      </c>
      <c r="O202" s="447">
        <f t="shared" ref="O202:O203" si="84">L202-M202</f>
        <v>0</v>
      </c>
      <c r="P202" s="306">
        <f t="shared" ref="P202:P203" si="85">M202</f>
        <v>17780541.249975875</v>
      </c>
      <c r="R202" s="30"/>
    </row>
    <row r="203" spans="2:18" ht="14.25" customHeight="1" x14ac:dyDescent="0.25">
      <c r="B203" s="419"/>
      <c r="C203" s="67" t="s">
        <v>200</v>
      </c>
      <c r="D203" s="7"/>
      <c r="E203" s="246"/>
      <c r="F203" s="247"/>
      <c r="G203" s="6"/>
      <c r="H203" s="8" t="s">
        <v>203</v>
      </c>
      <c r="I203" s="391">
        <v>2023</v>
      </c>
      <c r="J203" s="248"/>
      <c r="K203" s="6"/>
      <c r="L203" s="313">
        <f t="shared" si="83"/>
        <v>365007.78292302007</v>
      </c>
      <c r="M203" s="442">
        <v>365007.78292302007</v>
      </c>
      <c r="N203" s="310"/>
      <c r="O203" s="456">
        <f t="shared" si="84"/>
        <v>0</v>
      </c>
      <c r="P203" s="317">
        <f t="shared" si="85"/>
        <v>365007.78292302007</v>
      </c>
      <c r="R203" s="30"/>
    </row>
    <row r="204" spans="2:18" ht="14.25" customHeight="1" x14ac:dyDescent="0.25">
      <c r="C204" s="60"/>
      <c r="E204" s="207"/>
      <c r="F204" s="40"/>
      <c r="I204" s="1"/>
      <c r="J204" s="175"/>
      <c r="K204"/>
      <c r="L204" s="478"/>
      <c r="M204" s="436"/>
      <c r="N204" s="304"/>
      <c r="R204" s="30"/>
    </row>
    <row r="205" spans="2:18" x14ac:dyDescent="0.25">
      <c r="H205" s="32" t="s">
        <v>57</v>
      </c>
      <c r="I205" s="393"/>
      <c r="J205" s="169"/>
      <c r="K205" s="44"/>
      <c r="L205" s="443">
        <f>L154+L177+L182+L163+L138+L169+L146+L127+L132+L57+L84+L90+L97+L104+L111+L187+L10+L49+L41+L33+L25+L17+L70+L77+L63+L118+L194+L200</f>
        <v>1201344631.2160113</v>
      </c>
      <c r="M205" s="443">
        <f>SUM(M10:M203)</f>
        <v>623635304.61363411</v>
      </c>
      <c r="N205" s="443"/>
      <c r="O205" s="320">
        <f>O154+O177+O182+O163+O138+O169+O146+O127+O132+O57+O84+O90+O97+O104+O111+O187+O10+O49+O41+O33+O25+O17+O70+O77+O63+O118+O194+O200</f>
        <v>347643341.92943424</v>
      </c>
      <c r="P205" s="320">
        <f>P154+P177+P182+P163+P138+P169+P146+P127+P132+P57+P84+P90+P97+P104+P111+P187+P10+P49+P41+P33+P25+P17+P70+P77+P63+P118+P194+P200</f>
        <v>853701289.28657675</v>
      </c>
      <c r="Q205" t="s">
        <v>156</v>
      </c>
    </row>
    <row r="206" spans="2:18" x14ac:dyDescent="0.25">
      <c r="C206" s="1"/>
      <c r="H206" s="62"/>
      <c r="I206" s="394"/>
      <c r="J206" s="170"/>
      <c r="K206" s="63" t="s">
        <v>50</v>
      </c>
      <c r="L206" s="479">
        <f>L205/E6</f>
        <v>117339.66693455393</v>
      </c>
      <c r="M206" s="444">
        <f>M205/E6</f>
        <v>60912.711498883014</v>
      </c>
      <c r="N206" s="444"/>
      <c r="O206" s="294">
        <f>O205/10594.8</f>
        <v>32812.638457491812</v>
      </c>
      <c r="P206" s="294">
        <f>P205/10594.8</f>
        <v>80577.386008851216</v>
      </c>
      <c r="Q206" t="s">
        <v>157</v>
      </c>
    </row>
    <row r="207" spans="2:18" ht="15.75" x14ac:dyDescent="0.25">
      <c r="C207" s="1"/>
      <c r="F207" s="112"/>
      <c r="H207" s="287" t="s">
        <v>240</v>
      </c>
      <c r="I207" s="395"/>
      <c r="J207" s="288"/>
      <c r="K207" s="289"/>
      <c r="L207" s="290">
        <f>L205-M205</f>
        <v>577709326.60237718</v>
      </c>
      <c r="M207" s="291"/>
      <c r="N207" s="292"/>
      <c r="O207" s="292"/>
      <c r="P207" s="319"/>
    </row>
    <row r="208" spans="2:18" x14ac:dyDescent="0.25">
      <c r="C208" s="1"/>
      <c r="H208" s="1"/>
      <c r="I208" s="1"/>
      <c r="J208" s="167"/>
      <c r="K208" s="12" t="s">
        <v>239</v>
      </c>
      <c r="L208" s="384">
        <f>E6</f>
        <v>10238.18</v>
      </c>
      <c r="M208" s="339">
        <f>M161+M167+M144+M175+M152+M130+M136+M61+M88+M95+M102+M109+M116+M192+M55+M47+M39+M31+M23+M75+M82+M68+M125</f>
        <v>10194955.330800002</v>
      </c>
      <c r="N208" s="80" t="s">
        <v>144</v>
      </c>
      <c r="O208" s="80"/>
      <c r="P208" s="80"/>
    </row>
    <row r="210" spans="2:13" x14ac:dyDescent="0.25">
      <c r="L210" s="37">
        <f>L205-L200</f>
        <v>1180920602.9061165</v>
      </c>
      <c r="M210" s="29">
        <f>M205-M178</f>
        <v>623635304.61363411</v>
      </c>
    </row>
    <row r="211" spans="2:13" x14ac:dyDescent="0.25">
      <c r="M211" s="29">
        <f>M210-SUM(M195:M198)</f>
        <v>468181226.52915609</v>
      </c>
    </row>
    <row r="212" spans="2:13" x14ac:dyDescent="0.25">
      <c r="M212" s="269"/>
    </row>
    <row r="213" spans="2:13" x14ac:dyDescent="0.25">
      <c r="M213" s="29"/>
    </row>
    <row r="214" spans="2:13" x14ac:dyDescent="0.25">
      <c r="J214" s="283" t="s">
        <v>238</v>
      </c>
      <c r="K214" s="284">
        <f>L214/L205</f>
        <v>8.7529408108888485E-2</v>
      </c>
      <c r="L214" s="285">
        <v>105152984.50512838</v>
      </c>
    </row>
    <row r="215" spans="2:13" x14ac:dyDescent="0.25">
      <c r="L215" s="282">
        <f>L205/10595</f>
        <v>113387.88402227573</v>
      </c>
    </row>
    <row r="217" spans="2:13" x14ac:dyDescent="0.25">
      <c r="M217" s="29">
        <v>623635304.61363399</v>
      </c>
    </row>
    <row r="218" spans="2:13" x14ac:dyDescent="0.25">
      <c r="B218"/>
      <c r="D218"/>
      <c r="E218"/>
      <c r="F218"/>
      <c r="I218" s="1"/>
      <c r="J218"/>
      <c r="K218"/>
      <c r="L218"/>
      <c r="M218" s="4">
        <f>M217-M205</f>
        <v>0</v>
      </c>
    </row>
    <row r="219" spans="2:13" x14ac:dyDescent="0.25">
      <c r="B219"/>
      <c r="D219"/>
      <c r="E219"/>
      <c r="F219"/>
      <c r="I219" s="1"/>
      <c r="J219"/>
      <c r="K219"/>
      <c r="L219"/>
      <c r="M219"/>
    </row>
    <row r="220" spans="2:13" x14ac:dyDescent="0.25">
      <c r="B220"/>
      <c r="D220"/>
      <c r="E220"/>
      <c r="F220"/>
      <c r="I220" s="1"/>
      <c r="J220"/>
      <c r="K220"/>
      <c r="L220"/>
      <c r="M220"/>
    </row>
    <row r="221" spans="2:13" x14ac:dyDescent="0.25">
      <c r="B221"/>
      <c r="D221"/>
      <c r="E221"/>
      <c r="F221"/>
      <c r="I221" s="1"/>
      <c r="J221"/>
      <c r="K221"/>
      <c r="L221"/>
      <c r="M221"/>
    </row>
    <row r="222" spans="2:13" x14ac:dyDescent="0.25">
      <c r="B222"/>
      <c r="D222"/>
      <c r="E222"/>
      <c r="F222"/>
      <c r="I222" s="1"/>
      <c r="J222"/>
      <c r="K222"/>
      <c r="L222"/>
      <c r="M222"/>
    </row>
    <row r="223" spans="2:13" x14ac:dyDescent="0.25">
      <c r="B223"/>
      <c r="D223"/>
      <c r="E223"/>
      <c r="F223"/>
      <c r="I223" s="1"/>
      <c r="J223"/>
      <c r="K223"/>
      <c r="L223"/>
      <c r="M223"/>
    </row>
    <row r="224" spans="2:13" x14ac:dyDescent="0.25">
      <c r="B224"/>
      <c r="D224"/>
      <c r="E224"/>
      <c r="F224"/>
      <c r="I224" s="1"/>
      <c r="J224"/>
      <c r="K224"/>
      <c r="L224"/>
      <c r="M224"/>
    </row>
    <row r="225" spans="9:9" customFormat="1" x14ac:dyDescent="0.25">
      <c r="I225" s="1"/>
    </row>
    <row r="226" spans="9:9" customFormat="1" x14ac:dyDescent="0.25">
      <c r="I226" s="1"/>
    </row>
    <row r="227" spans="9:9" customFormat="1" x14ac:dyDescent="0.25">
      <c r="I227" s="1"/>
    </row>
    <row r="228" spans="9:9" customFormat="1" x14ac:dyDescent="0.25">
      <c r="I228" s="1"/>
    </row>
    <row r="229" spans="9:9" customFormat="1" x14ac:dyDescent="0.25">
      <c r="I229" s="1"/>
    </row>
    <row r="230" spans="9:9" customFormat="1" x14ac:dyDescent="0.25">
      <c r="I230" s="1"/>
    </row>
    <row r="231" spans="9:9" customFormat="1" x14ac:dyDescent="0.25">
      <c r="I231" s="1"/>
    </row>
    <row r="232" spans="9:9" customFormat="1" x14ac:dyDescent="0.25">
      <c r="I232" s="1"/>
    </row>
    <row r="233" spans="9:9" customFormat="1" x14ac:dyDescent="0.25">
      <c r="I233" s="1"/>
    </row>
    <row r="234" spans="9:9" customFormat="1" x14ac:dyDescent="0.25">
      <c r="I234" s="1"/>
    </row>
    <row r="235" spans="9:9" customFormat="1" x14ac:dyDescent="0.25">
      <c r="I235" s="1"/>
    </row>
    <row r="236" spans="9:9" customFormat="1" x14ac:dyDescent="0.25">
      <c r="I236" s="1"/>
    </row>
    <row r="237" spans="9:9" customFormat="1" x14ac:dyDescent="0.25">
      <c r="I237" s="1"/>
    </row>
    <row r="238" spans="9:9" customFormat="1" x14ac:dyDescent="0.25">
      <c r="I238" s="1"/>
    </row>
    <row r="239" spans="9:9" customFormat="1" x14ac:dyDescent="0.25">
      <c r="I239" s="1"/>
    </row>
    <row r="240" spans="9:9" customFormat="1" x14ac:dyDescent="0.25">
      <c r="I240" s="1"/>
    </row>
    <row r="241" spans="9:9" customFormat="1" x14ac:dyDescent="0.25">
      <c r="I241" s="1"/>
    </row>
    <row r="242" spans="9:9" customFormat="1" x14ac:dyDescent="0.25">
      <c r="I242" s="1"/>
    </row>
    <row r="243" spans="9:9" customFormat="1" x14ac:dyDescent="0.25">
      <c r="I243" s="1"/>
    </row>
    <row r="244" spans="9:9" customFormat="1" x14ac:dyDescent="0.25">
      <c r="I244" s="1"/>
    </row>
    <row r="245" spans="9:9" customFormat="1" x14ac:dyDescent="0.25">
      <c r="I245" s="1"/>
    </row>
    <row r="246" spans="9:9" customFormat="1" x14ac:dyDescent="0.25">
      <c r="I246" s="1"/>
    </row>
    <row r="247" spans="9:9" customFormat="1" x14ac:dyDescent="0.25">
      <c r="I247" s="1"/>
    </row>
    <row r="248" spans="9:9" customFormat="1" x14ac:dyDescent="0.25">
      <c r="I248" s="1"/>
    </row>
    <row r="249" spans="9:9" customFormat="1" x14ac:dyDescent="0.25">
      <c r="I249" s="1"/>
    </row>
    <row r="250" spans="9:9" customFormat="1" x14ac:dyDescent="0.25">
      <c r="I250" s="1"/>
    </row>
    <row r="251" spans="9:9" customFormat="1" x14ac:dyDescent="0.25">
      <c r="I251" s="1"/>
    </row>
    <row r="252" spans="9:9" customFormat="1" x14ac:dyDescent="0.25">
      <c r="I252" s="1"/>
    </row>
    <row r="253" spans="9:9" customFormat="1" x14ac:dyDescent="0.25">
      <c r="I253" s="1"/>
    </row>
    <row r="254" spans="9:9" customFormat="1" x14ac:dyDescent="0.25">
      <c r="I254" s="1"/>
    </row>
    <row r="255" spans="9:9" customFormat="1" x14ac:dyDescent="0.25">
      <c r="I255" s="1"/>
    </row>
    <row r="256" spans="9:9" customFormat="1" x14ac:dyDescent="0.25">
      <c r="I256" s="1"/>
    </row>
    <row r="257" spans="9:9" customFormat="1" x14ac:dyDescent="0.25">
      <c r="I257" s="1"/>
    </row>
    <row r="258" spans="9:9" customFormat="1" x14ac:dyDescent="0.25">
      <c r="I258" s="1"/>
    </row>
    <row r="259" spans="9:9" customFormat="1" x14ac:dyDescent="0.25">
      <c r="I259" s="1"/>
    </row>
    <row r="260" spans="9:9" customFormat="1" x14ac:dyDescent="0.25">
      <c r="I260" s="1"/>
    </row>
    <row r="261" spans="9:9" customFormat="1" x14ac:dyDescent="0.25">
      <c r="I261" s="1"/>
    </row>
    <row r="262" spans="9:9" customFormat="1" x14ac:dyDescent="0.25">
      <c r="I262" s="1"/>
    </row>
    <row r="263" spans="9:9" customFormat="1" x14ac:dyDescent="0.25">
      <c r="I263" s="1"/>
    </row>
    <row r="264" spans="9:9" customFormat="1" x14ac:dyDescent="0.25">
      <c r="I264" s="1"/>
    </row>
    <row r="265" spans="9:9" customFormat="1" x14ac:dyDescent="0.25">
      <c r="I265" s="1"/>
    </row>
    <row r="266" spans="9:9" customFormat="1" x14ac:dyDescent="0.25">
      <c r="I266" s="1"/>
    </row>
    <row r="267" spans="9:9" customFormat="1" x14ac:dyDescent="0.25">
      <c r="I267" s="1"/>
    </row>
    <row r="268" spans="9:9" customFormat="1" x14ac:dyDescent="0.25">
      <c r="I268" s="1"/>
    </row>
    <row r="269" spans="9:9" customFormat="1" x14ac:dyDescent="0.25">
      <c r="I269" s="1"/>
    </row>
    <row r="270" spans="9:9" customFormat="1" x14ac:dyDescent="0.25">
      <c r="I270" s="1"/>
    </row>
    <row r="271" spans="9:9" customFormat="1" x14ac:dyDescent="0.25">
      <c r="I271" s="1"/>
    </row>
    <row r="272" spans="9:9" customFormat="1" x14ac:dyDescent="0.25">
      <c r="I272" s="1"/>
    </row>
    <row r="273" spans="9:9" customFormat="1" x14ac:dyDescent="0.25">
      <c r="I273" s="1"/>
    </row>
    <row r="274" spans="9:9" customFormat="1" x14ac:dyDescent="0.25">
      <c r="I274" s="1"/>
    </row>
    <row r="275" spans="9:9" customFormat="1" x14ac:dyDescent="0.25">
      <c r="I275" s="1"/>
    </row>
    <row r="276" spans="9:9" customFormat="1" x14ac:dyDescent="0.25">
      <c r="I276" s="1"/>
    </row>
    <row r="277" spans="9:9" customFormat="1" x14ac:dyDescent="0.25">
      <c r="I277" s="1"/>
    </row>
    <row r="278" spans="9:9" customFormat="1" x14ac:dyDescent="0.25">
      <c r="I278" s="1"/>
    </row>
    <row r="279" spans="9:9" customFormat="1" x14ac:dyDescent="0.25">
      <c r="I279" s="1"/>
    </row>
    <row r="280" spans="9:9" customFormat="1" x14ac:dyDescent="0.25">
      <c r="I280" s="1"/>
    </row>
    <row r="281" spans="9:9" customFormat="1" x14ac:dyDescent="0.25">
      <c r="I281" s="1"/>
    </row>
    <row r="282" spans="9:9" customFormat="1" x14ac:dyDescent="0.25">
      <c r="I282" s="1"/>
    </row>
    <row r="283" spans="9:9" customFormat="1" x14ac:dyDescent="0.25">
      <c r="I283" s="1"/>
    </row>
    <row r="284" spans="9:9" customFormat="1" x14ac:dyDescent="0.25">
      <c r="I284" s="1"/>
    </row>
    <row r="285" spans="9:9" customFormat="1" x14ac:dyDescent="0.25">
      <c r="I285" s="1"/>
    </row>
    <row r="286" spans="9:9" customFormat="1" x14ac:dyDescent="0.25">
      <c r="I286" s="1"/>
    </row>
    <row r="287" spans="9:9" customFormat="1" x14ac:dyDescent="0.25">
      <c r="I287" s="1"/>
    </row>
    <row r="288" spans="9:9" customFormat="1" x14ac:dyDescent="0.25">
      <c r="I288" s="1"/>
    </row>
    <row r="289" spans="9:9" customFormat="1" x14ac:dyDescent="0.25">
      <c r="I289" s="1"/>
    </row>
    <row r="290" spans="9:9" customFormat="1" x14ac:dyDescent="0.25">
      <c r="I290" s="1"/>
    </row>
    <row r="291" spans="9:9" customFormat="1" x14ac:dyDescent="0.25">
      <c r="I291" s="1"/>
    </row>
    <row r="292" spans="9:9" customFormat="1" x14ac:dyDescent="0.25">
      <c r="I292" s="1"/>
    </row>
    <row r="293" spans="9:9" customFormat="1" x14ac:dyDescent="0.25">
      <c r="I293" s="1"/>
    </row>
    <row r="294" spans="9:9" customFormat="1" x14ac:dyDescent="0.25">
      <c r="I294" s="1"/>
    </row>
    <row r="295" spans="9:9" customFormat="1" x14ac:dyDescent="0.25">
      <c r="I295" s="1"/>
    </row>
    <row r="296" spans="9:9" customFormat="1" x14ac:dyDescent="0.25">
      <c r="I296" s="1"/>
    </row>
    <row r="297" spans="9:9" customFormat="1" x14ac:dyDescent="0.25">
      <c r="I297" s="1"/>
    </row>
    <row r="298" spans="9:9" customFormat="1" x14ac:dyDescent="0.25">
      <c r="I298" s="1"/>
    </row>
    <row r="299" spans="9:9" customFormat="1" x14ac:dyDescent="0.25">
      <c r="I299" s="1"/>
    </row>
    <row r="300" spans="9:9" customFormat="1" x14ac:dyDescent="0.25">
      <c r="I300" s="1"/>
    </row>
    <row r="301" spans="9:9" customFormat="1" x14ac:dyDescent="0.25">
      <c r="I301" s="1"/>
    </row>
    <row r="302" spans="9:9" customFormat="1" x14ac:dyDescent="0.25">
      <c r="I302" s="1"/>
    </row>
    <row r="303" spans="9:9" customFormat="1" x14ac:dyDescent="0.25">
      <c r="I303" s="1"/>
    </row>
    <row r="304" spans="9:9" customFormat="1" x14ac:dyDescent="0.25">
      <c r="I304" s="1"/>
    </row>
    <row r="305" spans="9:9" customFormat="1" x14ac:dyDescent="0.25">
      <c r="I305" s="1"/>
    </row>
    <row r="306" spans="9:9" customFormat="1" x14ac:dyDescent="0.25">
      <c r="I306" s="1"/>
    </row>
    <row r="307" spans="9:9" customFormat="1" x14ac:dyDescent="0.25">
      <c r="I307" s="1"/>
    </row>
    <row r="308" spans="9:9" customFormat="1" x14ac:dyDescent="0.25">
      <c r="I308" s="1"/>
    </row>
    <row r="309" spans="9:9" customFormat="1" x14ac:dyDescent="0.25">
      <c r="I309" s="1"/>
    </row>
    <row r="310" spans="9:9" customFormat="1" x14ac:dyDescent="0.25">
      <c r="I310" s="1"/>
    </row>
    <row r="311" spans="9:9" customFormat="1" x14ac:dyDescent="0.25">
      <c r="I311" s="1"/>
    </row>
    <row r="312" spans="9:9" customFormat="1" x14ac:dyDescent="0.25">
      <c r="I312" s="1"/>
    </row>
    <row r="313" spans="9:9" customFormat="1" x14ac:dyDescent="0.25">
      <c r="I313" s="1"/>
    </row>
    <row r="314" spans="9:9" customFormat="1" x14ac:dyDescent="0.25">
      <c r="I314" s="1"/>
    </row>
    <row r="315" spans="9:9" customFormat="1" x14ac:dyDescent="0.25">
      <c r="I315" s="1"/>
    </row>
    <row r="316" spans="9:9" customFormat="1" x14ac:dyDescent="0.25">
      <c r="I316" s="1"/>
    </row>
    <row r="317" spans="9:9" customFormat="1" x14ac:dyDescent="0.25">
      <c r="I317" s="1"/>
    </row>
    <row r="318" spans="9:9" customFormat="1" x14ac:dyDescent="0.25">
      <c r="I318" s="1"/>
    </row>
    <row r="319" spans="9:9" customFormat="1" x14ac:dyDescent="0.25">
      <c r="I319" s="1"/>
    </row>
    <row r="320" spans="9:9" customFormat="1" x14ac:dyDescent="0.25">
      <c r="I320" s="1"/>
    </row>
    <row r="321" spans="9:9" customFormat="1" x14ac:dyDescent="0.25">
      <c r="I321" s="1"/>
    </row>
    <row r="322" spans="9:9" customFormat="1" x14ac:dyDescent="0.25">
      <c r="I322" s="1"/>
    </row>
    <row r="323" spans="9:9" customFormat="1" x14ac:dyDescent="0.25">
      <c r="I323" s="1"/>
    </row>
    <row r="324" spans="9:9" customFormat="1" x14ac:dyDescent="0.25">
      <c r="I324" s="1"/>
    </row>
    <row r="325" spans="9:9" customFormat="1" x14ac:dyDescent="0.25">
      <c r="I325" s="1"/>
    </row>
    <row r="326" spans="9:9" customFormat="1" x14ac:dyDescent="0.25">
      <c r="I326" s="1"/>
    </row>
    <row r="327" spans="9:9" customFormat="1" x14ac:dyDescent="0.25">
      <c r="I327" s="1"/>
    </row>
    <row r="328" spans="9:9" customFormat="1" x14ac:dyDescent="0.25">
      <c r="I328" s="1"/>
    </row>
    <row r="329" spans="9:9" customFormat="1" x14ac:dyDescent="0.25">
      <c r="I329" s="1"/>
    </row>
    <row r="330" spans="9:9" customFormat="1" x14ac:dyDescent="0.25">
      <c r="I330" s="1"/>
    </row>
    <row r="331" spans="9:9" customFormat="1" x14ac:dyDescent="0.25">
      <c r="I331" s="1"/>
    </row>
    <row r="332" spans="9:9" customFormat="1" x14ac:dyDescent="0.25">
      <c r="I332" s="1"/>
    </row>
    <row r="333" spans="9:9" customFormat="1" x14ac:dyDescent="0.25">
      <c r="I333" s="1"/>
    </row>
    <row r="334" spans="9:9" customFormat="1" x14ac:dyDescent="0.25">
      <c r="I334" s="1"/>
    </row>
    <row r="339" spans="2:19" x14ac:dyDescent="0.25">
      <c r="B339"/>
      <c r="D339"/>
      <c r="E339"/>
      <c r="F339"/>
      <c r="I339" s="1"/>
      <c r="J339"/>
      <c r="K339"/>
      <c r="L339"/>
      <c r="M339"/>
      <c r="S339" t="s">
        <v>55</v>
      </c>
    </row>
  </sheetData>
  <sheetProtection algorithmName="SHA-512" hashValue="0Tf6XBv1tLMfiZ6Qwq+hLHXZ9RpwGDPjHSSJZaec8Xn0MMwKtGXyBB2BrG/mttV+4HJU3dRjtIJkBQh6BUNOpQ==" saltValue="2IkA5jw4KY16425go9HIgg==" spinCount="100000" sheet="1" objects="1" scenarios="1"/>
  <mergeCells count="12">
    <mergeCell ref="B3:B4"/>
    <mergeCell ref="E3:F4"/>
    <mergeCell ref="L3:L4"/>
    <mergeCell ref="I3:I4"/>
    <mergeCell ref="C3:C4"/>
    <mergeCell ref="Z157:AB157"/>
    <mergeCell ref="M3:M4"/>
    <mergeCell ref="D3:D4"/>
    <mergeCell ref="R157:V157"/>
    <mergeCell ref="H3:H4"/>
    <mergeCell ref="J3:K3"/>
    <mergeCell ref="O3:P3"/>
  </mergeCells>
  <pageMargins left="0.51181102362204722" right="0.51181102362204722" top="0.78740157480314965" bottom="0.78740157480314965" header="0.31496062992125984" footer="0.31496062992125984"/>
  <pageSetup paperSize="9" scale="25" fitToHeight="3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283"/>
  <sheetViews>
    <sheetView zoomScale="85" zoomScaleNormal="85" workbookViewId="0"/>
  </sheetViews>
  <sheetFormatPr defaultRowHeight="15" x14ac:dyDescent="0.25"/>
  <cols>
    <col min="1" max="1" width="3.140625" customWidth="1"/>
    <col min="2" max="2" width="9.140625" style="222"/>
    <col min="3" max="3" width="47.28515625" customWidth="1"/>
    <col min="4" max="4" width="10.85546875" style="1" customWidth="1"/>
    <col min="5" max="5" width="17.140625" style="34" customWidth="1"/>
    <col min="6" max="6" width="21.28515625" style="52" customWidth="1"/>
    <col min="9" max="9" width="11.7109375" bestFit="1" customWidth="1"/>
  </cols>
  <sheetData>
    <row r="2" spans="2:6" x14ac:dyDescent="0.25">
      <c r="B2" s="499" t="s">
        <v>272</v>
      </c>
      <c r="C2" s="499" t="s">
        <v>273</v>
      </c>
      <c r="D2" s="499" t="s">
        <v>274</v>
      </c>
      <c r="E2" s="499" t="s">
        <v>275</v>
      </c>
      <c r="F2" s="499"/>
    </row>
    <row r="3" spans="2:6" ht="45" x14ac:dyDescent="0.25">
      <c r="B3" s="499"/>
      <c r="C3" s="499"/>
      <c r="D3" s="499"/>
      <c r="E3" s="340" t="s">
        <v>276</v>
      </c>
      <c r="F3" s="340" t="s">
        <v>277</v>
      </c>
    </row>
    <row r="4" spans="2:6" x14ac:dyDescent="0.25">
      <c r="B4" s="341"/>
      <c r="C4" s="342"/>
      <c r="D4" s="343"/>
      <c r="E4" s="344"/>
      <c r="F4" s="345"/>
    </row>
    <row r="5" spans="2:6" s="204" customFormat="1" ht="15" customHeight="1" x14ac:dyDescent="0.25">
      <c r="B5" s="413">
        <v>1</v>
      </c>
      <c r="C5" s="346" t="s">
        <v>125</v>
      </c>
      <c r="D5" s="347"/>
      <c r="E5" s="348">
        <f>E6+E8</f>
        <v>19984175.57260735</v>
      </c>
      <c r="F5" s="360"/>
    </row>
    <row r="6" spans="2:6" ht="15" customHeight="1" x14ac:dyDescent="0.25">
      <c r="B6" s="414" t="s">
        <v>280</v>
      </c>
      <c r="C6" s="346" t="s">
        <v>278</v>
      </c>
      <c r="D6" s="347" t="s">
        <v>179</v>
      </c>
      <c r="E6" s="361">
        <f>SUM(E7)</f>
        <v>17574039.626260467</v>
      </c>
      <c r="F6" s="362"/>
    </row>
    <row r="7" spans="2:6" ht="15" customHeight="1" x14ac:dyDescent="0.25">
      <c r="B7" s="414" t="s">
        <v>281</v>
      </c>
      <c r="C7" s="349" t="s">
        <v>21</v>
      </c>
      <c r="D7" s="347" t="s">
        <v>179</v>
      </c>
      <c r="E7" s="355">
        <f>Orçam!L12</f>
        <v>17574039.626260467</v>
      </c>
      <c r="F7" s="362"/>
    </row>
    <row r="8" spans="2:6" ht="15" customHeight="1" x14ac:dyDescent="0.25">
      <c r="B8" s="414" t="s">
        <v>282</v>
      </c>
      <c r="C8" s="346" t="s">
        <v>279</v>
      </c>
      <c r="D8" s="347" t="s">
        <v>179</v>
      </c>
      <c r="E8" s="361">
        <f>SUM(E9)</f>
        <v>2410135.9463468827</v>
      </c>
      <c r="F8" s="362"/>
    </row>
    <row r="9" spans="2:6" ht="15" customHeight="1" x14ac:dyDescent="0.25">
      <c r="B9" s="414" t="s">
        <v>283</v>
      </c>
      <c r="C9" s="349" t="s">
        <v>21</v>
      </c>
      <c r="D9" s="347" t="s">
        <v>179</v>
      </c>
      <c r="E9" s="355">
        <f>Orçam!L13</f>
        <v>2410135.9463468827</v>
      </c>
      <c r="F9" s="362"/>
    </row>
    <row r="10" spans="2:6" x14ac:dyDescent="0.25">
      <c r="B10" s="414" t="s">
        <v>284</v>
      </c>
      <c r="C10" s="350" t="s">
        <v>184</v>
      </c>
      <c r="D10" s="351" t="s">
        <v>179</v>
      </c>
      <c r="E10" s="363">
        <v>0</v>
      </c>
      <c r="F10" s="363"/>
    </row>
    <row r="11" spans="2:6" x14ac:dyDescent="0.25">
      <c r="B11" s="413"/>
      <c r="C11" s="349"/>
      <c r="D11" s="347"/>
      <c r="E11" s="364"/>
      <c r="F11" s="365"/>
    </row>
    <row r="12" spans="2:6" s="204" customFormat="1" ht="15" customHeight="1" x14ac:dyDescent="0.25">
      <c r="B12" s="413">
        <v>2</v>
      </c>
      <c r="C12" s="346" t="s">
        <v>305</v>
      </c>
      <c r="D12" s="347"/>
      <c r="E12" s="348">
        <f>SUM(E13:E18)</f>
        <v>62223466.920393847</v>
      </c>
      <c r="F12" s="348">
        <f>SUM(F13:F18)</f>
        <v>22933043.908376731</v>
      </c>
    </row>
    <row r="13" spans="2:6" ht="15" customHeight="1" x14ac:dyDescent="0.25">
      <c r="B13" s="414" t="s">
        <v>285</v>
      </c>
      <c r="C13" s="349" t="s">
        <v>21</v>
      </c>
      <c r="D13" s="347" t="s">
        <v>179</v>
      </c>
      <c r="E13" s="355">
        <f>Orçam!L18</f>
        <v>9272870.2238012459</v>
      </c>
      <c r="F13" s="366">
        <f>Orçam!M18</f>
        <v>60561.975124428012</v>
      </c>
    </row>
    <row r="14" spans="2:6" x14ac:dyDescent="0.25">
      <c r="B14" s="414" t="s">
        <v>286</v>
      </c>
      <c r="C14" s="349" t="s">
        <v>23</v>
      </c>
      <c r="D14" s="347" t="s">
        <v>179</v>
      </c>
      <c r="E14" s="355">
        <f>Orçam!L19</f>
        <v>43748756.522526495</v>
      </c>
      <c r="F14" s="366">
        <f>Orçam!M19</f>
        <v>21516460.064442202</v>
      </c>
    </row>
    <row r="15" spans="2:6" x14ac:dyDescent="0.25">
      <c r="B15" s="414" t="s">
        <v>287</v>
      </c>
      <c r="C15" s="349" t="s">
        <v>22</v>
      </c>
      <c r="D15" s="347" t="s">
        <v>179</v>
      </c>
      <c r="E15" s="355">
        <f>Orçam!L20</f>
        <v>1049138.1001044998</v>
      </c>
      <c r="F15" s="366">
        <f>Orçam!M20</f>
        <v>310527.97243776004</v>
      </c>
    </row>
    <row r="16" spans="2:6" x14ac:dyDescent="0.25">
      <c r="B16" s="414" t="s">
        <v>288</v>
      </c>
      <c r="C16" s="349" t="s">
        <v>24</v>
      </c>
      <c r="D16" s="347" t="s">
        <v>179</v>
      </c>
      <c r="E16" s="355">
        <f>Orçam!L21</f>
        <v>5229303.8138887621</v>
      </c>
      <c r="F16" s="366">
        <f>Orçam!M21</f>
        <v>591474.31817672029</v>
      </c>
    </row>
    <row r="17" spans="2:6" x14ac:dyDescent="0.25">
      <c r="B17" s="414" t="s">
        <v>289</v>
      </c>
      <c r="C17" s="349" t="s">
        <v>25</v>
      </c>
      <c r="D17" s="347" t="s">
        <v>179</v>
      </c>
      <c r="E17" s="355">
        <f>Orçam!L22</f>
        <v>2784304.8932728325</v>
      </c>
      <c r="F17" s="366">
        <f>Orçam!M22</f>
        <v>314926.21139562014</v>
      </c>
    </row>
    <row r="18" spans="2:6" x14ac:dyDescent="0.25">
      <c r="B18" s="414" t="s">
        <v>290</v>
      </c>
      <c r="C18" s="350" t="s">
        <v>184</v>
      </c>
      <c r="D18" s="352" t="s">
        <v>179</v>
      </c>
      <c r="E18" s="363">
        <f>F18</f>
        <v>139093.36679999999</v>
      </c>
      <c r="F18" s="363">
        <f>Orçam!M23</f>
        <v>139093.36679999999</v>
      </c>
    </row>
    <row r="19" spans="2:6" x14ac:dyDescent="0.25">
      <c r="B19" s="413"/>
      <c r="C19" s="349"/>
      <c r="D19" s="347"/>
      <c r="E19" s="364"/>
      <c r="F19" s="367"/>
    </row>
    <row r="20" spans="2:6" x14ac:dyDescent="0.25">
      <c r="B20" s="413">
        <v>3</v>
      </c>
      <c r="C20" s="346" t="s">
        <v>306</v>
      </c>
      <c r="D20" s="347"/>
      <c r="E20" s="348">
        <f>SUM(E21:E26)</f>
        <v>55532723.524897918</v>
      </c>
      <c r="F20" s="348">
        <f>SUM(F21:F26)</f>
        <v>49743839.70755858</v>
      </c>
    </row>
    <row r="21" spans="2:6" x14ac:dyDescent="0.25">
      <c r="B21" s="414" t="s">
        <v>291</v>
      </c>
      <c r="C21" s="349" t="s">
        <v>56</v>
      </c>
      <c r="D21" s="347" t="s">
        <v>179</v>
      </c>
      <c r="E21" s="355">
        <f>Orçam!L26</f>
        <v>6432093.1303770505</v>
      </c>
      <c r="F21" s="366">
        <f>Orçam!M26</f>
        <v>643209.31303770491</v>
      </c>
    </row>
    <row r="22" spans="2:6" x14ac:dyDescent="0.25">
      <c r="B22" s="414" t="s">
        <v>293</v>
      </c>
      <c r="C22" s="349" t="s">
        <v>23</v>
      </c>
      <c r="D22" s="347" t="s">
        <v>179</v>
      </c>
      <c r="E22" s="355">
        <f>Orçam!L27</f>
        <v>40461557.137408473</v>
      </c>
      <c r="F22" s="366">
        <f>Orçam!M27</f>
        <v>40461557.137408473</v>
      </c>
    </row>
    <row r="23" spans="2:6" x14ac:dyDescent="0.25">
      <c r="B23" s="414" t="s">
        <v>294</v>
      </c>
      <c r="C23" s="349" t="s">
        <v>22</v>
      </c>
      <c r="D23" s="347" t="s">
        <v>179</v>
      </c>
      <c r="E23" s="355">
        <f>Orçam!L28</f>
        <v>970307.83401929983</v>
      </c>
      <c r="F23" s="366">
        <f>Orçam!M28</f>
        <v>970307.83401929983</v>
      </c>
    </row>
    <row r="24" spans="2:6" x14ac:dyDescent="0.25">
      <c r="B24" s="414" t="s">
        <v>295</v>
      </c>
      <c r="C24" s="349" t="s">
        <v>24</v>
      </c>
      <c r="D24" s="347" t="s">
        <v>179</v>
      </c>
      <c r="E24" s="355">
        <f>Orçam!L29</f>
        <v>4836383.7483147988</v>
      </c>
      <c r="F24" s="366">
        <f>Orçam!M29</f>
        <v>4836383.7483147988</v>
      </c>
    </row>
    <row r="25" spans="2:6" x14ac:dyDescent="0.25">
      <c r="B25" s="414" t="s">
        <v>296</v>
      </c>
      <c r="C25" s="349" t="s">
        <v>25</v>
      </c>
      <c r="D25" s="347" t="s">
        <v>179</v>
      </c>
      <c r="E25" s="355">
        <f>Orçam!L30</f>
        <v>2575097.453778299</v>
      </c>
      <c r="F25" s="366">
        <f>Orçam!M30</f>
        <v>2575097.453778299</v>
      </c>
    </row>
    <row r="26" spans="2:6" x14ac:dyDescent="0.25">
      <c r="B26" s="414" t="s">
        <v>297</v>
      </c>
      <c r="C26" s="350" t="s">
        <v>184</v>
      </c>
      <c r="D26" s="352" t="s">
        <v>179</v>
      </c>
      <c r="E26" s="363">
        <f>Orçam!L31</f>
        <v>257284.22099999999</v>
      </c>
      <c r="F26" s="363">
        <f>Orçam!M31</f>
        <v>257284.22099999999</v>
      </c>
    </row>
    <row r="27" spans="2:6" x14ac:dyDescent="0.25">
      <c r="B27" s="413"/>
      <c r="C27" s="349"/>
      <c r="D27" s="347"/>
      <c r="E27" s="364"/>
      <c r="F27" s="367"/>
    </row>
    <row r="28" spans="2:6" x14ac:dyDescent="0.25">
      <c r="B28" s="413">
        <v>4</v>
      </c>
      <c r="C28" s="346" t="s">
        <v>307</v>
      </c>
      <c r="D28" s="347"/>
      <c r="E28" s="348">
        <f>SUM(E29:E34)</f>
        <v>20553317.937015414</v>
      </c>
      <c r="F28" s="382">
        <f>SUM(F29:F34)</f>
        <v>18192946.705332074</v>
      </c>
    </row>
    <row r="29" spans="2:6" x14ac:dyDescent="0.25">
      <c r="B29" s="414" t="s">
        <v>298</v>
      </c>
      <c r="C29" s="349" t="s">
        <v>21</v>
      </c>
      <c r="D29" s="347" t="s">
        <v>179</v>
      </c>
      <c r="E29" s="355">
        <f>Orçam!L34</f>
        <v>2776907.3313921615</v>
      </c>
      <c r="F29" s="366">
        <f>Orçam!M34</f>
        <v>416536.0997088243</v>
      </c>
    </row>
    <row r="30" spans="2:6" x14ac:dyDescent="0.25">
      <c r="B30" s="414" t="s">
        <v>300</v>
      </c>
      <c r="C30" s="349" t="s">
        <v>23</v>
      </c>
      <c r="D30" s="347" t="s">
        <v>179</v>
      </c>
      <c r="E30" s="355">
        <f>Orçam!L35</f>
        <v>15577267.07909881</v>
      </c>
      <c r="F30" s="366">
        <f>Orçam!M35</f>
        <v>15577267.07909881</v>
      </c>
    </row>
    <row r="31" spans="2:6" x14ac:dyDescent="0.25">
      <c r="B31" s="414" t="s">
        <v>301</v>
      </c>
      <c r="C31" s="349" t="s">
        <v>265</v>
      </c>
      <c r="D31" s="347" t="s">
        <v>179</v>
      </c>
      <c r="E31" s="355">
        <f>Orçam!L36</f>
        <v>498825.82747871999</v>
      </c>
      <c r="F31" s="366">
        <f>Orçam!M36</f>
        <v>498825.82747871999</v>
      </c>
    </row>
    <row r="32" spans="2:6" x14ac:dyDescent="0.25">
      <c r="B32" s="414" t="s">
        <v>302</v>
      </c>
      <c r="C32" s="349" t="s">
        <v>24</v>
      </c>
      <c r="D32" s="347" t="s">
        <v>179</v>
      </c>
      <c r="E32" s="355">
        <f>Orçam!L37</f>
        <v>1018943.3360497601</v>
      </c>
      <c r="F32" s="366">
        <f>Orçam!M37</f>
        <v>1018943.3360497601</v>
      </c>
    </row>
    <row r="33" spans="2:6" x14ac:dyDescent="0.25">
      <c r="B33" s="414" t="s">
        <v>303</v>
      </c>
      <c r="C33" s="349" t="s">
        <v>266</v>
      </c>
      <c r="D33" s="347" t="s">
        <v>179</v>
      </c>
      <c r="E33" s="355">
        <f>Orçam!L38</f>
        <v>542528.98999596003</v>
      </c>
      <c r="F33" s="366">
        <f>Orçam!M38</f>
        <v>542528.98999596003</v>
      </c>
    </row>
    <row r="34" spans="2:6" x14ac:dyDescent="0.25">
      <c r="B34" s="414" t="s">
        <v>304</v>
      </c>
      <c r="C34" s="350" t="s">
        <v>184</v>
      </c>
      <c r="D34" s="352" t="s">
        <v>179</v>
      </c>
      <c r="E34" s="363">
        <f>F34</f>
        <v>138845.37299999999</v>
      </c>
      <c r="F34" s="363">
        <f>Orçam!M39</f>
        <v>138845.37299999999</v>
      </c>
    </row>
    <row r="35" spans="2:6" x14ac:dyDescent="0.25">
      <c r="B35" s="413"/>
      <c r="C35" s="349"/>
      <c r="D35" s="347"/>
      <c r="E35" s="364"/>
      <c r="F35" s="367"/>
    </row>
    <row r="36" spans="2:6" x14ac:dyDescent="0.25">
      <c r="B36" s="413">
        <v>5</v>
      </c>
      <c r="C36" s="346" t="s">
        <v>308</v>
      </c>
      <c r="D36" s="347"/>
      <c r="E36" s="348">
        <f>SUM(E37:E42)</f>
        <v>6556865.7562045669</v>
      </c>
      <c r="F36" s="382">
        <f>SUM(F37:F42)</f>
        <v>4504293.0262889201</v>
      </c>
    </row>
    <row r="37" spans="2:6" x14ac:dyDescent="0.25">
      <c r="B37" s="414" t="s">
        <v>309</v>
      </c>
      <c r="C37" s="349" t="s">
        <v>21</v>
      </c>
      <c r="D37" s="347" t="s">
        <v>179</v>
      </c>
      <c r="E37" s="355">
        <f>Orçam!L42</f>
        <v>2280636.3665729407</v>
      </c>
      <c r="F37" s="366">
        <f>Orçam!M42</f>
        <v>228063.636657294</v>
      </c>
    </row>
    <row r="38" spans="2:6" x14ac:dyDescent="0.25">
      <c r="B38" s="414" t="s">
        <v>311</v>
      </c>
      <c r="C38" s="349" t="s">
        <v>23</v>
      </c>
      <c r="D38" s="347" t="s">
        <v>179</v>
      </c>
      <c r="E38" s="355">
        <f>Orçam!L43</f>
        <v>2084688.5698682668</v>
      </c>
      <c r="F38" s="366">
        <f>Orçam!M43</f>
        <v>2084688.5698682668</v>
      </c>
    </row>
    <row r="39" spans="2:6" x14ac:dyDescent="0.25">
      <c r="B39" s="414" t="s">
        <v>312</v>
      </c>
      <c r="C39" s="349" t="s">
        <v>265</v>
      </c>
      <c r="D39" s="347" t="s">
        <v>179</v>
      </c>
      <c r="E39" s="355">
        <f>Orçam!L44</f>
        <v>232427.65662059997</v>
      </c>
      <c r="F39" s="366">
        <f>Orçam!M44</f>
        <v>232427.65662059997</v>
      </c>
    </row>
    <row r="40" spans="2:6" x14ac:dyDescent="0.25">
      <c r="B40" s="414" t="s">
        <v>313</v>
      </c>
      <c r="C40" s="349" t="s">
        <v>24</v>
      </c>
      <c r="D40" s="347" t="s">
        <v>179</v>
      </c>
      <c r="E40" s="355">
        <f>Orçam!L45</f>
        <v>1218895.50971408</v>
      </c>
      <c r="F40" s="366">
        <f>Orçam!M45</f>
        <v>1218895.50971408</v>
      </c>
    </row>
    <row r="41" spans="2:6" x14ac:dyDescent="0.25">
      <c r="B41" s="414" t="s">
        <v>314</v>
      </c>
      <c r="C41" s="349" t="s">
        <v>266</v>
      </c>
      <c r="D41" s="347" t="s">
        <v>179</v>
      </c>
      <c r="E41" s="355">
        <f>Orçam!L46</f>
        <v>648992.07482867991</v>
      </c>
      <c r="F41" s="366">
        <f>Orçam!M46</f>
        <v>648992.07482867991</v>
      </c>
    </row>
    <row r="42" spans="2:6" x14ac:dyDescent="0.25">
      <c r="B42" s="414" t="s">
        <v>315</v>
      </c>
      <c r="C42" s="350" t="s">
        <v>184</v>
      </c>
      <c r="D42" s="352" t="s">
        <v>179</v>
      </c>
      <c r="E42" s="363">
        <f>F42</f>
        <v>91225.578600000008</v>
      </c>
      <c r="F42" s="363">
        <f>Orçam!M47</f>
        <v>91225.578600000008</v>
      </c>
    </row>
    <row r="43" spans="2:6" x14ac:dyDescent="0.25">
      <c r="B43" s="413"/>
      <c r="C43" s="349"/>
      <c r="D43" s="347"/>
      <c r="E43" s="364"/>
      <c r="F43" s="367"/>
    </row>
    <row r="44" spans="2:6" x14ac:dyDescent="0.25">
      <c r="B44" s="413">
        <v>6</v>
      </c>
      <c r="C44" s="346" t="s">
        <v>177</v>
      </c>
      <c r="D44" s="347"/>
      <c r="E44" s="348">
        <f>SUM(E45:E50)</f>
        <v>42121515.236816138</v>
      </c>
      <c r="F44" s="382">
        <f>SUM(F45:F50)</f>
        <v>42121515.236816138</v>
      </c>
    </row>
    <row r="45" spans="2:6" x14ac:dyDescent="0.25">
      <c r="B45" s="414" t="s">
        <v>316</v>
      </c>
      <c r="C45" s="349" t="s">
        <v>21</v>
      </c>
      <c r="D45" s="347" t="s">
        <v>179</v>
      </c>
      <c r="E45" s="368">
        <f>Orçam!L50</f>
        <v>8642810.8664470278</v>
      </c>
      <c r="F45" s="366">
        <v>8642810.8664470278</v>
      </c>
    </row>
    <row r="46" spans="2:6" x14ac:dyDescent="0.25">
      <c r="B46" s="414" t="s">
        <v>317</v>
      </c>
      <c r="C46" s="349" t="s">
        <v>23</v>
      </c>
      <c r="D46" s="347" t="s">
        <v>179</v>
      </c>
      <c r="E46" s="368">
        <f>Orçam!L51</f>
        <v>13580061.544892583</v>
      </c>
      <c r="F46" s="366">
        <v>13580061.544892583</v>
      </c>
    </row>
    <row r="47" spans="2:6" x14ac:dyDescent="0.25">
      <c r="B47" s="414" t="s">
        <v>318</v>
      </c>
      <c r="C47" s="349" t="s">
        <v>265</v>
      </c>
      <c r="D47" s="347" t="s">
        <v>179</v>
      </c>
      <c r="E47" s="368">
        <f>Orçam!L52</f>
        <v>2202047.9741384201</v>
      </c>
      <c r="F47" s="366">
        <v>2202047.9741384201</v>
      </c>
    </row>
    <row r="48" spans="2:6" x14ac:dyDescent="0.25">
      <c r="B48" s="414" t="s">
        <v>319</v>
      </c>
      <c r="C48" s="349" t="s">
        <v>24</v>
      </c>
      <c r="D48" s="347" t="s">
        <v>179</v>
      </c>
      <c r="E48" s="368">
        <f>Orçam!L53</f>
        <v>11547964.759777293</v>
      </c>
      <c r="F48" s="366">
        <v>11547964.759777293</v>
      </c>
    </row>
    <row r="49" spans="2:6" x14ac:dyDescent="0.25">
      <c r="B49" s="414" t="s">
        <v>320</v>
      </c>
      <c r="C49" s="349" t="s">
        <v>266</v>
      </c>
      <c r="D49" s="347" t="s">
        <v>179</v>
      </c>
      <c r="E49" s="368">
        <f>Orçam!L54</f>
        <v>6148630.0915608108</v>
      </c>
      <c r="F49" s="366">
        <v>6148630.0915608108</v>
      </c>
    </row>
    <row r="50" spans="2:6" x14ac:dyDescent="0.25">
      <c r="B50" s="414" t="s">
        <v>321</v>
      </c>
      <c r="C50" s="350" t="s">
        <v>184</v>
      </c>
      <c r="D50" s="352" t="s">
        <v>179</v>
      </c>
      <c r="E50" s="363">
        <v>0</v>
      </c>
      <c r="F50" s="363">
        <f>E50</f>
        <v>0</v>
      </c>
    </row>
    <row r="51" spans="2:6" x14ac:dyDescent="0.25">
      <c r="B51" s="413"/>
      <c r="C51" s="349"/>
      <c r="D51" s="347"/>
      <c r="E51" s="364"/>
      <c r="F51" s="367"/>
    </row>
    <row r="52" spans="2:6" x14ac:dyDescent="0.25">
      <c r="B52" s="413">
        <v>7</v>
      </c>
      <c r="C52" s="346" t="s">
        <v>178</v>
      </c>
      <c r="D52" s="347"/>
      <c r="E52" s="348">
        <f>SUM(E53:E56)</f>
        <v>13301057.307239272</v>
      </c>
      <c r="F52" s="382">
        <f>SUM(F53:F56)</f>
        <v>6631709.0430668881</v>
      </c>
    </row>
    <row r="53" spans="2:6" x14ac:dyDescent="0.25">
      <c r="B53" s="414" t="s">
        <v>322</v>
      </c>
      <c r="C53" s="349" t="s">
        <v>21</v>
      </c>
      <c r="D53" s="347" t="s">
        <v>179</v>
      </c>
      <c r="E53" s="355">
        <f>Orçam!L58</f>
        <v>8721455.4223792739</v>
      </c>
      <c r="F53" s="366">
        <f>Orçam!M58</f>
        <v>2052107.158206888</v>
      </c>
    </row>
    <row r="54" spans="2:6" x14ac:dyDescent="0.25">
      <c r="B54" s="414" t="s">
        <v>292</v>
      </c>
      <c r="C54" s="349" t="s">
        <v>88</v>
      </c>
      <c r="D54" s="347" t="s">
        <v>179</v>
      </c>
      <c r="E54" s="355">
        <f>Orçam!L59</f>
        <v>3009743.6921999999</v>
      </c>
      <c r="F54" s="366">
        <f>Orçam!M59</f>
        <v>3009743.6921999999</v>
      </c>
    </row>
    <row r="55" spans="2:6" x14ac:dyDescent="0.25">
      <c r="B55" s="414" t="s">
        <v>323</v>
      </c>
      <c r="C55" s="349" t="s">
        <v>89</v>
      </c>
      <c r="D55" s="347" t="s">
        <v>179</v>
      </c>
      <c r="E55" s="355">
        <f>Orçam!L60</f>
        <v>902923.10765999998</v>
      </c>
      <c r="F55" s="366">
        <f>Orçam!M60</f>
        <v>902923.10765999998</v>
      </c>
    </row>
    <row r="56" spans="2:6" x14ac:dyDescent="0.25">
      <c r="B56" s="414" t="s">
        <v>324</v>
      </c>
      <c r="C56" s="350" t="s">
        <v>184</v>
      </c>
      <c r="D56" s="352" t="s">
        <v>179</v>
      </c>
      <c r="E56" s="363">
        <f>Orçam!L61</f>
        <v>666935.08499999996</v>
      </c>
      <c r="F56" s="363">
        <f>Orçam!M61</f>
        <v>666935.08499999996</v>
      </c>
    </row>
    <row r="57" spans="2:6" x14ac:dyDescent="0.25">
      <c r="B57" s="413"/>
      <c r="C57" s="349"/>
      <c r="D57" s="347"/>
      <c r="E57" s="364"/>
      <c r="F57" s="367"/>
    </row>
    <row r="58" spans="2:6" x14ac:dyDescent="0.25">
      <c r="B58" s="413">
        <v>8</v>
      </c>
      <c r="C58" s="346" t="s">
        <v>77</v>
      </c>
      <c r="D58" s="347"/>
      <c r="E58" s="348">
        <f>SUM(E59:E63)</f>
        <v>5463754.3355999999</v>
      </c>
      <c r="F58" s="382">
        <f>SUM(F59:F63)</f>
        <v>92419.99126355999</v>
      </c>
    </row>
    <row r="59" spans="2:6" x14ac:dyDescent="0.25">
      <c r="B59" s="414" t="s">
        <v>325</v>
      </c>
      <c r="C59" s="349" t="s">
        <v>361</v>
      </c>
      <c r="D59" s="347" t="s">
        <v>179</v>
      </c>
      <c r="E59" s="355">
        <f>Orçam!L64</f>
        <v>491140.65659999999</v>
      </c>
      <c r="F59" s="369">
        <f>Orçam!M64</f>
        <v>0</v>
      </c>
    </row>
    <row r="60" spans="2:6" x14ac:dyDescent="0.25">
      <c r="B60" s="414" t="s">
        <v>326</v>
      </c>
      <c r="C60" s="349" t="s">
        <v>60</v>
      </c>
      <c r="D60" s="347" t="s">
        <v>179</v>
      </c>
      <c r="E60" s="355">
        <f>Orçam!L65</f>
        <v>3806477.5599999996</v>
      </c>
      <c r="F60" s="369">
        <f>Orçam!M65</f>
        <v>0</v>
      </c>
    </row>
    <row r="61" spans="2:6" x14ac:dyDescent="0.25">
      <c r="B61" s="414" t="s">
        <v>327</v>
      </c>
      <c r="C61" s="349" t="s">
        <v>61</v>
      </c>
      <c r="D61" s="347" t="s">
        <v>179</v>
      </c>
      <c r="E61" s="355">
        <f>Orçam!L66</f>
        <v>658437.5</v>
      </c>
      <c r="F61" s="369">
        <f>Orçam!M66</f>
        <v>0</v>
      </c>
    </row>
    <row r="62" spans="2:6" x14ac:dyDescent="0.25">
      <c r="B62" s="414" t="s">
        <v>328</v>
      </c>
      <c r="C62" s="349" t="s">
        <v>265</v>
      </c>
      <c r="D62" s="347" t="s">
        <v>179</v>
      </c>
      <c r="E62" s="355">
        <f>Orçam!L67</f>
        <v>446491.50599999999</v>
      </c>
      <c r="F62" s="369">
        <f>Orçam!M67</f>
        <v>31212.87826356</v>
      </c>
    </row>
    <row r="63" spans="2:6" x14ac:dyDescent="0.25">
      <c r="B63" s="414" t="s">
        <v>329</v>
      </c>
      <c r="C63" s="350" t="s">
        <v>184</v>
      </c>
      <c r="D63" s="352" t="s">
        <v>179</v>
      </c>
      <c r="E63" s="363">
        <f>F63</f>
        <v>61207.112999999998</v>
      </c>
      <c r="F63" s="363">
        <f>Orçam!M68</f>
        <v>61207.112999999998</v>
      </c>
    </row>
    <row r="64" spans="2:6" x14ac:dyDescent="0.25">
      <c r="B64" s="413"/>
      <c r="C64" s="349"/>
      <c r="D64" s="347"/>
      <c r="E64" s="364"/>
      <c r="F64" s="367"/>
    </row>
    <row r="65" spans="2:6" x14ac:dyDescent="0.25">
      <c r="B65" s="413">
        <v>9</v>
      </c>
      <c r="C65" s="346" t="s">
        <v>58</v>
      </c>
      <c r="D65" s="347"/>
      <c r="E65" s="348">
        <f>SUM(E66:E70)</f>
        <v>14415956.940000001</v>
      </c>
      <c r="F65" s="382">
        <f>SUM(F66:F70)</f>
        <v>87185.730436919999</v>
      </c>
    </row>
    <row r="66" spans="2:6" x14ac:dyDescent="0.25">
      <c r="B66" s="414" t="s">
        <v>299</v>
      </c>
      <c r="C66" s="349" t="s">
        <v>21</v>
      </c>
      <c r="D66" s="347" t="s">
        <v>179</v>
      </c>
      <c r="E66" s="355">
        <f>Orçam!L71</f>
        <v>1310541.54</v>
      </c>
      <c r="F66" s="369">
        <f>Orçam!M71</f>
        <v>0</v>
      </c>
    </row>
    <row r="67" spans="2:6" x14ac:dyDescent="0.25">
      <c r="B67" s="414" t="s">
        <v>330</v>
      </c>
      <c r="C67" s="349" t="s">
        <v>60</v>
      </c>
      <c r="D67" s="347" t="s">
        <v>179</v>
      </c>
      <c r="E67" s="355">
        <f>Orçam!L72</f>
        <v>9775869.5999999996</v>
      </c>
      <c r="F67" s="369">
        <f>Orçam!M72</f>
        <v>0</v>
      </c>
    </row>
    <row r="68" spans="2:6" x14ac:dyDescent="0.25">
      <c r="B68" s="414" t="s">
        <v>331</v>
      </c>
      <c r="C68" s="349" t="s">
        <v>85</v>
      </c>
      <c r="D68" s="347" t="s">
        <v>179</v>
      </c>
      <c r="E68" s="355">
        <f>Orçam!L73</f>
        <v>2138144.4</v>
      </c>
      <c r="F68" s="369">
        <f>Orçam!M73</f>
        <v>0</v>
      </c>
    </row>
    <row r="69" spans="2:6" x14ac:dyDescent="0.25">
      <c r="B69" s="414" t="s">
        <v>310</v>
      </c>
      <c r="C69" s="349" t="s">
        <v>265</v>
      </c>
      <c r="D69" s="347" t="s">
        <v>179</v>
      </c>
      <c r="E69" s="355">
        <f>Orçam!L74</f>
        <v>1191401.4000000001</v>
      </c>
      <c r="F69" s="369">
        <f>Orçam!M74</f>
        <v>5524.7368369199994</v>
      </c>
    </row>
    <row r="70" spans="2:6" x14ac:dyDescent="0.25">
      <c r="B70" s="414" t="s">
        <v>332</v>
      </c>
      <c r="C70" s="350" t="s">
        <v>184</v>
      </c>
      <c r="D70" s="352" t="s">
        <v>179</v>
      </c>
      <c r="E70" s="363">
        <v>0</v>
      </c>
      <c r="F70" s="363">
        <f>Orçam!M75</f>
        <v>81660.993600000002</v>
      </c>
    </row>
    <row r="71" spans="2:6" x14ac:dyDescent="0.25">
      <c r="B71" s="413"/>
      <c r="C71" s="349"/>
      <c r="D71" s="347"/>
      <c r="E71" s="364"/>
      <c r="F71" s="370"/>
    </row>
    <row r="72" spans="2:6" x14ac:dyDescent="0.25">
      <c r="B72" s="413">
        <v>10</v>
      </c>
      <c r="C72" s="346" t="s">
        <v>79</v>
      </c>
      <c r="D72" s="347"/>
      <c r="E72" s="348">
        <f>SUM(E73:E77)</f>
        <v>60065638.132500008</v>
      </c>
      <c r="F72" s="348">
        <f>SUM(F73:F77)</f>
        <v>384075.0091812</v>
      </c>
    </row>
    <row r="73" spans="2:6" x14ac:dyDescent="0.25">
      <c r="B73" s="414" t="s">
        <v>333</v>
      </c>
      <c r="C73" s="349" t="s">
        <v>361</v>
      </c>
      <c r="D73" s="347" t="s">
        <v>179</v>
      </c>
      <c r="E73" s="355">
        <f>Orçam!L78</f>
        <v>5460512.557500001</v>
      </c>
      <c r="F73" s="369">
        <f>Orçam!M78</f>
        <v>0</v>
      </c>
    </row>
    <row r="74" spans="2:6" x14ac:dyDescent="0.25">
      <c r="B74" s="414" t="s">
        <v>334</v>
      </c>
      <c r="C74" s="349" t="s">
        <v>60</v>
      </c>
      <c r="D74" s="347" t="s">
        <v>179</v>
      </c>
      <c r="E74" s="355">
        <f>Orçam!L79</f>
        <v>47277165</v>
      </c>
      <c r="F74" s="369">
        <f>Orçam!M79</f>
        <v>0</v>
      </c>
    </row>
    <row r="75" spans="2:6" x14ac:dyDescent="0.25">
      <c r="B75" s="414" t="s">
        <v>335</v>
      </c>
      <c r="C75" s="349" t="s">
        <v>362</v>
      </c>
      <c r="D75" s="347" t="s">
        <v>179</v>
      </c>
      <c r="E75" s="355">
        <f>Orçam!L80</f>
        <v>2363858.25</v>
      </c>
      <c r="F75" s="369">
        <f>Orçam!M80</f>
        <v>0</v>
      </c>
    </row>
    <row r="76" spans="2:6" x14ac:dyDescent="0.25">
      <c r="B76" s="414" t="s">
        <v>336</v>
      </c>
      <c r="C76" s="349" t="s">
        <v>265</v>
      </c>
      <c r="D76" s="347" t="s">
        <v>179</v>
      </c>
      <c r="E76" s="355">
        <f>Orçam!L81</f>
        <v>4964102.3250000002</v>
      </c>
      <c r="F76" s="369">
        <f>Orçam!M81</f>
        <v>43830.007981199989</v>
      </c>
    </row>
    <row r="77" spans="2:6" x14ac:dyDescent="0.25">
      <c r="B77" s="414" t="s">
        <v>337</v>
      </c>
      <c r="C77" s="350" t="s">
        <v>184</v>
      </c>
      <c r="D77" s="352" t="s">
        <v>179</v>
      </c>
      <c r="E77" s="363">
        <f>Orçam!L82</f>
        <v>0</v>
      </c>
      <c r="F77" s="363">
        <f>Orçam!M82</f>
        <v>340245.0012</v>
      </c>
    </row>
    <row r="78" spans="2:6" x14ac:dyDescent="0.25">
      <c r="B78" s="413"/>
      <c r="C78" s="349"/>
      <c r="D78" s="347"/>
      <c r="E78" s="364"/>
      <c r="F78" s="367"/>
    </row>
    <row r="79" spans="2:6" x14ac:dyDescent="0.25">
      <c r="B79" s="413">
        <v>11</v>
      </c>
      <c r="C79" s="346" t="s">
        <v>360</v>
      </c>
      <c r="D79" s="347"/>
      <c r="E79" s="348">
        <f>SUM(E80:E83)</f>
        <v>4392651.0506370887</v>
      </c>
      <c r="F79" s="382">
        <f>SUM(F80:F83)</f>
        <v>395351.96519999998</v>
      </c>
    </row>
    <row r="80" spans="2:6" x14ac:dyDescent="0.25">
      <c r="B80" s="414" t="s">
        <v>338</v>
      </c>
      <c r="C80" s="349" t="s">
        <v>254</v>
      </c>
      <c r="D80" s="347" t="s">
        <v>179</v>
      </c>
      <c r="E80" s="355">
        <f>Orçam!L85</f>
        <v>3172459.5916167372</v>
      </c>
      <c r="F80" s="371"/>
    </row>
    <row r="81" spans="2:6" x14ac:dyDescent="0.25">
      <c r="B81" s="414" t="s">
        <v>339</v>
      </c>
      <c r="C81" s="349" t="s">
        <v>88</v>
      </c>
      <c r="D81" s="347" t="s">
        <v>179</v>
      </c>
      <c r="E81" s="355">
        <f>Orçam!L86</f>
        <v>634491.91832334746</v>
      </c>
      <c r="F81" s="366"/>
    </row>
    <row r="82" spans="2:6" x14ac:dyDescent="0.25">
      <c r="B82" s="414" t="s">
        <v>340</v>
      </c>
      <c r="C82" s="349" t="s">
        <v>363</v>
      </c>
      <c r="D82" s="347" t="s">
        <v>179</v>
      </c>
      <c r="E82" s="355">
        <f>Orçam!L87</f>
        <v>190347.57549700423</v>
      </c>
      <c r="F82" s="366"/>
    </row>
    <row r="83" spans="2:6" x14ac:dyDescent="0.25">
      <c r="B83" s="414" t="s">
        <v>341</v>
      </c>
      <c r="C83" s="350" t="s">
        <v>184</v>
      </c>
      <c r="D83" s="352" t="s">
        <v>179</v>
      </c>
      <c r="E83" s="363">
        <f>F83</f>
        <v>395351.96519999998</v>
      </c>
      <c r="F83" s="363">
        <f>Orçam!M88</f>
        <v>395351.96519999998</v>
      </c>
    </row>
    <row r="84" spans="2:6" x14ac:dyDescent="0.25">
      <c r="B84" s="413"/>
      <c r="C84" s="349"/>
      <c r="D84" s="347"/>
      <c r="E84" s="364"/>
      <c r="F84" s="367"/>
    </row>
    <row r="85" spans="2:6" x14ac:dyDescent="0.25">
      <c r="B85" s="415">
        <v>12</v>
      </c>
      <c r="C85" s="346" t="s">
        <v>359</v>
      </c>
      <c r="D85" s="347"/>
      <c r="E85" s="348">
        <f>SUM(E86:E90)</f>
        <v>36500713.280619361</v>
      </c>
      <c r="F85" s="382">
        <f>SUM(F86:F90)</f>
        <v>1465040.557719219</v>
      </c>
    </row>
    <row r="86" spans="2:6" x14ac:dyDescent="0.25">
      <c r="B86" s="414" t="s">
        <v>342</v>
      </c>
      <c r="C86" s="349" t="s">
        <v>364</v>
      </c>
      <c r="D86" s="347" t="s">
        <v>179</v>
      </c>
      <c r="E86" s="355">
        <f>Orçam!L91</f>
        <v>34865330.911867931</v>
      </c>
      <c r="F86" s="369">
        <f>Orçam!M91</f>
        <v>310482.63490259671</v>
      </c>
    </row>
    <row r="87" spans="2:6" x14ac:dyDescent="0.25">
      <c r="B87" s="414" t="s">
        <v>343</v>
      </c>
      <c r="C87" s="349" t="s">
        <v>38</v>
      </c>
      <c r="D87" s="347" t="s">
        <v>179</v>
      </c>
      <c r="E87" s="355">
        <f>Orçam!L92</f>
        <v>281706.28333425458</v>
      </c>
      <c r="F87" s="369">
        <f>Orçam!M92</f>
        <v>0</v>
      </c>
    </row>
    <row r="88" spans="2:6" x14ac:dyDescent="0.25">
      <c r="B88" s="414" t="s">
        <v>344</v>
      </c>
      <c r="C88" s="349" t="s">
        <v>29</v>
      </c>
      <c r="D88" s="347" t="s">
        <v>179</v>
      </c>
      <c r="E88" s="355">
        <f>Orçam!L93</f>
        <v>199118.16260054972</v>
      </c>
      <c r="F88" s="369">
        <f>Orçam!M93</f>
        <v>0</v>
      </c>
    </row>
    <row r="89" spans="2:6" x14ac:dyDescent="0.25">
      <c r="B89" s="414" t="s">
        <v>345</v>
      </c>
      <c r="C89" s="349" t="s">
        <v>37</v>
      </c>
      <c r="D89" s="347" t="s">
        <v>179</v>
      </c>
      <c r="E89" s="355">
        <f>Orçam!L94</f>
        <v>206053.41891161999</v>
      </c>
      <c r="F89" s="369">
        <f>Orçam!M94</f>
        <v>206053.41891161999</v>
      </c>
    </row>
    <row r="90" spans="2:6" x14ac:dyDescent="0.25">
      <c r="B90" s="414" t="s">
        <v>346</v>
      </c>
      <c r="C90" s="350" t="s">
        <v>184</v>
      </c>
      <c r="D90" s="352" t="s">
        <v>179</v>
      </c>
      <c r="E90" s="363">
        <f>F90</f>
        <v>948504.50390500238</v>
      </c>
      <c r="F90" s="363">
        <f>Orçam!M95</f>
        <v>948504.50390500238</v>
      </c>
    </row>
    <row r="91" spans="2:6" x14ac:dyDescent="0.25">
      <c r="B91" s="413"/>
      <c r="C91" s="349"/>
      <c r="D91" s="347"/>
      <c r="E91" s="364"/>
      <c r="F91" s="367"/>
    </row>
    <row r="92" spans="2:6" x14ac:dyDescent="0.25">
      <c r="B92" s="414">
        <v>13</v>
      </c>
      <c r="C92" s="346" t="s">
        <v>358</v>
      </c>
      <c r="D92" s="347"/>
      <c r="E92" s="348">
        <f>SUM(E93:E97)</f>
        <v>17501261.152978811</v>
      </c>
      <c r="F92" s="382">
        <f>SUM(F93:F97)</f>
        <v>2643931.0694541973</v>
      </c>
    </row>
    <row r="93" spans="2:6" x14ac:dyDescent="0.25">
      <c r="B93" s="414" t="s">
        <v>347</v>
      </c>
      <c r="C93" s="349" t="s">
        <v>364</v>
      </c>
      <c r="D93" s="347" t="s">
        <v>179</v>
      </c>
      <c r="E93" s="355">
        <f>Orçam!L98</f>
        <v>16030834.873888319</v>
      </c>
      <c r="F93" s="369">
        <f>Orçam!M98</f>
        <v>1394584.5017708302</v>
      </c>
    </row>
    <row r="94" spans="2:6" x14ac:dyDescent="0.25">
      <c r="B94" s="414" t="s">
        <v>348</v>
      </c>
      <c r="C94" s="349" t="s">
        <v>38</v>
      </c>
      <c r="D94" s="347" t="s">
        <v>179</v>
      </c>
      <c r="E94" s="355">
        <f>Orçam!L99</f>
        <v>129526.57533879936</v>
      </c>
      <c r="F94" s="369">
        <f>Orçam!M99</f>
        <v>0</v>
      </c>
    </row>
    <row r="95" spans="2:6" x14ac:dyDescent="0.25">
      <c r="B95" s="414" t="s">
        <v>349</v>
      </c>
      <c r="C95" s="349" t="s">
        <v>29</v>
      </c>
      <c r="D95" s="347" t="s">
        <v>179</v>
      </c>
      <c r="E95" s="355">
        <f>Orçam!L100</f>
        <v>91553.136068325999</v>
      </c>
      <c r="F95" s="369">
        <f>Orçam!M100</f>
        <v>0</v>
      </c>
    </row>
    <row r="96" spans="2:6" x14ac:dyDescent="0.25">
      <c r="B96" s="414" t="s">
        <v>350</v>
      </c>
      <c r="C96" s="349" t="s">
        <v>37</v>
      </c>
      <c r="D96" s="347" t="s">
        <v>179</v>
      </c>
      <c r="E96" s="355">
        <f>Orçam!L101</f>
        <v>318966.35366190004</v>
      </c>
      <c r="F96" s="369">
        <f>Orçam!M101</f>
        <v>318966.35366190004</v>
      </c>
    </row>
    <row r="97" spans="2:6" x14ac:dyDescent="0.25">
      <c r="B97" s="414" t="s">
        <v>351</v>
      </c>
      <c r="C97" s="350" t="s">
        <v>184</v>
      </c>
      <c r="D97" s="352" t="s">
        <v>179</v>
      </c>
      <c r="E97" s="363">
        <f>F97</f>
        <v>930380.21402146725</v>
      </c>
      <c r="F97" s="363">
        <f>Orçam!M102</f>
        <v>930380.21402146725</v>
      </c>
    </row>
    <row r="98" spans="2:6" x14ac:dyDescent="0.25">
      <c r="B98" s="413"/>
      <c r="C98" s="349"/>
      <c r="D98" s="347"/>
      <c r="E98" s="364"/>
      <c r="F98" s="367"/>
    </row>
    <row r="99" spans="2:6" x14ac:dyDescent="0.25">
      <c r="B99" s="415">
        <v>14</v>
      </c>
      <c r="C99" s="346" t="s">
        <v>357</v>
      </c>
      <c r="D99" s="347"/>
      <c r="E99" s="348">
        <f>SUM(E100:E104)</f>
        <v>16465690.00635167</v>
      </c>
      <c r="F99" s="348">
        <f>SUM(F100:F104)</f>
        <v>3346153.4368911227</v>
      </c>
    </row>
    <row r="100" spans="2:6" x14ac:dyDescent="0.25">
      <c r="B100" s="414" t="s">
        <v>352</v>
      </c>
      <c r="C100" s="349" t="s">
        <v>364</v>
      </c>
      <c r="D100" s="347" t="s">
        <v>179</v>
      </c>
      <c r="E100" s="355">
        <f>Orçam!L105</f>
        <v>14822263.73203627</v>
      </c>
      <c r="F100" s="369">
        <f>Orçam!M105</f>
        <v>1907139.5848892003</v>
      </c>
    </row>
    <row r="101" spans="2:6" x14ac:dyDescent="0.25">
      <c r="B101" s="414" t="s">
        <v>353</v>
      </c>
      <c r="C101" s="349" t="s">
        <v>38</v>
      </c>
      <c r="D101" s="347" t="s">
        <v>179</v>
      </c>
      <c r="E101" s="355">
        <f>Orçam!L106</f>
        <v>119761.51429931598</v>
      </c>
      <c r="F101" s="369">
        <f>Orçam!M106</f>
        <v>0</v>
      </c>
    </row>
    <row r="102" spans="2:6" x14ac:dyDescent="0.25">
      <c r="B102" s="414" t="s">
        <v>354</v>
      </c>
      <c r="C102" s="349" t="s">
        <v>29</v>
      </c>
      <c r="D102" s="347" t="s">
        <v>179</v>
      </c>
      <c r="E102" s="355">
        <f>Orçam!L107</f>
        <v>84650.908014161352</v>
      </c>
      <c r="F102" s="369">
        <f>Orçam!M107</f>
        <v>0</v>
      </c>
    </row>
    <row r="103" spans="2:6" x14ac:dyDescent="0.25">
      <c r="B103" s="414" t="s">
        <v>355</v>
      </c>
      <c r="C103" s="349" t="s">
        <v>365</v>
      </c>
      <c r="D103" s="347" t="s">
        <v>179</v>
      </c>
      <c r="E103" s="355">
        <f>Orçam!L108</f>
        <v>166688.70217776002</v>
      </c>
      <c r="F103" s="369">
        <f>Orçam!M108</f>
        <v>166688.70217776002</v>
      </c>
    </row>
    <row r="104" spans="2:6" x14ac:dyDescent="0.25">
      <c r="B104" s="414" t="s">
        <v>356</v>
      </c>
      <c r="C104" s="350" t="s">
        <v>184</v>
      </c>
      <c r="D104" s="352" t="s">
        <v>179</v>
      </c>
      <c r="E104" s="363">
        <f>F104</f>
        <v>1272325.1498241622</v>
      </c>
      <c r="F104" s="363">
        <f>Orçam!M109</f>
        <v>1272325.1498241622</v>
      </c>
    </row>
    <row r="105" spans="2:6" x14ac:dyDescent="0.25">
      <c r="B105" s="413"/>
      <c r="C105" s="349"/>
      <c r="D105" s="347"/>
      <c r="E105" s="364"/>
      <c r="F105" s="367"/>
    </row>
    <row r="106" spans="2:6" x14ac:dyDescent="0.25">
      <c r="B106" s="415">
        <v>15</v>
      </c>
      <c r="C106" s="346" t="s">
        <v>366</v>
      </c>
      <c r="D106" s="347"/>
      <c r="E106" s="348">
        <f>SUM(E107:E111)</f>
        <v>78410765.773613244</v>
      </c>
      <c r="F106" s="348">
        <f>SUM(F107:F111)</f>
        <v>17088835.403303232</v>
      </c>
    </row>
    <row r="107" spans="2:6" x14ac:dyDescent="0.25">
      <c r="B107" s="414" t="s">
        <v>368</v>
      </c>
      <c r="C107" s="349" t="s">
        <v>367</v>
      </c>
      <c r="D107" s="347" t="s">
        <v>179</v>
      </c>
      <c r="E107" s="355">
        <f>Orçam!L112</f>
        <v>63820539.557746291</v>
      </c>
      <c r="F107" s="369">
        <f>Orçam!M112</f>
        <v>3014268.9138460429</v>
      </c>
    </row>
    <row r="108" spans="2:6" x14ac:dyDescent="0.25">
      <c r="B108" s="414" t="s">
        <v>369</v>
      </c>
      <c r="C108" s="349" t="s">
        <v>38</v>
      </c>
      <c r="D108" s="347" t="s">
        <v>179</v>
      </c>
      <c r="E108" s="355">
        <f>Orçam!L113</f>
        <v>515659.72640975745</v>
      </c>
      <c r="F108" s="369">
        <f>Orçam!M113</f>
        <v>0</v>
      </c>
    </row>
    <row r="109" spans="2:6" x14ac:dyDescent="0.25">
      <c r="B109" s="414" t="s">
        <v>370</v>
      </c>
      <c r="C109" s="349" t="s">
        <v>29</v>
      </c>
      <c r="D109" s="347" t="s">
        <v>179</v>
      </c>
      <c r="E109" s="355">
        <f>Orçam!L114</f>
        <v>11220487.188864799</v>
      </c>
      <c r="F109" s="369">
        <f>Orçam!M114</f>
        <v>11220487.188864799</v>
      </c>
    </row>
    <row r="110" spans="2:6" x14ac:dyDescent="0.25">
      <c r="B110" s="414" t="s">
        <v>371</v>
      </c>
      <c r="C110" s="349" t="s">
        <v>37</v>
      </c>
      <c r="D110" s="347" t="s">
        <v>179</v>
      </c>
      <c r="E110" s="355">
        <f>Orçam!L115</f>
        <v>843146.18494301999</v>
      </c>
      <c r="F110" s="369">
        <f>Orçam!M115</f>
        <v>843146.18494301999</v>
      </c>
    </row>
    <row r="111" spans="2:6" x14ac:dyDescent="0.25">
      <c r="B111" s="414" t="s">
        <v>372</v>
      </c>
      <c r="C111" s="350" t="s">
        <v>184</v>
      </c>
      <c r="D111" s="352" t="s">
        <v>179</v>
      </c>
      <c r="E111" s="363">
        <f>F111</f>
        <v>2010933.1156493679</v>
      </c>
      <c r="F111" s="363">
        <f>Orçam!M116</f>
        <v>2010933.1156493679</v>
      </c>
    </row>
    <row r="112" spans="2:6" x14ac:dyDescent="0.25">
      <c r="B112" s="413"/>
      <c r="C112" s="349"/>
      <c r="D112" s="347"/>
      <c r="E112" s="364"/>
      <c r="F112" s="366"/>
    </row>
    <row r="113" spans="2:6" x14ac:dyDescent="0.25">
      <c r="B113" s="413">
        <v>16</v>
      </c>
      <c r="C113" s="346" t="s">
        <v>42</v>
      </c>
      <c r="D113" s="347"/>
      <c r="E113" s="348">
        <f>SUM(E114:E120)</f>
        <v>14401846.8091665</v>
      </c>
      <c r="F113" s="348">
        <f>SUM(F114:F120)</f>
        <v>230355.0852</v>
      </c>
    </row>
    <row r="114" spans="2:6" x14ac:dyDescent="0.25">
      <c r="B114" s="414" t="s">
        <v>373</v>
      </c>
      <c r="C114" s="349" t="s">
        <v>380</v>
      </c>
      <c r="D114" s="347"/>
      <c r="E114" s="355">
        <f>Orçam!L119</f>
        <v>1848455.4422565005</v>
      </c>
      <c r="F114" s="369">
        <f>Orçam!M119</f>
        <v>0</v>
      </c>
    </row>
    <row r="115" spans="2:6" x14ac:dyDescent="0.25">
      <c r="B115" s="414" t="s">
        <v>374</v>
      </c>
      <c r="C115" s="349" t="s">
        <v>66</v>
      </c>
      <c r="D115" s="347" t="s">
        <v>179</v>
      </c>
      <c r="E115" s="355">
        <f>Orçam!L120</f>
        <v>6402055.4819999998</v>
      </c>
      <c r="F115" s="369">
        <f>Orçam!M120</f>
        <v>0</v>
      </c>
    </row>
    <row r="116" spans="2:6" x14ac:dyDescent="0.25">
      <c r="B116" s="414" t="s">
        <v>375</v>
      </c>
      <c r="C116" s="349" t="s">
        <v>67</v>
      </c>
      <c r="D116" s="347" t="s">
        <v>179</v>
      </c>
      <c r="E116" s="355">
        <f>Orçam!L121</f>
        <v>2327588</v>
      </c>
      <c r="F116" s="369">
        <f>Orçam!M121</f>
        <v>0</v>
      </c>
    </row>
    <row r="117" spans="2:6" x14ac:dyDescent="0.25">
      <c r="B117" s="414" t="s">
        <v>377</v>
      </c>
      <c r="C117" s="349" t="s">
        <v>68</v>
      </c>
      <c r="D117" s="347" t="s">
        <v>179</v>
      </c>
      <c r="E117" s="355">
        <f>Orçam!L122</f>
        <v>1939652</v>
      </c>
      <c r="F117" s="369">
        <f>Orçam!M122</f>
        <v>0</v>
      </c>
    </row>
    <row r="118" spans="2:6" x14ac:dyDescent="0.25">
      <c r="B118" s="414" t="s">
        <v>376</v>
      </c>
      <c r="C118" s="349" t="s">
        <v>362</v>
      </c>
      <c r="D118" s="347" t="s">
        <v>179</v>
      </c>
      <c r="E118" s="355">
        <f>Orçam!L123</f>
        <v>533464.77410000004</v>
      </c>
      <c r="F118" s="369">
        <f>Orçam!M123</f>
        <v>0</v>
      </c>
    </row>
    <row r="119" spans="2:6" x14ac:dyDescent="0.25">
      <c r="B119" s="414" t="s">
        <v>378</v>
      </c>
      <c r="C119" s="349" t="s">
        <v>265</v>
      </c>
      <c r="D119" s="347" t="s">
        <v>179</v>
      </c>
      <c r="E119" s="355">
        <f>Orçam!L124</f>
        <v>1120276.0256100001</v>
      </c>
      <c r="F119" s="369">
        <f>Orçam!M124</f>
        <v>0</v>
      </c>
    </row>
    <row r="120" spans="2:6" x14ac:dyDescent="0.25">
      <c r="B120" s="414" t="s">
        <v>379</v>
      </c>
      <c r="C120" s="350" t="s">
        <v>184</v>
      </c>
      <c r="D120" s="352" t="s">
        <v>179</v>
      </c>
      <c r="E120" s="363">
        <f>Orçam!L125</f>
        <v>230355.0852</v>
      </c>
      <c r="F120" s="363">
        <f>Orçam!M125</f>
        <v>230355.0852</v>
      </c>
    </row>
    <row r="121" spans="2:6" x14ac:dyDescent="0.25">
      <c r="B121" s="413"/>
      <c r="C121" s="349"/>
      <c r="D121" s="347"/>
      <c r="E121" s="364"/>
      <c r="F121" s="367"/>
    </row>
    <row r="122" spans="2:6" x14ac:dyDescent="0.25">
      <c r="B122" s="413">
        <v>17</v>
      </c>
      <c r="C122" s="346" t="s">
        <v>35</v>
      </c>
      <c r="D122" s="347"/>
      <c r="E122" s="348">
        <f>SUM(E123:E125)</f>
        <v>523228.89544104005</v>
      </c>
      <c r="F122" s="348">
        <f>SUM(F123:F125)</f>
        <v>156968.66863231201</v>
      </c>
    </row>
    <row r="123" spans="2:6" x14ac:dyDescent="0.25">
      <c r="B123" s="414" t="s">
        <v>381</v>
      </c>
      <c r="C123" s="349" t="s">
        <v>21</v>
      </c>
      <c r="D123" s="347" t="s">
        <v>179</v>
      </c>
      <c r="E123" s="355">
        <f>Orçam!L128</f>
        <v>156968.66863231201</v>
      </c>
      <c r="F123" s="369">
        <f>Orçam!M128</f>
        <v>156968.66863231201</v>
      </c>
    </row>
    <row r="124" spans="2:6" x14ac:dyDescent="0.25">
      <c r="B124" s="414" t="s">
        <v>382</v>
      </c>
      <c r="C124" s="349" t="s">
        <v>95</v>
      </c>
      <c r="D124" s="347" t="s">
        <v>179</v>
      </c>
      <c r="E124" s="355">
        <f>Orçam!L129</f>
        <v>366260.22680872801</v>
      </c>
      <c r="F124" s="369">
        <f>Orçam!M129</f>
        <v>0</v>
      </c>
    </row>
    <row r="125" spans="2:6" x14ac:dyDescent="0.25">
      <c r="B125" s="414" t="s">
        <v>383</v>
      </c>
      <c r="C125" s="350" t="s">
        <v>184</v>
      </c>
      <c r="D125" s="352" t="s">
        <v>179</v>
      </c>
      <c r="E125" s="363">
        <f>Orçam!L130</f>
        <v>0</v>
      </c>
      <c r="F125" s="363">
        <f>Orçam!M130</f>
        <v>0</v>
      </c>
    </row>
    <row r="126" spans="2:6" x14ac:dyDescent="0.25">
      <c r="B126" s="413"/>
      <c r="C126" s="349"/>
      <c r="D126" s="347"/>
      <c r="E126" s="364"/>
      <c r="F126" s="367"/>
    </row>
    <row r="127" spans="2:6" x14ac:dyDescent="0.25">
      <c r="B127" s="413">
        <v>18</v>
      </c>
      <c r="C127" s="346" t="s">
        <v>36</v>
      </c>
      <c r="D127" s="347"/>
      <c r="E127" s="348">
        <f>SUM(E128:E131)</f>
        <v>1251254.0048214346</v>
      </c>
      <c r="F127" s="382">
        <f>SUM(F128:F131)</f>
        <v>816215.71289604646</v>
      </c>
    </row>
    <row r="128" spans="2:6" x14ac:dyDescent="0.25">
      <c r="B128" s="414" t="s">
        <v>384</v>
      </c>
      <c r="C128" s="349" t="s">
        <v>21</v>
      </c>
      <c r="D128" s="347" t="s">
        <v>179</v>
      </c>
      <c r="E128" s="355">
        <f>Orçam!L133</f>
        <v>683631.60159703845</v>
      </c>
      <c r="F128" s="369">
        <f>Orçam!M133</f>
        <v>248593.30967165035</v>
      </c>
    </row>
    <row r="129" spans="2:6" x14ac:dyDescent="0.25">
      <c r="B129" s="414" t="s">
        <v>385</v>
      </c>
      <c r="C129" s="349" t="s">
        <v>87</v>
      </c>
      <c r="D129" s="347" t="s">
        <v>179</v>
      </c>
      <c r="E129" s="355">
        <f>Orçam!L134</f>
        <v>455754.40106469236</v>
      </c>
      <c r="F129" s="369">
        <f>Orçam!M134</f>
        <v>455754.40106469236</v>
      </c>
    </row>
    <row r="130" spans="2:6" x14ac:dyDescent="0.25">
      <c r="B130" s="414" t="s">
        <v>386</v>
      </c>
      <c r="C130" s="349" t="s">
        <v>37</v>
      </c>
      <c r="D130" s="347" t="s">
        <v>179</v>
      </c>
      <c r="E130" s="355">
        <f>Orçam!L135</f>
        <v>68363.160159703853</v>
      </c>
      <c r="F130" s="369">
        <f>Orçam!M135</f>
        <v>68363.160159703853</v>
      </c>
    </row>
    <row r="131" spans="2:6" x14ac:dyDescent="0.25">
      <c r="B131" s="414" t="s">
        <v>387</v>
      </c>
      <c r="C131" s="350" t="s">
        <v>184</v>
      </c>
      <c r="D131" s="352" t="s">
        <v>179</v>
      </c>
      <c r="E131" s="363">
        <f>F131</f>
        <v>43504.842000000004</v>
      </c>
      <c r="F131" s="363">
        <f>Orçam!M136</f>
        <v>43504.842000000004</v>
      </c>
    </row>
    <row r="132" spans="2:6" x14ac:dyDescent="0.25">
      <c r="B132" s="413"/>
      <c r="C132" s="349"/>
      <c r="D132" s="347"/>
      <c r="E132" s="364"/>
      <c r="F132" s="367"/>
    </row>
    <row r="133" spans="2:6" x14ac:dyDescent="0.25">
      <c r="B133" s="415">
        <v>19</v>
      </c>
      <c r="C133" s="346" t="s">
        <v>32</v>
      </c>
      <c r="D133" s="347"/>
      <c r="E133" s="348">
        <f>SUM(E134:E139)</f>
        <v>20849597.339400277</v>
      </c>
      <c r="F133" s="348">
        <f>SUM(F134:F139)</f>
        <v>3715260.3942782977</v>
      </c>
    </row>
    <row r="134" spans="2:6" x14ac:dyDescent="0.25">
      <c r="B134" s="414" t="s">
        <v>388</v>
      </c>
      <c r="C134" s="353" t="s">
        <v>202</v>
      </c>
      <c r="D134" s="347" t="s">
        <v>179</v>
      </c>
      <c r="E134" s="355">
        <f>Orçam!L139</f>
        <v>17134336.945121977</v>
      </c>
      <c r="F134" s="369">
        <f>Orçam!M139</f>
        <v>0</v>
      </c>
    </row>
    <row r="135" spans="2:6" x14ac:dyDescent="0.25">
      <c r="B135" s="414" t="s">
        <v>389</v>
      </c>
      <c r="C135" s="349" t="s">
        <v>39</v>
      </c>
      <c r="D135" s="347" t="s">
        <v>179</v>
      </c>
      <c r="E135" s="355">
        <f>Orçam!L140</f>
        <v>104123.60133434685</v>
      </c>
      <c r="F135" s="369">
        <f>Orçam!M140</f>
        <v>104123.60133434685</v>
      </c>
    </row>
    <row r="136" spans="2:6" x14ac:dyDescent="0.25">
      <c r="B136" s="414" t="s">
        <v>390</v>
      </c>
      <c r="C136" s="349" t="s">
        <v>40</v>
      </c>
      <c r="D136" s="347" t="s">
        <v>179</v>
      </c>
      <c r="E136" s="355">
        <f>Orçam!L141</f>
        <v>467688.50932677463</v>
      </c>
      <c r="F136" s="369">
        <f>Orçam!M141</f>
        <v>467688.50932677463</v>
      </c>
    </row>
    <row r="137" spans="2:6" x14ac:dyDescent="0.25">
      <c r="B137" s="414" t="s">
        <v>391</v>
      </c>
      <c r="C137" s="349" t="s">
        <v>53</v>
      </c>
      <c r="D137" s="347" t="s">
        <v>179</v>
      </c>
      <c r="E137" s="355">
        <f>Orçam!L142</f>
        <v>639579.2211962255</v>
      </c>
      <c r="F137" s="369">
        <f>Orçam!M142</f>
        <v>639579.2211962255</v>
      </c>
    </row>
    <row r="138" spans="2:6" x14ac:dyDescent="0.25">
      <c r="B138" s="414" t="s">
        <v>392</v>
      </c>
      <c r="C138" s="349" t="s">
        <v>34</v>
      </c>
      <c r="D138" s="347" t="s">
        <v>179</v>
      </c>
      <c r="E138" s="355">
        <f>Orçam!L143</f>
        <v>1010866.6296209507</v>
      </c>
      <c r="F138" s="369">
        <f>Orçam!M143</f>
        <v>1010866.6296209507</v>
      </c>
    </row>
    <row r="139" spans="2:6" x14ac:dyDescent="0.25">
      <c r="B139" s="414" t="s">
        <v>393</v>
      </c>
      <c r="C139" s="350" t="s">
        <v>184</v>
      </c>
      <c r="D139" s="352" t="s">
        <v>179</v>
      </c>
      <c r="E139" s="363">
        <f>F139</f>
        <v>1493002.4328000001</v>
      </c>
      <c r="F139" s="363">
        <f>Orçam!M144</f>
        <v>1493002.4328000001</v>
      </c>
    </row>
    <row r="140" spans="2:6" x14ac:dyDescent="0.25">
      <c r="B140" s="413"/>
      <c r="C140" s="349"/>
      <c r="D140" s="347"/>
      <c r="E140" s="364"/>
      <c r="F140" s="367"/>
    </row>
    <row r="141" spans="2:6" x14ac:dyDescent="0.25">
      <c r="B141" s="415">
        <v>20</v>
      </c>
      <c r="C141" s="346" t="s">
        <v>41</v>
      </c>
      <c r="D141" s="347"/>
      <c r="E141" s="348">
        <f>SUM(E142:E147)</f>
        <v>5132938.6338175768</v>
      </c>
      <c r="F141" s="348">
        <f>SUM(F142:F147)</f>
        <v>347924.21022000001</v>
      </c>
    </row>
    <row r="142" spans="2:6" x14ac:dyDescent="0.25">
      <c r="B142" s="414" t="s">
        <v>394</v>
      </c>
      <c r="C142" s="353" t="s">
        <v>93</v>
      </c>
      <c r="D142" s="347" t="s">
        <v>179</v>
      </c>
      <c r="E142" s="355">
        <f>Orçam!L147</f>
        <v>602835.18048715545</v>
      </c>
      <c r="F142" s="366"/>
    </row>
    <row r="143" spans="2:6" x14ac:dyDescent="0.25">
      <c r="B143" s="414" t="s">
        <v>395</v>
      </c>
      <c r="C143" s="349" t="s">
        <v>39</v>
      </c>
      <c r="D143" s="347" t="s">
        <v>179</v>
      </c>
      <c r="E143" s="355">
        <f>Orçam!L148</f>
        <v>768443.62137670582</v>
      </c>
      <c r="F143" s="366"/>
    </row>
    <row r="144" spans="2:6" x14ac:dyDescent="0.25">
      <c r="B144" s="414" t="s">
        <v>396</v>
      </c>
      <c r="C144" s="349" t="s">
        <v>40</v>
      </c>
      <c r="D144" s="347" t="s">
        <v>179</v>
      </c>
      <c r="E144" s="355">
        <f>Orçam!L149</f>
        <v>753759.98529944406</v>
      </c>
      <c r="F144" s="366"/>
    </row>
    <row r="145" spans="2:9" x14ac:dyDescent="0.25">
      <c r="B145" s="414" t="s">
        <v>397</v>
      </c>
      <c r="C145" s="349" t="s">
        <v>53</v>
      </c>
      <c r="D145" s="347" t="s">
        <v>179</v>
      </c>
      <c r="E145" s="355">
        <f>Orçam!L150</f>
        <v>1030791.2526237851</v>
      </c>
      <c r="F145" s="366"/>
    </row>
    <row r="146" spans="2:9" x14ac:dyDescent="0.25">
      <c r="B146" s="414" t="s">
        <v>398</v>
      </c>
      <c r="C146" s="349" t="s">
        <v>34</v>
      </c>
      <c r="D146" s="347" t="s">
        <v>179</v>
      </c>
      <c r="E146" s="355">
        <f>Orçam!L151</f>
        <v>1629184.3838104866</v>
      </c>
      <c r="F146" s="366"/>
    </row>
    <row r="147" spans="2:9" x14ac:dyDescent="0.25">
      <c r="B147" s="414" t="s">
        <v>399</v>
      </c>
      <c r="C147" s="350" t="s">
        <v>184</v>
      </c>
      <c r="D147" s="352" t="str">
        <f>D146</f>
        <v>gl.</v>
      </c>
      <c r="E147" s="363">
        <f>F147</f>
        <v>347924.21022000001</v>
      </c>
      <c r="F147" s="363">
        <f>Orçam!M152</f>
        <v>347924.21022000001</v>
      </c>
    </row>
    <row r="148" spans="2:9" x14ac:dyDescent="0.25">
      <c r="B148" s="413"/>
      <c r="C148" s="349"/>
      <c r="D148" s="347"/>
      <c r="E148" s="364"/>
      <c r="F148" s="367"/>
    </row>
    <row r="149" spans="2:9" x14ac:dyDescent="0.25">
      <c r="B149" s="413">
        <v>21</v>
      </c>
      <c r="C149" s="346" t="s">
        <v>176</v>
      </c>
      <c r="D149" s="347"/>
      <c r="E149" s="348">
        <f>SUM(E150:E155)</f>
        <v>150971346.5532563</v>
      </c>
      <c r="F149" s="382">
        <f>SUM(F150:F155)</f>
        <v>150971346.5532563</v>
      </c>
    </row>
    <row r="150" spans="2:9" x14ac:dyDescent="0.25">
      <c r="B150" s="414" t="s">
        <v>400</v>
      </c>
      <c r="C150" s="349" t="s">
        <v>37</v>
      </c>
      <c r="D150" s="347" t="s">
        <v>179</v>
      </c>
      <c r="E150" s="355">
        <f>Orçam!M156</f>
        <v>2870935.8885792601</v>
      </c>
      <c r="F150" s="369">
        <f>Orçam!M156</f>
        <v>2870935.8885792601</v>
      </c>
    </row>
    <row r="151" spans="2:9" x14ac:dyDescent="0.25">
      <c r="B151" s="414" t="s">
        <v>401</v>
      </c>
      <c r="C151" s="349" t="s">
        <v>29</v>
      </c>
      <c r="D151" s="347" t="s">
        <v>179</v>
      </c>
      <c r="E151" s="355">
        <f>Orçam!M157</f>
        <v>136287711.12090904</v>
      </c>
      <c r="F151" s="369">
        <f>Orçam!M157</f>
        <v>136287711.12090904</v>
      </c>
    </row>
    <row r="152" spans="2:9" ht="15" customHeight="1" x14ac:dyDescent="0.25">
      <c r="B152" s="414" t="s">
        <v>402</v>
      </c>
      <c r="C152" s="349" t="s">
        <v>30</v>
      </c>
      <c r="D152" s="347" t="s">
        <v>179</v>
      </c>
      <c r="E152" s="355">
        <f>Orçam!M158</f>
        <v>9654659.1651725136</v>
      </c>
      <c r="F152" s="369">
        <f>Orçam!M158</f>
        <v>9654659.1651725136</v>
      </c>
    </row>
    <row r="153" spans="2:9" ht="15" customHeight="1" x14ac:dyDescent="0.25">
      <c r="B153" s="414" t="s">
        <v>403</v>
      </c>
      <c r="C153" s="349" t="s">
        <v>31</v>
      </c>
      <c r="D153" s="347" t="s">
        <v>179</v>
      </c>
      <c r="E153" s="355">
        <f>Orçam!M159</f>
        <v>1247135.6114806861</v>
      </c>
      <c r="F153" s="369">
        <f>Orçam!M159</f>
        <v>1247135.6114806861</v>
      </c>
    </row>
    <row r="154" spans="2:9" ht="15" customHeight="1" x14ac:dyDescent="0.25">
      <c r="B154" s="414" t="s">
        <v>404</v>
      </c>
      <c r="C154" s="349" t="s">
        <v>26</v>
      </c>
      <c r="D154" s="347" t="s">
        <v>179</v>
      </c>
      <c r="E154" s="355">
        <f>Orçam!M160</f>
        <v>910904.7671148089</v>
      </c>
      <c r="F154" s="369">
        <f>Orçam!M160</f>
        <v>910904.7671148089</v>
      </c>
    </row>
    <row r="155" spans="2:9" x14ac:dyDescent="0.25">
      <c r="B155" s="414" t="s">
        <v>405</v>
      </c>
      <c r="C155" s="350" t="s">
        <v>184</v>
      </c>
      <c r="D155" s="352" t="str">
        <f>D154</f>
        <v>gl.</v>
      </c>
      <c r="E155" s="363">
        <f>Orçam!M161</f>
        <v>0</v>
      </c>
      <c r="F155" s="363">
        <f>Orçam!M161</f>
        <v>0</v>
      </c>
    </row>
    <row r="156" spans="2:9" x14ac:dyDescent="0.25">
      <c r="B156" s="413"/>
      <c r="C156" s="349"/>
      <c r="D156" s="347"/>
      <c r="E156" s="364"/>
      <c r="F156" s="367"/>
    </row>
    <row r="157" spans="2:9" x14ac:dyDescent="0.25">
      <c r="B157" s="415">
        <v>22</v>
      </c>
      <c r="C157" s="346" t="s">
        <v>27</v>
      </c>
      <c r="D157" s="347"/>
      <c r="E157" s="348">
        <f>SUM(E158:E159)</f>
        <v>19356594.906600274</v>
      </c>
      <c r="F157" s="348">
        <f>SUM(F158:F159)</f>
        <v>11053501.208650926</v>
      </c>
      <c r="I157" s="19"/>
    </row>
    <row r="158" spans="2:9" x14ac:dyDescent="0.25">
      <c r="B158" s="414" t="s">
        <v>406</v>
      </c>
      <c r="C158" s="349" t="s">
        <v>201</v>
      </c>
      <c r="D158" s="347" t="s">
        <v>179</v>
      </c>
      <c r="E158" s="355">
        <f>Orçam!L165</f>
        <v>8303093.697949348</v>
      </c>
      <c r="F158" s="369">
        <f>Orçam!M165</f>
        <v>0</v>
      </c>
    </row>
    <row r="159" spans="2:9" x14ac:dyDescent="0.25">
      <c r="B159" s="414" t="s">
        <v>407</v>
      </c>
      <c r="C159" s="349" t="s">
        <v>195</v>
      </c>
      <c r="D159" s="347" t="s">
        <v>2</v>
      </c>
      <c r="E159" s="355">
        <f>Orçam!L166</f>
        <v>11053501.208650926</v>
      </c>
      <c r="F159" s="369">
        <f>Orçam!M166</f>
        <v>11053501.208650926</v>
      </c>
    </row>
    <row r="160" spans="2:9" x14ac:dyDescent="0.25">
      <c r="B160" s="414" t="s">
        <v>408</v>
      </c>
      <c r="C160" s="350" t="s">
        <v>184</v>
      </c>
      <c r="D160" s="352" t="str">
        <f>D159</f>
        <v>R$</v>
      </c>
      <c r="E160" s="363">
        <f>F160</f>
        <v>0</v>
      </c>
      <c r="F160" s="363">
        <f>Orçam!M167</f>
        <v>0</v>
      </c>
    </row>
    <row r="161" spans="2:6" x14ac:dyDescent="0.25">
      <c r="B161" s="413"/>
      <c r="C161" s="349"/>
      <c r="D161" s="347"/>
      <c r="E161" s="364"/>
      <c r="F161" s="366"/>
    </row>
    <row r="162" spans="2:6" x14ac:dyDescent="0.25">
      <c r="B162" s="415">
        <v>23</v>
      </c>
      <c r="C162" s="346" t="s">
        <v>16</v>
      </c>
      <c r="D162" s="347"/>
      <c r="E162" s="348">
        <f>SUM(E163:E167)</f>
        <v>20913012.05775547</v>
      </c>
      <c r="F162" s="348">
        <f>SUM(F163:F167)</f>
        <v>16356118.51477664</v>
      </c>
    </row>
    <row r="163" spans="2:6" x14ac:dyDescent="0.25">
      <c r="B163" s="414" t="s">
        <v>409</v>
      </c>
      <c r="C163" s="349" t="s">
        <v>202</v>
      </c>
      <c r="D163" s="347" t="s">
        <v>179</v>
      </c>
      <c r="E163" s="355">
        <f>Orçam!L171</f>
        <v>4556893.5429788269</v>
      </c>
      <c r="F163" s="369">
        <f>Orçam!M171</f>
        <v>0</v>
      </c>
    </row>
    <row r="164" spans="2:6" x14ac:dyDescent="0.25">
      <c r="B164" s="414" t="s">
        <v>410</v>
      </c>
      <c r="C164" s="349" t="s">
        <v>17</v>
      </c>
      <c r="D164" s="347" t="s">
        <v>179</v>
      </c>
      <c r="E164" s="355">
        <f>Orçam!L172</f>
        <v>12508052.714237683</v>
      </c>
      <c r="F164" s="369">
        <f>Orçam!M172</f>
        <v>12508052.714237683</v>
      </c>
    </row>
    <row r="165" spans="2:6" x14ac:dyDescent="0.25">
      <c r="B165" s="414" t="s">
        <v>411</v>
      </c>
      <c r="C165" s="349" t="s">
        <v>18</v>
      </c>
      <c r="D165" s="347" t="s">
        <v>179</v>
      </c>
      <c r="E165" s="355">
        <f>Orçam!L173</f>
        <v>1743243.8829049582</v>
      </c>
      <c r="F165" s="369">
        <f>Orçam!M173</f>
        <v>1743243.8829049582</v>
      </c>
    </row>
    <row r="166" spans="2:6" x14ac:dyDescent="0.25">
      <c r="B166" s="414" t="s">
        <v>412</v>
      </c>
      <c r="C166" s="349" t="s">
        <v>19</v>
      </c>
      <c r="D166" s="347" t="s">
        <v>179</v>
      </c>
      <c r="E166" s="355">
        <f>Orçam!L174</f>
        <v>1358644.8378540003</v>
      </c>
      <c r="F166" s="369">
        <f>Orçam!M174</f>
        <v>1358644.8378540003</v>
      </c>
    </row>
    <row r="167" spans="2:6" x14ac:dyDescent="0.25">
      <c r="B167" s="414" t="s">
        <v>413</v>
      </c>
      <c r="C167" s="350" t="s">
        <v>184</v>
      </c>
      <c r="D167" s="352" t="str">
        <f>D166</f>
        <v>gl.</v>
      </c>
      <c r="E167" s="363">
        <f>Orçam!L175</f>
        <v>746177.07978000003</v>
      </c>
      <c r="F167" s="363">
        <f>Orçam!M175</f>
        <v>746177.07978000003</v>
      </c>
    </row>
    <row r="168" spans="2:6" x14ac:dyDescent="0.25">
      <c r="B168" s="413"/>
      <c r="C168" s="349"/>
      <c r="D168" s="347"/>
      <c r="E168" s="364"/>
      <c r="F168" s="367"/>
    </row>
    <row r="169" spans="2:6" x14ac:dyDescent="0.25">
      <c r="B169" s="413">
        <v>24</v>
      </c>
      <c r="C169" s="346" t="s">
        <v>103</v>
      </c>
      <c r="D169" s="347"/>
      <c r="E169" s="348">
        <f>SUM(E170:E172)</f>
        <v>63501859.323363088</v>
      </c>
      <c r="F169" s="348">
        <v>0</v>
      </c>
    </row>
    <row r="170" spans="2:6" ht="15" customHeight="1" x14ac:dyDescent="0.25">
      <c r="B170" s="414" t="s">
        <v>414</v>
      </c>
      <c r="C170" s="353" t="s">
        <v>104</v>
      </c>
      <c r="D170" s="347" t="s">
        <v>179</v>
      </c>
      <c r="E170" s="372">
        <f>Orçam!L178</f>
        <v>41414256.080454186</v>
      </c>
      <c r="F170" s="370"/>
    </row>
    <row r="171" spans="2:6" ht="15" customHeight="1" x14ac:dyDescent="0.25">
      <c r="B171" s="414" t="s">
        <v>415</v>
      </c>
      <c r="C171" s="353" t="s">
        <v>105</v>
      </c>
      <c r="D171" s="347" t="s">
        <v>179</v>
      </c>
      <c r="E171" s="372">
        <f>Orçam!L179</f>
        <v>13804752.026818063</v>
      </c>
      <c r="F171" s="370"/>
    </row>
    <row r="172" spans="2:6" ht="15" customHeight="1" x14ac:dyDescent="0.25">
      <c r="B172" s="414" t="s">
        <v>416</v>
      </c>
      <c r="C172" s="353" t="s">
        <v>106</v>
      </c>
      <c r="D172" s="347" t="s">
        <v>179</v>
      </c>
      <c r="E172" s="372">
        <f>Orçam!L180</f>
        <v>8282851.2160908375</v>
      </c>
      <c r="F172" s="366"/>
    </row>
    <row r="173" spans="2:6" x14ac:dyDescent="0.25">
      <c r="B173" s="413"/>
      <c r="C173" s="349"/>
      <c r="D173" s="347"/>
      <c r="E173" s="364"/>
      <c r="F173" s="367"/>
    </row>
    <row r="174" spans="2:6" ht="15" customHeight="1" x14ac:dyDescent="0.25">
      <c r="B174" s="413">
        <v>25</v>
      </c>
      <c r="C174" s="346" t="s">
        <v>102</v>
      </c>
      <c r="D174" s="347"/>
      <c r="E174" s="348">
        <f>SUM(E175:E177)</f>
        <v>166564125.34957987</v>
      </c>
      <c r="F174" s="348">
        <v>0</v>
      </c>
    </row>
    <row r="175" spans="2:6" ht="15" customHeight="1" x14ac:dyDescent="0.25">
      <c r="B175" s="414" t="s">
        <v>417</v>
      </c>
      <c r="C175" s="353" t="s">
        <v>104</v>
      </c>
      <c r="D175" s="347" t="s">
        <v>179</v>
      </c>
      <c r="E175" s="372">
        <f>Orçam!L183</f>
        <v>108628777.40189993</v>
      </c>
      <c r="F175" s="366"/>
    </row>
    <row r="176" spans="2:6" ht="15" customHeight="1" x14ac:dyDescent="0.25">
      <c r="B176" s="414" t="s">
        <v>418</v>
      </c>
      <c r="C176" s="353" t="s">
        <v>105</v>
      </c>
      <c r="D176" s="347" t="s">
        <v>179</v>
      </c>
      <c r="E176" s="372">
        <f>Orçam!L184</f>
        <v>36209592.467299975</v>
      </c>
      <c r="F176" s="366"/>
    </row>
    <row r="177" spans="2:6" ht="15" customHeight="1" x14ac:dyDescent="0.25">
      <c r="B177" s="414" t="s">
        <v>419</v>
      </c>
      <c r="C177" s="353" t="s">
        <v>106</v>
      </c>
      <c r="D177" s="347" t="s">
        <v>179</v>
      </c>
      <c r="E177" s="372">
        <f>Orçam!L185</f>
        <v>21725755.480379984</v>
      </c>
      <c r="F177" s="366"/>
    </row>
    <row r="178" spans="2:6" x14ac:dyDescent="0.25">
      <c r="B178" s="413"/>
      <c r="C178" s="349"/>
      <c r="D178" s="347"/>
      <c r="E178" s="364"/>
      <c r="F178" s="367"/>
    </row>
    <row r="179" spans="2:6" x14ac:dyDescent="0.25">
      <c r="B179" s="413">
        <v>26</v>
      </c>
      <c r="C179" s="346" t="s">
        <v>151</v>
      </c>
      <c r="D179" s="347"/>
      <c r="E179" s="348">
        <f>SUM(E180:E183)</f>
        <v>94479167.08046177</v>
      </c>
      <c r="F179" s="348">
        <f>SUM(F180:F183)</f>
        <v>94479167.08046177</v>
      </c>
    </row>
    <row r="180" spans="2:6" ht="15" customHeight="1" x14ac:dyDescent="0.25">
      <c r="B180" s="414" t="s">
        <v>420</v>
      </c>
      <c r="C180" s="354" t="s">
        <v>152</v>
      </c>
      <c r="D180" s="347" t="s">
        <v>179</v>
      </c>
      <c r="E180" s="373">
        <f>Orçam!L188</f>
        <v>22489196.759040002</v>
      </c>
      <c r="F180" s="369">
        <f>Orçam!M188</f>
        <v>22489196.759040002</v>
      </c>
    </row>
    <row r="181" spans="2:6" ht="31.5" customHeight="1" x14ac:dyDescent="0.25">
      <c r="B181" s="414" t="s">
        <v>421</v>
      </c>
      <c r="C181" s="354" t="s">
        <v>150</v>
      </c>
      <c r="D181" s="347" t="s">
        <v>179</v>
      </c>
      <c r="E181" s="373">
        <f>Orçam!L189</f>
        <v>49429072.634920001</v>
      </c>
      <c r="F181" s="369">
        <f>Orçam!M189</f>
        <v>49429072.634920001</v>
      </c>
    </row>
    <row r="182" spans="2:6" ht="15" customHeight="1" x14ac:dyDescent="0.25">
      <c r="B182" s="414" t="s">
        <v>422</v>
      </c>
      <c r="C182" s="354" t="s">
        <v>155</v>
      </c>
      <c r="D182" s="347" t="s">
        <v>179</v>
      </c>
      <c r="E182" s="373">
        <f>Orçam!L190</f>
        <v>17742898.578724001</v>
      </c>
      <c r="F182" s="369">
        <f>Orçam!M190</f>
        <v>17742898.578724001</v>
      </c>
    </row>
    <row r="183" spans="2:6" ht="60" x14ac:dyDescent="0.25">
      <c r="B183" s="414" t="s">
        <v>423</v>
      </c>
      <c r="C183" s="354" t="s">
        <v>234</v>
      </c>
      <c r="D183" s="347" t="s">
        <v>179</v>
      </c>
      <c r="E183" s="374">
        <f>Orçam!L191</f>
        <v>4817999.1077777781</v>
      </c>
      <c r="F183" s="374">
        <f>Orçam!M191</f>
        <v>4817999.1077777781</v>
      </c>
    </row>
    <row r="184" spans="2:6" ht="14.25" customHeight="1" x14ac:dyDescent="0.25">
      <c r="B184" s="414" t="s">
        <v>424</v>
      </c>
      <c r="C184" s="350" t="s">
        <v>184</v>
      </c>
      <c r="D184" s="352" t="str">
        <f>D183</f>
        <v>gl.</v>
      </c>
      <c r="E184" s="363">
        <v>0</v>
      </c>
      <c r="F184" s="363">
        <f>E184</f>
        <v>0</v>
      </c>
    </row>
    <row r="185" spans="2:6" ht="14.25" customHeight="1" x14ac:dyDescent="0.25">
      <c r="B185" s="413"/>
      <c r="C185" s="353"/>
      <c r="D185" s="347"/>
      <c r="E185" s="375"/>
      <c r="F185" s="376"/>
    </row>
    <row r="186" spans="2:6" x14ac:dyDescent="0.25">
      <c r="B186" s="413">
        <v>27</v>
      </c>
      <c r="C186" s="346" t="s">
        <v>158</v>
      </c>
      <c r="D186" s="347"/>
      <c r="E186" s="348">
        <f>SUM(E187:E190)</f>
        <v>169486079.02497804</v>
      </c>
      <c r="F186" s="348">
        <f>SUM(F187:F190)</f>
        <v>155454078.08447805</v>
      </c>
    </row>
    <row r="187" spans="2:6" x14ac:dyDescent="0.25">
      <c r="B187" s="414" t="s">
        <v>425</v>
      </c>
      <c r="C187" s="349" t="s">
        <v>159</v>
      </c>
      <c r="D187" s="347" t="s">
        <v>179</v>
      </c>
      <c r="E187" s="355">
        <f>Orçam!L195</f>
        <v>62856829.399999999</v>
      </c>
      <c r="F187" s="369">
        <f>Orçam!M195</f>
        <v>62856829.399999999</v>
      </c>
    </row>
    <row r="188" spans="2:6" x14ac:dyDescent="0.25">
      <c r="B188" s="414" t="s">
        <v>426</v>
      </c>
      <c r="C188" s="349" t="s">
        <v>196</v>
      </c>
      <c r="D188" s="347" t="s">
        <v>179</v>
      </c>
      <c r="E188" s="355">
        <f>Orçam!L196</f>
        <v>81403318.684478059</v>
      </c>
      <c r="F188" s="369">
        <f>Orçam!M196</f>
        <v>81403318.684478059</v>
      </c>
    </row>
    <row r="189" spans="2:6" x14ac:dyDescent="0.25">
      <c r="B189" s="414" t="s">
        <v>427</v>
      </c>
      <c r="C189" s="349" t="s">
        <v>130</v>
      </c>
      <c r="D189" s="347" t="s">
        <v>179</v>
      </c>
      <c r="E189" s="355">
        <f>Orçam!L197</f>
        <v>11193930</v>
      </c>
      <c r="F189" s="369">
        <f>Orçam!M197</f>
        <v>11193930</v>
      </c>
    </row>
    <row r="190" spans="2:6" x14ac:dyDescent="0.25">
      <c r="B190" s="414" t="s">
        <v>428</v>
      </c>
      <c r="C190" s="349" t="s">
        <v>194</v>
      </c>
      <c r="D190" s="347" t="s">
        <v>179</v>
      </c>
      <c r="E190" s="355">
        <f>Orçam!L198</f>
        <v>14032000.9405</v>
      </c>
      <c r="F190" s="369">
        <f>Orçam!M198</f>
        <v>0</v>
      </c>
    </row>
    <row r="191" spans="2:6" ht="14.25" customHeight="1" x14ac:dyDescent="0.25">
      <c r="B191" s="413"/>
      <c r="C191" s="353"/>
      <c r="D191" s="347"/>
      <c r="E191" s="375"/>
      <c r="F191" s="376"/>
    </row>
    <row r="192" spans="2:6" ht="14.25" customHeight="1" x14ac:dyDescent="0.25">
      <c r="B192" s="413">
        <v>28</v>
      </c>
      <c r="C192" s="346" t="s">
        <v>197</v>
      </c>
      <c r="D192" s="347"/>
      <c r="E192" s="348">
        <f>SUM(E193:E195)</f>
        <v>20424028.309894893</v>
      </c>
      <c r="F192" s="348">
        <f>SUM(F193:F195)</f>
        <v>20424028.309894893</v>
      </c>
    </row>
    <row r="193" spans="2:6" ht="14.25" customHeight="1" x14ac:dyDescent="0.25">
      <c r="B193" s="414" t="s">
        <v>429</v>
      </c>
      <c r="C193" s="353" t="s">
        <v>198</v>
      </c>
      <c r="D193" s="347"/>
      <c r="E193" s="377">
        <f>Orçam!L201</f>
        <v>2278479.2769959993</v>
      </c>
      <c r="F193" s="376">
        <f>Orçam!M201</f>
        <v>2278479.2769959993</v>
      </c>
    </row>
    <row r="194" spans="2:6" ht="14.25" customHeight="1" x14ac:dyDescent="0.25">
      <c r="B194" s="414" t="s">
        <v>430</v>
      </c>
      <c r="C194" s="353" t="s">
        <v>199</v>
      </c>
      <c r="D194" s="347"/>
      <c r="E194" s="377">
        <f>Orçam!L202</f>
        <v>17780541.249975875</v>
      </c>
      <c r="F194" s="376">
        <f>Orçam!M202</f>
        <v>17780541.249975875</v>
      </c>
    </row>
    <row r="195" spans="2:6" ht="14.25" customHeight="1" x14ac:dyDescent="0.25">
      <c r="B195" s="416" t="s">
        <v>431</v>
      </c>
      <c r="C195" s="356" t="s">
        <v>200</v>
      </c>
      <c r="D195" s="357"/>
      <c r="E195" s="378">
        <f>Orçam!L203</f>
        <v>365007.78292302007</v>
      </c>
      <c r="F195" s="379">
        <f>Orçam!M203</f>
        <v>365007.78292302007</v>
      </c>
    </row>
    <row r="196" spans="2:6" ht="14.25" customHeight="1" x14ac:dyDescent="0.25">
      <c r="C196" s="60"/>
      <c r="E196" s="208"/>
      <c r="F196" s="358"/>
    </row>
    <row r="197" spans="2:6" x14ac:dyDescent="0.25">
      <c r="B197" s="500" t="s">
        <v>432</v>
      </c>
      <c r="C197" s="500"/>
      <c r="D197" s="500"/>
      <c r="E197" s="359">
        <f>E149+E169+E174+E157+E133+E162+E141+E122+E127+E52+E79+E85+E92+E99+E106+E179+E5+E44+E36+E28+E20+E12+E65+E72+E58+E113+E186+E192</f>
        <v>1201344631.2160113</v>
      </c>
      <c r="F197" s="359">
        <f>F149+F169+F174+F157+F133+F162+F141+F122+F127+F52+F79+F85+F92+F99+F106+F179+F5+F44+F36+F28+F20+F12+F65+F72+F58+F113+F186+F192</f>
        <v>623635304.61363411</v>
      </c>
    </row>
    <row r="198" spans="2:6" x14ac:dyDescent="0.25">
      <c r="B198" s="501" t="s">
        <v>433</v>
      </c>
      <c r="C198" s="501"/>
      <c r="D198" s="501"/>
      <c r="E198" s="359">
        <f>E197/10594.8</f>
        <v>113390.02446634305</v>
      </c>
      <c r="F198" s="359">
        <f>F197/10594.8</f>
        <v>58862.395195155565</v>
      </c>
    </row>
    <row r="199" spans="2:6" x14ac:dyDescent="0.25">
      <c r="B199" s="501" t="str">
        <f>Orçam!K208</f>
        <v xml:space="preserve">SAU (ha)  </v>
      </c>
      <c r="C199" s="501"/>
      <c r="D199" s="501"/>
      <c r="E199" s="359">
        <f>Orçam!L208</f>
        <v>10238.18</v>
      </c>
      <c r="F199" s="359">
        <f>E199</f>
        <v>10238.18</v>
      </c>
    </row>
    <row r="200" spans="2:6" x14ac:dyDescent="0.25">
      <c r="B200" s="380"/>
      <c r="C200" s="380"/>
      <c r="D200" s="380"/>
      <c r="E200" s="381"/>
      <c r="F200" s="381"/>
    </row>
    <row r="201" spans="2:6" ht="33" customHeight="1" x14ac:dyDescent="0.25">
      <c r="B201" s="502" t="str">
        <f>Orçam!H207</f>
        <v>OBRAS E SERVIÇOS PARA IMPLANTAÇÃO DA 2ª ETAPA E OBRAS COMUNS (ATÉ HOJE) &gt;&gt;&gt;&gt;&gt;</v>
      </c>
      <c r="C201" s="502"/>
      <c r="D201" s="502"/>
      <c r="E201" s="359">
        <f>E197-F197</f>
        <v>577709326.60237718</v>
      </c>
      <c r="F201" s="359"/>
    </row>
    <row r="202" spans="2:6" x14ac:dyDescent="0.25">
      <c r="B202" s="500" t="s">
        <v>434</v>
      </c>
      <c r="C202" s="500"/>
      <c r="D202" s="500"/>
      <c r="E202" s="359"/>
      <c r="F202" s="359">
        <f>Orçam!M208</f>
        <v>10194955.330800002</v>
      </c>
    </row>
    <row r="204" spans="2:6" x14ac:dyDescent="0.25">
      <c r="B204"/>
      <c r="D204"/>
      <c r="E204"/>
      <c r="F204"/>
    </row>
    <row r="205" spans="2:6" x14ac:dyDescent="0.25">
      <c r="B205"/>
      <c r="D205"/>
      <c r="E205"/>
      <c r="F205"/>
    </row>
    <row r="206" spans="2:6" x14ac:dyDescent="0.25">
      <c r="B206"/>
      <c r="D206"/>
      <c r="E206"/>
      <c r="F206"/>
    </row>
    <row r="207" spans="2:6" x14ac:dyDescent="0.25">
      <c r="B207"/>
      <c r="D207"/>
      <c r="E207"/>
      <c r="F207"/>
    </row>
    <row r="208" spans="2:6" x14ac:dyDescent="0.25">
      <c r="B208"/>
      <c r="D208"/>
      <c r="E208"/>
      <c r="F208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83" customFormat="1" x14ac:dyDescent="0.25"/>
  </sheetData>
  <sheetProtection algorithmName="SHA-512" hashValue="d7dZUOqkgtGFwAZvM37kUOPWFCXICQqB7cKNooxeLCKvqb2PXu8vvTsWtykwa34YpMUzAI9HXc5pGDbv0fLoHg==" saltValue="PlpEzCEt/szGaiNuyM8RqA==" spinCount="100000" sheet="1" objects="1" scenarios="1"/>
  <mergeCells count="9">
    <mergeCell ref="E2:F2"/>
    <mergeCell ref="B197:D197"/>
    <mergeCell ref="B198:D198"/>
    <mergeCell ref="B201:D201"/>
    <mergeCell ref="B202:D202"/>
    <mergeCell ref="B199:D199"/>
    <mergeCell ref="B2:B3"/>
    <mergeCell ref="C2:C3"/>
    <mergeCell ref="D2:D3"/>
  </mergeCells>
  <phoneticPr fontId="36" type="noConversion"/>
  <printOptions horizontalCentered="1"/>
  <pageMargins left="0.70866141732283472" right="0.51181102362204722" top="0.78740157480314965" bottom="0.78740157480314965" header="0.31496062992125984" footer="0.31496062992125984"/>
  <pageSetup paperSize="9" scale="72" fitToHeight="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9"/>
  <sheetViews>
    <sheetView zoomScaleNormal="100" workbookViewId="0"/>
  </sheetViews>
  <sheetFormatPr defaultRowHeight="15" x14ac:dyDescent="0.25"/>
  <cols>
    <col min="1" max="1" width="3.85546875" customWidth="1"/>
    <col min="2" max="2" width="16" style="69" customWidth="1"/>
    <col min="3" max="3" width="50.7109375" style="69" customWidth="1"/>
    <col min="4" max="4" width="15.28515625" customWidth="1"/>
    <col min="5" max="5" width="9.140625" style="1"/>
    <col min="6" max="6" width="14.28515625" bestFit="1" customWidth="1"/>
    <col min="7" max="7" width="13.140625" customWidth="1"/>
    <col min="8" max="8" width="16.140625" customWidth="1"/>
    <col min="9" max="9" width="5.85546875" customWidth="1"/>
    <col min="10" max="10" width="9.7109375" customWidth="1"/>
    <col min="258" max="258" width="16" customWidth="1"/>
    <col min="259" max="259" width="53.28515625" customWidth="1"/>
    <col min="260" max="260" width="15.28515625" customWidth="1"/>
    <col min="262" max="262" width="10.28515625" bestFit="1" customWidth="1"/>
    <col min="263" max="263" width="13.140625" customWidth="1"/>
    <col min="264" max="264" width="16.140625" customWidth="1"/>
    <col min="265" max="265" width="9.42578125" customWidth="1"/>
    <col min="514" max="514" width="16" customWidth="1"/>
    <col min="515" max="515" width="53.28515625" customWidth="1"/>
    <col min="516" max="516" width="15.28515625" customWidth="1"/>
    <col min="518" max="518" width="10.28515625" bestFit="1" customWidth="1"/>
    <col min="519" max="519" width="13.140625" customWidth="1"/>
    <col min="520" max="520" width="16.140625" customWidth="1"/>
    <col min="521" max="521" width="9.42578125" customWidth="1"/>
    <col min="770" max="770" width="16" customWidth="1"/>
    <col min="771" max="771" width="53.28515625" customWidth="1"/>
    <col min="772" max="772" width="15.28515625" customWidth="1"/>
    <col min="774" max="774" width="10.28515625" bestFit="1" customWidth="1"/>
    <col min="775" max="775" width="13.140625" customWidth="1"/>
    <col min="776" max="776" width="16.140625" customWidth="1"/>
    <col min="777" max="777" width="9.42578125" customWidth="1"/>
    <col min="1026" max="1026" width="16" customWidth="1"/>
    <col min="1027" max="1027" width="53.28515625" customWidth="1"/>
    <col min="1028" max="1028" width="15.28515625" customWidth="1"/>
    <col min="1030" max="1030" width="10.28515625" bestFit="1" customWidth="1"/>
    <col min="1031" max="1031" width="13.140625" customWidth="1"/>
    <col min="1032" max="1032" width="16.140625" customWidth="1"/>
    <col min="1033" max="1033" width="9.42578125" customWidth="1"/>
    <col min="1282" max="1282" width="16" customWidth="1"/>
    <col min="1283" max="1283" width="53.28515625" customWidth="1"/>
    <col min="1284" max="1284" width="15.28515625" customWidth="1"/>
    <col min="1286" max="1286" width="10.28515625" bestFit="1" customWidth="1"/>
    <col min="1287" max="1287" width="13.140625" customWidth="1"/>
    <col min="1288" max="1288" width="16.140625" customWidth="1"/>
    <col min="1289" max="1289" width="9.42578125" customWidth="1"/>
    <col min="1538" max="1538" width="16" customWidth="1"/>
    <col min="1539" max="1539" width="53.28515625" customWidth="1"/>
    <col min="1540" max="1540" width="15.28515625" customWidth="1"/>
    <col min="1542" max="1542" width="10.28515625" bestFit="1" customWidth="1"/>
    <col min="1543" max="1543" width="13.140625" customWidth="1"/>
    <col min="1544" max="1544" width="16.140625" customWidth="1"/>
    <col min="1545" max="1545" width="9.42578125" customWidth="1"/>
    <col min="1794" max="1794" width="16" customWidth="1"/>
    <col min="1795" max="1795" width="53.28515625" customWidth="1"/>
    <col min="1796" max="1796" width="15.28515625" customWidth="1"/>
    <col min="1798" max="1798" width="10.28515625" bestFit="1" customWidth="1"/>
    <col min="1799" max="1799" width="13.140625" customWidth="1"/>
    <col min="1800" max="1800" width="16.140625" customWidth="1"/>
    <col min="1801" max="1801" width="9.42578125" customWidth="1"/>
    <col min="2050" max="2050" width="16" customWidth="1"/>
    <col min="2051" max="2051" width="53.28515625" customWidth="1"/>
    <col min="2052" max="2052" width="15.28515625" customWidth="1"/>
    <col min="2054" max="2054" width="10.28515625" bestFit="1" customWidth="1"/>
    <col min="2055" max="2055" width="13.140625" customWidth="1"/>
    <col min="2056" max="2056" width="16.140625" customWidth="1"/>
    <col min="2057" max="2057" width="9.42578125" customWidth="1"/>
    <col min="2306" max="2306" width="16" customWidth="1"/>
    <col min="2307" max="2307" width="53.28515625" customWidth="1"/>
    <col min="2308" max="2308" width="15.28515625" customWidth="1"/>
    <col min="2310" max="2310" width="10.28515625" bestFit="1" customWidth="1"/>
    <col min="2311" max="2311" width="13.140625" customWidth="1"/>
    <col min="2312" max="2312" width="16.140625" customWidth="1"/>
    <col min="2313" max="2313" width="9.42578125" customWidth="1"/>
    <col min="2562" max="2562" width="16" customWidth="1"/>
    <col min="2563" max="2563" width="53.28515625" customWidth="1"/>
    <col min="2564" max="2564" width="15.28515625" customWidth="1"/>
    <col min="2566" max="2566" width="10.28515625" bestFit="1" customWidth="1"/>
    <col min="2567" max="2567" width="13.140625" customWidth="1"/>
    <col min="2568" max="2568" width="16.140625" customWidth="1"/>
    <col min="2569" max="2569" width="9.42578125" customWidth="1"/>
    <col min="2818" max="2818" width="16" customWidth="1"/>
    <col min="2819" max="2819" width="53.28515625" customWidth="1"/>
    <col min="2820" max="2820" width="15.28515625" customWidth="1"/>
    <col min="2822" max="2822" width="10.28515625" bestFit="1" customWidth="1"/>
    <col min="2823" max="2823" width="13.140625" customWidth="1"/>
    <col min="2824" max="2824" width="16.140625" customWidth="1"/>
    <col min="2825" max="2825" width="9.42578125" customWidth="1"/>
    <col min="3074" max="3074" width="16" customWidth="1"/>
    <col min="3075" max="3075" width="53.28515625" customWidth="1"/>
    <col min="3076" max="3076" width="15.28515625" customWidth="1"/>
    <col min="3078" max="3078" width="10.28515625" bestFit="1" customWidth="1"/>
    <col min="3079" max="3079" width="13.140625" customWidth="1"/>
    <col min="3080" max="3080" width="16.140625" customWidth="1"/>
    <col min="3081" max="3081" width="9.42578125" customWidth="1"/>
    <col min="3330" max="3330" width="16" customWidth="1"/>
    <col min="3331" max="3331" width="53.28515625" customWidth="1"/>
    <col min="3332" max="3332" width="15.28515625" customWidth="1"/>
    <col min="3334" max="3334" width="10.28515625" bestFit="1" customWidth="1"/>
    <col min="3335" max="3335" width="13.140625" customWidth="1"/>
    <col min="3336" max="3336" width="16.140625" customWidth="1"/>
    <col min="3337" max="3337" width="9.42578125" customWidth="1"/>
    <col min="3586" max="3586" width="16" customWidth="1"/>
    <col min="3587" max="3587" width="53.28515625" customWidth="1"/>
    <col min="3588" max="3588" width="15.28515625" customWidth="1"/>
    <col min="3590" max="3590" width="10.28515625" bestFit="1" customWidth="1"/>
    <col min="3591" max="3591" width="13.140625" customWidth="1"/>
    <col min="3592" max="3592" width="16.140625" customWidth="1"/>
    <col min="3593" max="3593" width="9.42578125" customWidth="1"/>
    <col min="3842" max="3842" width="16" customWidth="1"/>
    <col min="3843" max="3843" width="53.28515625" customWidth="1"/>
    <col min="3844" max="3844" width="15.28515625" customWidth="1"/>
    <col min="3846" max="3846" width="10.28515625" bestFit="1" customWidth="1"/>
    <col min="3847" max="3847" width="13.140625" customWidth="1"/>
    <col min="3848" max="3848" width="16.140625" customWidth="1"/>
    <col min="3849" max="3849" width="9.42578125" customWidth="1"/>
    <col min="4098" max="4098" width="16" customWidth="1"/>
    <col min="4099" max="4099" width="53.28515625" customWidth="1"/>
    <col min="4100" max="4100" width="15.28515625" customWidth="1"/>
    <col min="4102" max="4102" width="10.28515625" bestFit="1" customWidth="1"/>
    <col min="4103" max="4103" width="13.140625" customWidth="1"/>
    <col min="4104" max="4104" width="16.140625" customWidth="1"/>
    <col min="4105" max="4105" width="9.42578125" customWidth="1"/>
    <col min="4354" max="4354" width="16" customWidth="1"/>
    <col min="4355" max="4355" width="53.28515625" customWidth="1"/>
    <col min="4356" max="4356" width="15.28515625" customWidth="1"/>
    <col min="4358" max="4358" width="10.28515625" bestFit="1" customWidth="1"/>
    <col min="4359" max="4359" width="13.140625" customWidth="1"/>
    <col min="4360" max="4360" width="16.140625" customWidth="1"/>
    <col min="4361" max="4361" width="9.42578125" customWidth="1"/>
    <col min="4610" max="4610" width="16" customWidth="1"/>
    <col min="4611" max="4611" width="53.28515625" customWidth="1"/>
    <col min="4612" max="4612" width="15.28515625" customWidth="1"/>
    <col min="4614" max="4614" width="10.28515625" bestFit="1" customWidth="1"/>
    <col min="4615" max="4615" width="13.140625" customWidth="1"/>
    <col min="4616" max="4616" width="16.140625" customWidth="1"/>
    <col min="4617" max="4617" width="9.42578125" customWidth="1"/>
    <col min="4866" max="4866" width="16" customWidth="1"/>
    <col min="4867" max="4867" width="53.28515625" customWidth="1"/>
    <col min="4868" max="4868" width="15.28515625" customWidth="1"/>
    <col min="4870" max="4870" width="10.28515625" bestFit="1" customWidth="1"/>
    <col min="4871" max="4871" width="13.140625" customWidth="1"/>
    <col min="4872" max="4872" width="16.140625" customWidth="1"/>
    <col min="4873" max="4873" width="9.42578125" customWidth="1"/>
    <col min="5122" max="5122" width="16" customWidth="1"/>
    <col min="5123" max="5123" width="53.28515625" customWidth="1"/>
    <col min="5124" max="5124" width="15.28515625" customWidth="1"/>
    <col min="5126" max="5126" width="10.28515625" bestFit="1" customWidth="1"/>
    <col min="5127" max="5127" width="13.140625" customWidth="1"/>
    <col min="5128" max="5128" width="16.140625" customWidth="1"/>
    <col min="5129" max="5129" width="9.42578125" customWidth="1"/>
    <col min="5378" max="5378" width="16" customWidth="1"/>
    <col min="5379" max="5379" width="53.28515625" customWidth="1"/>
    <col min="5380" max="5380" width="15.28515625" customWidth="1"/>
    <col min="5382" max="5382" width="10.28515625" bestFit="1" customWidth="1"/>
    <col min="5383" max="5383" width="13.140625" customWidth="1"/>
    <col min="5384" max="5384" width="16.140625" customWidth="1"/>
    <col min="5385" max="5385" width="9.42578125" customWidth="1"/>
    <col min="5634" max="5634" width="16" customWidth="1"/>
    <col min="5635" max="5635" width="53.28515625" customWidth="1"/>
    <col min="5636" max="5636" width="15.28515625" customWidth="1"/>
    <col min="5638" max="5638" width="10.28515625" bestFit="1" customWidth="1"/>
    <col min="5639" max="5639" width="13.140625" customWidth="1"/>
    <col min="5640" max="5640" width="16.140625" customWidth="1"/>
    <col min="5641" max="5641" width="9.42578125" customWidth="1"/>
    <col min="5890" max="5890" width="16" customWidth="1"/>
    <col min="5891" max="5891" width="53.28515625" customWidth="1"/>
    <col min="5892" max="5892" width="15.28515625" customWidth="1"/>
    <col min="5894" max="5894" width="10.28515625" bestFit="1" customWidth="1"/>
    <col min="5895" max="5895" width="13.140625" customWidth="1"/>
    <col min="5896" max="5896" width="16.140625" customWidth="1"/>
    <col min="5897" max="5897" width="9.42578125" customWidth="1"/>
    <col min="6146" max="6146" width="16" customWidth="1"/>
    <col min="6147" max="6147" width="53.28515625" customWidth="1"/>
    <col min="6148" max="6148" width="15.28515625" customWidth="1"/>
    <col min="6150" max="6150" width="10.28515625" bestFit="1" customWidth="1"/>
    <col min="6151" max="6151" width="13.140625" customWidth="1"/>
    <col min="6152" max="6152" width="16.140625" customWidth="1"/>
    <col min="6153" max="6153" width="9.42578125" customWidth="1"/>
    <col min="6402" max="6402" width="16" customWidth="1"/>
    <col min="6403" max="6403" width="53.28515625" customWidth="1"/>
    <col min="6404" max="6404" width="15.28515625" customWidth="1"/>
    <col min="6406" max="6406" width="10.28515625" bestFit="1" customWidth="1"/>
    <col min="6407" max="6407" width="13.140625" customWidth="1"/>
    <col min="6408" max="6408" width="16.140625" customWidth="1"/>
    <col min="6409" max="6409" width="9.42578125" customWidth="1"/>
    <col min="6658" max="6658" width="16" customWidth="1"/>
    <col min="6659" max="6659" width="53.28515625" customWidth="1"/>
    <col min="6660" max="6660" width="15.28515625" customWidth="1"/>
    <col min="6662" max="6662" width="10.28515625" bestFit="1" customWidth="1"/>
    <col min="6663" max="6663" width="13.140625" customWidth="1"/>
    <col min="6664" max="6664" width="16.140625" customWidth="1"/>
    <col min="6665" max="6665" width="9.42578125" customWidth="1"/>
    <col min="6914" max="6914" width="16" customWidth="1"/>
    <col min="6915" max="6915" width="53.28515625" customWidth="1"/>
    <col min="6916" max="6916" width="15.28515625" customWidth="1"/>
    <col min="6918" max="6918" width="10.28515625" bestFit="1" customWidth="1"/>
    <col min="6919" max="6919" width="13.140625" customWidth="1"/>
    <col min="6920" max="6920" width="16.140625" customWidth="1"/>
    <col min="6921" max="6921" width="9.42578125" customWidth="1"/>
    <col min="7170" max="7170" width="16" customWidth="1"/>
    <col min="7171" max="7171" width="53.28515625" customWidth="1"/>
    <col min="7172" max="7172" width="15.28515625" customWidth="1"/>
    <col min="7174" max="7174" width="10.28515625" bestFit="1" customWidth="1"/>
    <col min="7175" max="7175" width="13.140625" customWidth="1"/>
    <col min="7176" max="7176" width="16.140625" customWidth="1"/>
    <col min="7177" max="7177" width="9.42578125" customWidth="1"/>
    <col min="7426" max="7426" width="16" customWidth="1"/>
    <col min="7427" max="7427" width="53.28515625" customWidth="1"/>
    <col min="7428" max="7428" width="15.28515625" customWidth="1"/>
    <col min="7430" max="7430" width="10.28515625" bestFit="1" customWidth="1"/>
    <col min="7431" max="7431" width="13.140625" customWidth="1"/>
    <col min="7432" max="7432" width="16.140625" customWidth="1"/>
    <col min="7433" max="7433" width="9.42578125" customWidth="1"/>
    <col min="7682" max="7682" width="16" customWidth="1"/>
    <col min="7683" max="7683" width="53.28515625" customWidth="1"/>
    <col min="7684" max="7684" width="15.28515625" customWidth="1"/>
    <col min="7686" max="7686" width="10.28515625" bestFit="1" customWidth="1"/>
    <col min="7687" max="7687" width="13.140625" customWidth="1"/>
    <col min="7688" max="7688" width="16.140625" customWidth="1"/>
    <col min="7689" max="7689" width="9.42578125" customWidth="1"/>
    <col min="7938" max="7938" width="16" customWidth="1"/>
    <col min="7939" max="7939" width="53.28515625" customWidth="1"/>
    <col min="7940" max="7940" width="15.28515625" customWidth="1"/>
    <col min="7942" max="7942" width="10.28515625" bestFit="1" customWidth="1"/>
    <col min="7943" max="7943" width="13.140625" customWidth="1"/>
    <col min="7944" max="7944" width="16.140625" customWidth="1"/>
    <col min="7945" max="7945" width="9.42578125" customWidth="1"/>
    <col min="8194" max="8194" width="16" customWidth="1"/>
    <col min="8195" max="8195" width="53.28515625" customWidth="1"/>
    <col min="8196" max="8196" width="15.28515625" customWidth="1"/>
    <col min="8198" max="8198" width="10.28515625" bestFit="1" customWidth="1"/>
    <col min="8199" max="8199" width="13.140625" customWidth="1"/>
    <col min="8200" max="8200" width="16.140625" customWidth="1"/>
    <col min="8201" max="8201" width="9.42578125" customWidth="1"/>
    <col min="8450" max="8450" width="16" customWidth="1"/>
    <col min="8451" max="8451" width="53.28515625" customWidth="1"/>
    <col min="8452" max="8452" width="15.28515625" customWidth="1"/>
    <col min="8454" max="8454" width="10.28515625" bestFit="1" customWidth="1"/>
    <col min="8455" max="8455" width="13.140625" customWidth="1"/>
    <col min="8456" max="8456" width="16.140625" customWidth="1"/>
    <col min="8457" max="8457" width="9.42578125" customWidth="1"/>
    <col min="8706" max="8706" width="16" customWidth="1"/>
    <col min="8707" max="8707" width="53.28515625" customWidth="1"/>
    <col min="8708" max="8708" width="15.28515625" customWidth="1"/>
    <col min="8710" max="8710" width="10.28515625" bestFit="1" customWidth="1"/>
    <col min="8711" max="8711" width="13.140625" customWidth="1"/>
    <col min="8712" max="8712" width="16.140625" customWidth="1"/>
    <col min="8713" max="8713" width="9.42578125" customWidth="1"/>
    <col min="8962" max="8962" width="16" customWidth="1"/>
    <col min="8963" max="8963" width="53.28515625" customWidth="1"/>
    <col min="8964" max="8964" width="15.28515625" customWidth="1"/>
    <col min="8966" max="8966" width="10.28515625" bestFit="1" customWidth="1"/>
    <col min="8967" max="8967" width="13.140625" customWidth="1"/>
    <col min="8968" max="8968" width="16.140625" customWidth="1"/>
    <col min="8969" max="8969" width="9.42578125" customWidth="1"/>
    <col min="9218" max="9218" width="16" customWidth="1"/>
    <col min="9219" max="9219" width="53.28515625" customWidth="1"/>
    <col min="9220" max="9220" width="15.28515625" customWidth="1"/>
    <col min="9222" max="9222" width="10.28515625" bestFit="1" customWidth="1"/>
    <col min="9223" max="9223" width="13.140625" customWidth="1"/>
    <col min="9224" max="9224" width="16.140625" customWidth="1"/>
    <col min="9225" max="9225" width="9.42578125" customWidth="1"/>
    <col min="9474" max="9474" width="16" customWidth="1"/>
    <col min="9475" max="9475" width="53.28515625" customWidth="1"/>
    <col min="9476" max="9476" width="15.28515625" customWidth="1"/>
    <col min="9478" max="9478" width="10.28515625" bestFit="1" customWidth="1"/>
    <col min="9479" max="9479" width="13.140625" customWidth="1"/>
    <col min="9480" max="9480" width="16.140625" customWidth="1"/>
    <col min="9481" max="9481" width="9.42578125" customWidth="1"/>
    <col min="9730" max="9730" width="16" customWidth="1"/>
    <col min="9731" max="9731" width="53.28515625" customWidth="1"/>
    <col min="9732" max="9732" width="15.28515625" customWidth="1"/>
    <col min="9734" max="9734" width="10.28515625" bestFit="1" customWidth="1"/>
    <col min="9735" max="9735" width="13.140625" customWidth="1"/>
    <col min="9736" max="9736" width="16.140625" customWidth="1"/>
    <col min="9737" max="9737" width="9.42578125" customWidth="1"/>
    <col min="9986" max="9986" width="16" customWidth="1"/>
    <col min="9987" max="9987" width="53.28515625" customWidth="1"/>
    <col min="9988" max="9988" width="15.28515625" customWidth="1"/>
    <col min="9990" max="9990" width="10.28515625" bestFit="1" customWidth="1"/>
    <col min="9991" max="9991" width="13.140625" customWidth="1"/>
    <col min="9992" max="9992" width="16.140625" customWidth="1"/>
    <col min="9993" max="9993" width="9.42578125" customWidth="1"/>
    <col min="10242" max="10242" width="16" customWidth="1"/>
    <col min="10243" max="10243" width="53.28515625" customWidth="1"/>
    <col min="10244" max="10244" width="15.28515625" customWidth="1"/>
    <col min="10246" max="10246" width="10.28515625" bestFit="1" customWidth="1"/>
    <col min="10247" max="10247" width="13.140625" customWidth="1"/>
    <col min="10248" max="10248" width="16.140625" customWidth="1"/>
    <col min="10249" max="10249" width="9.42578125" customWidth="1"/>
    <col min="10498" max="10498" width="16" customWidth="1"/>
    <col min="10499" max="10499" width="53.28515625" customWidth="1"/>
    <col min="10500" max="10500" width="15.28515625" customWidth="1"/>
    <col min="10502" max="10502" width="10.28515625" bestFit="1" customWidth="1"/>
    <col min="10503" max="10503" width="13.140625" customWidth="1"/>
    <col min="10504" max="10504" width="16.140625" customWidth="1"/>
    <col min="10505" max="10505" width="9.42578125" customWidth="1"/>
    <col min="10754" max="10754" width="16" customWidth="1"/>
    <col min="10755" max="10755" width="53.28515625" customWidth="1"/>
    <col min="10756" max="10756" width="15.28515625" customWidth="1"/>
    <col min="10758" max="10758" width="10.28515625" bestFit="1" customWidth="1"/>
    <col min="10759" max="10759" width="13.140625" customWidth="1"/>
    <col min="10760" max="10760" width="16.140625" customWidth="1"/>
    <col min="10761" max="10761" width="9.42578125" customWidth="1"/>
    <col min="11010" max="11010" width="16" customWidth="1"/>
    <col min="11011" max="11011" width="53.28515625" customWidth="1"/>
    <col min="11012" max="11012" width="15.28515625" customWidth="1"/>
    <col min="11014" max="11014" width="10.28515625" bestFit="1" customWidth="1"/>
    <col min="11015" max="11015" width="13.140625" customWidth="1"/>
    <col min="11016" max="11016" width="16.140625" customWidth="1"/>
    <col min="11017" max="11017" width="9.42578125" customWidth="1"/>
    <col min="11266" max="11266" width="16" customWidth="1"/>
    <col min="11267" max="11267" width="53.28515625" customWidth="1"/>
    <col min="11268" max="11268" width="15.28515625" customWidth="1"/>
    <col min="11270" max="11270" width="10.28515625" bestFit="1" customWidth="1"/>
    <col min="11271" max="11271" width="13.140625" customWidth="1"/>
    <col min="11272" max="11272" width="16.140625" customWidth="1"/>
    <col min="11273" max="11273" width="9.42578125" customWidth="1"/>
    <col min="11522" max="11522" width="16" customWidth="1"/>
    <col min="11523" max="11523" width="53.28515625" customWidth="1"/>
    <col min="11524" max="11524" width="15.28515625" customWidth="1"/>
    <col min="11526" max="11526" width="10.28515625" bestFit="1" customWidth="1"/>
    <col min="11527" max="11527" width="13.140625" customWidth="1"/>
    <col min="11528" max="11528" width="16.140625" customWidth="1"/>
    <col min="11529" max="11529" width="9.42578125" customWidth="1"/>
    <col min="11778" max="11778" width="16" customWidth="1"/>
    <col min="11779" max="11779" width="53.28515625" customWidth="1"/>
    <col min="11780" max="11780" width="15.28515625" customWidth="1"/>
    <col min="11782" max="11782" width="10.28515625" bestFit="1" customWidth="1"/>
    <col min="11783" max="11783" width="13.140625" customWidth="1"/>
    <col min="11784" max="11784" width="16.140625" customWidth="1"/>
    <col min="11785" max="11785" width="9.42578125" customWidth="1"/>
    <col min="12034" max="12034" width="16" customWidth="1"/>
    <col min="12035" max="12035" width="53.28515625" customWidth="1"/>
    <col min="12036" max="12036" width="15.28515625" customWidth="1"/>
    <col min="12038" max="12038" width="10.28515625" bestFit="1" customWidth="1"/>
    <col min="12039" max="12039" width="13.140625" customWidth="1"/>
    <col min="12040" max="12040" width="16.140625" customWidth="1"/>
    <col min="12041" max="12041" width="9.42578125" customWidth="1"/>
    <col min="12290" max="12290" width="16" customWidth="1"/>
    <col min="12291" max="12291" width="53.28515625" customWidth="1"/>
    <col min="12292" max="12292" width="15.28515625" customWidth="1"/>
    <col min="12294" max="12294" width="10.28515625" bestFit="1" customWidth="1"/>
    <col min="12295" max="12295" width="13.140625" customWidth="1"/>
    <col min="12296" max="12296" width="16.140625" customWidth="1"/>
    <col min="12297" max="12297" width="9.42578125" customWidth="1"/>
    <col min="12546" max="12546" width="16" customWidth="1"/>
    <col min="12547" max="12547" width="53.28515625" customWidth="1"/>
    <col min="12548" max="12548" width="15.28515625" customWidth="1"/>
    <col min="12550" max="12550" width="10.28515625" bestFit="1" customWidth="1"/>
    <col min="12551" max="12551" width="13.140625" customWidth="1"/>
    <col min="12552" max="12552" width="16.140625" customWidth="1"/>
    <col min="12553" max="12553" width="9.42578125" customWidth="1"/>
    <col min="12802" max="12802" width="16" customWidth="1"/>
    <col min="12803" max="12803" width="53.28515625" customWidth="1"/>
    <col min="12804" max="12804" width="15.28515625" customWidth="1"/>
    <col min="12806" max="12806" width="10.28515625" bestFit="1" customWidth="1"/>
    <col min="12807" max="12807" width="13.140625" customWidth="1"/>
    <col min="12808" max="12808" width="16.140625" customWidth="1"/>
    <col min="12809" max="12809" width="9.42578125" customWidth="1"/>
    <col min="13058" max="13058" width="16" customWidth="1"/>
    <col min="13059" max="13059" width="53.28515625" customWidth="1"/>
    <col min="13060" max="13060" width="15.28515625" customWidth="1"/>
    <col min="13062" max="13062" width="10.28515625" bestFit="1" customWidth="1"/>
    <col min="13063" max="13063" width="13.140625" customWidth="1"/>
    <col min="13064" max="13064" width="16.140625" customWidth="1"/>
    <col min="13065" max="13065" width="9.42578125" customWidth="1"/>
    <col min="13314" max="13314" width="16" customWidth="1"/>
    <col min="13315" max="13315" width="53.28515625" customWidth="1"/>
    <col min="13316" max="13316" width="15.28515625" customWidth="1"/>
    <col min="13318" max="13318" width="10.28515625" bestFit="1" customWidth="1"/>
    <col min="13319" max="13319" width="13.140625" customWidth="1"/>
    <col min="13320" max="13320" width="16.140625" customWidth="1"/>
    <col min="13321" max="13321" width="9.42578125" customWidth="1"/>
    <col min="13570" max="13570" width="16" customWidth="1"/>
    <col min="13571" max="13571" width="53.28515625" customWidth="1"/>
    <col min="13572" max="13572" width="15.28515625" customWidth="1"/>
    <col min="13574" max="13574" width="10.28515625" bestFit="1" customWidth="1"/>
    <col min="13575" max="13575" width="13.140625" customWidth="1"/>
    <col min="13576" max="13576" width="16.140625" customWidth="1"/>
    <col min="13577" max="13577" width="9.42578125" customWidth="1"/>
    <col min="13826" max="13826" width="16" customWidth="1"/>
    <col min="13827" max="13827" width="53.28515625" customWidth="1"/>
    <col min="13828" max="13828" width="15.28515625" customWidth="1"/>
    <col min="13830" max="13830" width="10.28515625" bestFit="1" customWidth="1"/>
    <col min="13831" max="13831" width="13.140625" customWidth="1"/>
    <col min="13832" max="13832" width="16.140625" customWidth="1"/>
    <col min="13833" max="13833" width="9.42578125" customWidth="1"/>
    <col min="14082" max="14082" width="16" customWidth="1"/>
    <col min="14083" max="14083" width="53.28515625" customWidth="1"/>
    <col min="14084" max="14084" width="15.28515625" customWidth="1"/>
    <col min="14086" max="14086" width="10.28515625" bestFit="1" customWidth="1"/>
    <col min="14087" max="14087" width="13.140625" customWidth="1"/>
    <col min="14088" max="14088" width="16.140625" customWidth="1"/>
    <col min="14089" max="14089" width="9.42578125" customWidth="1"/>
    <col min="14338" max="14338" width="16" customWidth="1"/>
    <col min="14339" max="14339" width="53.28515625" customWidth="1"/>
    <col min="14340" max="14340" width="15.28515625" customWidth="1"/>
    <col min="14342" max="14342" width="10.28515625" bestFit="1" customWidth="1"/>
    <col min="14343" max="14343" width="13.140625" customWidth="1"/>
    <col min="14344" max="14344" width="16.140625" customWidth="1"/>
    <col min="14345" max="14345" width="9.42578125" customWidth="1"/>
    <col min="14594" max="14594" width="16" customWidth="1"/>
    <col min="14595" max="14595" width="53.28515625" customWidth="1"/>
    <col min="14596" max="14596" width="15.28515625" customWidth="1"/>
    <col min="14598" max="14598" width="10.28515625" bestFit="1" customWidth="1"/>
    <col min="14599" max="14599" width="13.140625" customWidth="1"/>
    <col min="14600" max="14600" width="16.140625" customWidth="1"/>
    <col min="14601" max="14601" width="9.42578125" customWidth="1"/>
    <col min="14850" max="14850" width="16" customWidth="1"/>
    <col min="14851" max="14851" width="53.28515625" customWidth="1"/>
    <col min="14852" max="14852" width="15.28515625" customWidth="1"/>
    <col min="14854" max="14854" width="10.28515625" bestFit="1" customWidth="1"/>
    <col min="14855" max="14855" width="13.140625" customWidth="1"/>
    <col min="14856" max="14856" width="16.140625" customWidth="1"/>
    <col min="14857" max="14857" width="9.42578125" customWidth="1"/>
    <col min="15106" max="15106" width="16" customWidth="1"/>
    <col min="15107" max="15107" width="53.28515625" customWidth="1"/>
    <col min="15108" max="15108" width="15.28515625" customWidth="1"/>
    <col min="15110" max="15110" width="10.28515625" bestFit="1" customWidth="1"/>
    <col min="15111" max="15111" width="13.140625" customWidth="1"/>
    <col min="15112" max="15112" width="16.140625" customWidth="1"/>
    <col min="15113" max="15113" width="9.42578125" customWidth="1"/>
    <col min="15362" max="15362" width="16" customWidth="1"/>
    <col min="15363" max="15363" width="53.28515625" customWidth="1"/>
    <col min="15364" max="15364" width="15.28515625" customWidth="1"/>
    <col min="15366" max="15366" width="10.28515625" bestFit="1" customWidth="1"/>
    <col min="15367" max="15367" width="13.140625" customWidth="1"/>
    <col min="15368" max="15368" width="16.140625" customWidth="1"/>
    <col min="15369" max="15369" width="9.42578125" customWidth="1"/>
    <col min="15618" max="15618" width="16" customWidth="1"/>
    <col min="15619" max="15619" width="53.28515625" customWidth="1"/>
    <col min="15620" max="15620" width="15.28515625" customWidth="1"/>
    <col min="15622" max="15622" width="10.28515625" bestFit="1" customWidth="1"/>
    <col min="15623" max="15623" width="13.140625" customWidth="1"/>
    <col min="15624" max="15624" width="16.140625" customWidth="1"/>
    <col min="15625" max="15625" width="9.42578125" customWidth="1"/>
    <col min="15874" max="15874" width="16" customWidth="1"/>
    <col min="15875" max="15875" width="53.28515625" customWidth="1"/>
    <col min="15876" max="15876" width="15.28515625" customWidth="1"/>
    <col min="15878" max="15878" width="10.28515625" bestFit="1" customWidth="1"/>
    <col min="15879" max="15879" width="13.140625" customWidth="1"/>
    <col min="15880" max="15880" width="16.140625" customWidth="1"/>
    <col min="15881" max="15881" width="9.42578125" customWidth="1"/>
    <col min="16130" max="16130" width="16" customWidth="1"/>
    <col min="16131" max="16131" width="53.28515625" customWidth="1"/>
    <col min="16132" max="16132" width="15.28515625" customWidth="1"/>
    <col min="16134" max="16134" width="10.28515625" bestFit="1" customWidth="1"/>
    <col min="16135" max="16135" width="13.140625" customWidth="1"/>
    <col min="16136" max="16136" width="16.140625" customWidth="1"/>
    <col min="16137" max="16137" width="9.42578125" customWidth="1"/>
  </cols>
  <sheetData>
    <row r="1" spans="1:13" s="69" customFormat="1" ht="20.100000000000001" customHeight="1" x14ac:dyDescent="0.25">
      <c r="B1"/>
      <c r="E1" s="75"/>
    </row>
    <row r="2" spans="1:13" s="69" customFormat="1" ht="24.95" customHeight="1" x14ac:dyDescent="0.25">
      <c r="B2" s="397" t="s">
        <v>107</v>
      </c>
      <c r="E2" s="75"/>
    </row>
    <row r="3" spans="1:13" s="69" customFormat="1" ht="20.100000000000001" customHeight="1" x14ac:dyDescent="0.25">
      <c r="B3" s="70"/>
      <c r="E3" s="75"/>
      <c r="G3" s="71" t="s">
        <v>108</v>
      </c>
      <c r="J3" s="507" t="s">
        <v>172</v>
      </c>
      <c r="K3" s="508"/>
    </row>
    <row r="4" spans="1:13" s="69" customFormat="1" ht="13.5" customHeight="1" x14ac:dyDescent="0.25">
      <c r="B4" s="537" t="s">
        <v>164</v>
      </c>
      <c r="C4" s="537" t="s">
        <v>163</v>
      </c>
      <c r="D4" s="536" t="s">
        <v>162</v>
      </c>
      <c r="E4" s="536" t="s">
        <v>109</v>
      </c>
      <c r="F4" s="536" t="s">
        <v>174</v>
      </c>
      <c r="G4" s="536" t="s">
        <v>173</v>
      </c>
      <c r="H4" s="536" t="s">
        <v>168</v>
      </c>
      <c r="J4" s="503" t="s">
        <v>109</v>
      </c>
      <c r="K4" s="505" t="s">
        <v>165</v>
      </c>
      <c r="L4" s="505" t="s">
        <v>166</v>
      </c>
      <c r="M4" s="505" t="s">
        <v>167</v>
      </c>
    </row>
    <row r="5" spans="1:13" s="69" customFormat="1" x14ac:dyDescent="0.25">
      <c r="B5" s="537"/>
      <c r="C5" s="537"/>
      <c r="D5" s="536"/>
      <c r="E5" s="536"/>
      <c r="F5" s="536"/>
      <c r="G5" s="536"/>
      <c r="H5" s="536"/>
      <c r="J5" s="504"/>
      <c r="K5" s="506"/>
      <c r="L5" s="506"/>
      <c r="M5" s="506"/>
    </row>
    <row r="6" spans="1:13" s="74" customFormat="1" ht="15" customHeight="1" x14ac:dyDescent="0.2">
      <c r="A6" s="69"/>
      <c r="B6" s="520" t="s">
        <v>110</v>
      </c>
      <c r="C6" s="155" t="s">
        <v>111</v>
      </c>
      <c r="D6" s="156">
        <f>Orçam!L179+Orçam!L184</f>
        <v>50014344.494118035</v>
      </c>
      <c r="E6" s="188">
        <f>J6</f>
        <v>5</v>
      </c>
      <c r="F6" s="157">
        <f>M6</f>
        <v>1.0499999999999999E-2</v>
      </c>
      <c r="G6" s="158">
        <f t="shared" ref="G6:G8" si="0">D6*F6</f>
        <v>525150.61718823935</v>
      </c>
      <c r="H6" s="117">
        <f>D6</f>
        <v>50014344.494118035</v>
      </c>
      <c r="I6" s="73"/>
      <c r="J6" s="401">
        <v>5</v>
      </c>
      <c r="K6" s="402">
        <v>1.4999999999999999E-2</v>
      </c>
      <c r="L6" s="403">
        <v>0.3</v>
      </c>
      <c r="M6" s="404">
        <f>K6*(1-L6)</f>
        <v>1.0499999999999999E-2</v>
      </c>
    </row>
    <row r="7" spans="1:13" s="72" customFormat="1" ht="15" customHeight="1" x14ac:dyDescent="0.2">
      <c r="A7" s="69"/>
      <c r="B7" s="521"/>
      <c r="C7" s="151" t="s">
        <v>132</v>
      </c>
      <c r="D7" s="131">
        <f>Orçam!L178+Orçam!L183</f>
        <v>150043033.4823541</v>
      </c>
      <c r="E7" s="187">
        <f t="shared" ref="E7:E35" si="1">J7</f>
        <v>15</v>
      </c>
      <c r="F7" s="132">
        <f t="shared" ref="F7:F35" si="2">M7</f>
        <v>5.2499999999999995E-3</v>
      </c>
      <c r="G7" s="133">
        <f t="shared" si="0"/>
        <v>787725.92578235897</v>
      </c>
      <c r="H7" s="523">
        <f>SUM(D7:D9)</f>
        <v>180051640.17882493</v>
      </c>
      <c r="J7" s="401">
        <v>15</v>
      </c>
      <c r="K7" s="402">
        <v>7.4999999999999997E-3</v>
      </c>
      <c r="L7" s="403">
        <v>0.3</v>
      </c>
      <c r="M7" s="404">
        <f t="shared" ref="M7:M35" si="3">K7*(1-L7)</f>
        <v>5.2499999999999995E-3</v>
      </c>
    </row>
    <row r="8" spans="1:13" s="72" customFormat="1" ht="15" customHeight="1" x14ac:dyDescent="0.2">
      <c r="A8" s="69"/>
      <c r="B8" s="521"/>
      <c r="C8" s="151" t="s">
        <v>138</v>
      </c>
      <c r="D8" s="152">
        <f>Orçam!L180+Orçam!L185</f>
        <v>30008606.696470819</v>
      </c>
      <c r="E8" s="189">
        <f t="shared" si="1"/>
        <v>15</v>
      </c>
      <c r="F8" s="153">
        <f t="shared" si="2"/>
        <v>5.2499999999999995E-3</v>
      </c>
      <c r="G8" s="154">
        <f t="shared" si="0"/>
        <v>157545.18515647179</v>
      </c>
      <c r="H8" s="524"/>
      <c r="J8" s="405">
        <v>15</v>
      </c>
      <c r="K8" s="406">
        <v>7.4999999999999997E-3</v>
      </c>
      <c r="L8" s="407">
        <v>0.3</v>
      </c>
      <c r="M8" s="408">
        <f t="shared" si="3"/>
        <v>5.2499999999999995E-3</v>
      </c>
    </row>
    <row r="9" spans="1:13" s="74" customFormat="1" ht="15" customHeight="1" x14ac:dyDescent="0.2">
      <c r="A9" s="69"/>
      <c r="B9" s="522"/>
      <c r="C9" s="159" t="s">
        <v>133</v>
      </c>
      <c r="D9" s="160">
        <v>0</v>
      </c>
      <c r="E9" s="190">
        <f t="shared" si="1"/>
        <v>15</v>
      </c>
      <c r="F9" s="161">
        <f t="shared" si="2"/>
        <v>5.2499999999999995E-3</v>
      </c>
      <c r="G9" s="162">
        <f>D9*F9</f>
        <v>0</v>
      </c>
      <c r="H9" s="525"/>
      <c r="J9" s="409">
        <v>15</v>
      </c>
      <c r="K9" s="410">
        <v>7.4999999999999997E-3</v>
      </c>
      <c r="L9" s="411">
        <v>0.3</v>
      </c>
      <c r="M9" s="412">
        <f t="shared" si="3"/>
        <v>5.2499999999999995E-3</v>
      </c>
    </row>
    <row r="10" spans="1:13" s="72" customFormat="1" ht="15" customHeight="1" x14ac:dyDescent="0.2">
      <c r="A10" s="69"/>
      <c r="B10" s="526" t="s">
        <v>182</v>
      </c>
      <c r="C10" s="230" t="s">
        <v>134</v>
      </c>
      <c r="D10" s="231">
        <f>Orçam!L19+Orçam!L27+Orçam!L35+Orçam!L43+Orçam!L51</f>
        <v>115452330.85379462</v>
      </c>
      <c r="E10" s="191">
        <f t="shared" si="1"/>
        <v>20</v>
      </c>
      <c r="F10" s="119">
        <f t="shared" si="2"/>
        <v>6.9999999999999993E-3</v>
      </c>
      <c r="G10" s="120">
        <f>D10*F10</f>
        <v>808166.31597656221</v>
      </c>
      <c r="H10" s="515">
        <f>SUM(D10:D16)</f>
        <v>252061738.5371992</v>
      </c>
      <c r="J10" s="405">
        <v>20</v>
      </c>
      <c r="K10" s="406">
        <v>0.01</v>
      </c>
      <c r="L10" s="407">
        <v>0.3</v>
      </c>
      <c r="M10" s="408">
        <f t="shared" si="3"/>
        <v>6.9999999999999993E-3</v>
      </c>
    </row>
    <row r="11" spans="1:13" s="72" customFormat="1" ht="15" customHeight="1" x14ac:dyDescent="0.2">
      <c r="A11" s="69"/>
      <c r="B11" s="527"/>
      <c r="C11" s="232" t="s">
        <v>135</v>
      </c>
      <c r="D11" s="211">
        <f>Orçam!L21+Orçam!L29+Orçam!L37+Orçam!L45+Orçam!L53</f>
        <v>23851491.167744692</v>
      </c>
      <c r="E11" s="192">
        <f t="shared" si="1"/>
        <v>20</v>
      </c>
      <c r="F11" s="123">
        <f t="shared" si="2"/>
        <v>6.9999999999999993E-3</v>
      </c>
      <c r="G11" s="124">
        <f t="shared" ref="G11:G35" si="4">D11*F11</f>
        <v>166960.43817421282</v>
      </c>
      <c r="H11" s="516"/>
      <c r="J11" s="405">
        <v>20</v>
      </c>
      <c r="K11" s="406">
        <v>0.01</v>
      </c>
      <c r="L11" s="407">
        <v>0.3</v>
      </c>
      <c r="M11" s="408">
        <f t="shared" si="3"/>
        <v>6.9999999999999993E-3</v>
      </c>
    </row>
    <row r="12" spans="1:13" s="72" customFormat="1" ht="15" customHeight="1" x14ac:dyDescent="0.2">
      <c r="A12" s="69"/>
      <c r="B12" s="527"/>
      <c r="C12" s="233" t="s">
        <v>136</v>
      </c>
      <c r="D12" s="234">
        <f>Orçam!L20+Orçam!L22+Orçam!L28+Orçam!L30+Orçam!L36+Orçam!L38+Orçam!L44+Orçam!L46+Orçam!L52+Orçam!L54</f>
        <v>17652300.895798124</v>
      </c>
      <c r="E12" s="235">
        <f t="shared" si="1"/>
        <v>20</v>
      </c>
      <c r="F12" s="236">
        <f t="shared" si="2"/>
        <v>6.9999999999999993E-3</v>
      </c>
      <c r="G12" s="237">
        <f t="shared" si="4"/>
        <v>123566.10627058685</v>
      </c>
      <c r="H12" s="516"/>
      <c r="J12" s="405">
        <v>20</v>
      </c>
      <c r="K12" s="406">
        <v>0.01</v>
      </c>
      <c r="L12" s="407">
        <v>0.3</v>
      </c>
      <c r="M12" s="408">
        <f t="shared" si="3"/>
        <v>6.9999999999999993E-3</v>
      </c>
    </row>
    <row r="13" spans="1:13" s="74" customFormat="1" ht="15" customHeight="1" x14ac:dyDescent="0.2">
      <c r="A13" s="69"/>
      <c r="B13" s="527"/>
      <c r="C13" s="226" t="s">
        <v>116</v>
      </c>
      <c r="D13" s="211">
        <f>Orçam!L188+Orçam!L190</f>
        <v>40232095.337764002</v>
      </c>
      <c r="E13" s="227">
        <f t="shared" si="1"/>
        <v>20</v>
      </c>
      <c r="F13" s="228">
        <f>M13</f>
        <v>6.9999999999999993E-3</v>
      </c>
      <c r="G13" s="229">
        <f t="shared" si="4"/>
        <v>281624.66736434796</v>
      </c>
      <c r="H13" s="516"/>
      <c r="J13" s="405">
        <v>20</v>
      </c>
      <c r="K13" s="406">
        <v>0.01</v>
      </c>
      <c r="L13" s="407">
        <v>0.3</v>
      </c>
      <c r="M13" s="408">
        <f t="shared" si="3"/>
        <v>6.9999999999999993E-3</v>
      </c>
    </row>
    <row r="14" spans="1:13" s="74" customFormat="1" ht="15" customHeight="1" x14ac:dyDescent="0.2">
      <c r="A14" s="69"/>
      <c r="B14" s="527"/>
      <c r="C14" s="220" t="s">
        <v>117</v>
      </c>
      <c r="D14" s="211">
        <f>Orçam!L189</f>
        <v>49429072.634920001</v>
      </c>
      <c r="E14" s="192">
        <f t="shared" si="1"/>
        <v>20</v>
      </c>
      <c r="F14" s="123">
        <f>M14</f>
        <v>1.0499999999999999E-2</v>
      </c>
      <c r="G14" s="124">
        <f t="shared" si="4"/>
        <v>519005.26266665995</v>
      </c>
      <c r="H14" s="516"/>
      <c r="J14" s="405">
        <v>20</v>
      </c>
      <c r="K14" s="406">
        <v>1.4999999999999999E-2</v>
      </c>
      <c r="L14" s="407">
        <v>0.3</v>
      </c>
      <c r="M14" s="408">
        <f t="shared" si="3"/>
        <v>1.0499999999999999E-2</v>
      </c>
    </row>
    <row r="15" spans="1:13" s="74" customFormat="1" ht="15" customHeight="1" x14ac:dyDescent="0.2">
      <c r="A15" s="224"/>
      <c r="B15" s="527"/>
      <c r="C15" s="220" t="s">
        <v>161</v>
      </c>
      <c r="D15" s="211">
        <f>Orçam!L191</f>
        <v>4817999.1077777781</v>
      </c>
      <c r="E15" s="192">
        <f t="shared" si="1"/>
        <v>20</v>
      </c>
      <c r="F15" s="123">
        <f>M15</f>
        <v>1.0499999999999999E-2</v>
      </c>
      <c r="G15" s="124">
        <f t="shared" si="4"/>
        <v>50588.990631666667</v>
      </c>
      <c r="H15" s="516"/>
      <c r="J15" s="405">
        <v>20</v>
      </c>
      <c r="K15" s="406">
        <v>1.4999999999999999E-2</v>
      </c>
      <c r="L15" s="407">
        <v>0.3</v>
      </c>
      <c r="M15" s="408">
        <f t="shared" si="3"/>
        <v>1.0499999999999999E-2</v>
      </c>
    </row>
    <row r="16" spans="1:13" s="74" customFormat="1" ht="15" customHeight="1" x14ac:dyDescent="0.2">
      <c r="A16" s="69"/>
      <c r="B16" s="528"/>
      <c r="C16" s="221" t="s">
        <v>133</v>
      </c>
      <c r="D16" s="216">
        <f>Orçam!L23+Orçam!L31+Orçam!L39+Orçam!L47+Orçam!L55</f>
        <v>626448.53940000001</v>
      </c>
      <c r="E16" s="193">
        <f t="shared" si="1"/>
        <v>20</v>
      </c>
      <c r="F16" s="125">
        <f t="shared" si="2"/>
        <v>3.4999999999999996E-3</v>
      </c>
      <c r="G16" s="126">
        <f t="shared" si="4"/>
        <v>2192.5698878999997</v>
      </c>
      <c r="H16" s="517"/>
      <c r="J16" s="405">
        <v>20</v>
      </c>
      <c r="K16" s="406">
        <v>5.0000000000000001E-3</v>
      </c>
      <c r="L16" s="407">
        <v>0.3</v>
      </c>
      <c r="M16" s="408">
        <f t="shared" si="3"/>
        <v>3.4999999999999996E-3</v>
      </c>
    </row>
    <row r="17" spans="1:15" s="72" customFormat="1" ht="15" customHeight="1" x14ac:dyDescent="0.2">
      <c r="A17" s="209"/>
      <c r="B17" s="533" t="s">
        <v>181</v>
      </c>
      <c r="C17" s="127" t="s">
        <v>139</v>
      </c>
      <c r="D17" s="212">
        <f>Orçam!L65+Orçam!L66+Orçam!L67+Orçam!L72+Orçam!L73+Orçam!L74+Orçam!L79+Orçam!L80+Orçam!L81+Orçam!L86+Orçam!L87</f>
        <v>73446787.034820348</v>
      </c>
      <c r="E17" s="194">
        <f t="shared" si="1"/>
        <v>30</v>
      </c>
      <c r="F17" s="128">
        <f t="shared" si="2"/>
        <v>5.2499999999999995E-3</v>
      </c>
      <c r="G17" s="129">
        <f t="shared" si="4"/>
        <v>385595.63193280681</v>
      </c>
      <c r="H17" s="523">
        <f>SUM(D17:D22)</f>
        <v>242862178.96915388</v>
      </c>
      <c r="J17" s="401">
        <v>30</v>
      </c>
      <c r="K17" s="402">
        <v>7.4999999999999997E-3</v>
      </c>
      <c r="L17" s="403">
        <v>0.3</v>
      </c>
      <c r="M17" s="404">
        <f t="shared" si="3"/>
        <v>5.2499999999999995E-3</v>
      </c>
    </row>
    <row r="18" spans="1:15" s="74" customFormat="1" ht="15" customHeight="1" x14ac:dyDescent="0.2">
      <c r="B18" s="534"/>
      <c r="C18" s="130" t="s">
        <v>113</v>
      </c>
      <c r="D18" s="213">
        <f>Orçam!L93+Orçam!L94+Orçam!L100+Orçam!L101+Orçam!L107+Orçam!L108+Orçam!L114+Orçam!L115+Orçam!L129</f>
        <v>13496924.282050865</v>
      </c>
      <c r="E18" s="187">
        <f t="shared" si="1"/>
        <v>30</v>
      </c>
      <c r="F18" s="132">
        <f t="shared" si="2"/>
        <v>6.9999999999999993E-3</v>
      </c>
      <c r="G18" s="133">
        <f t="shared" si="4"/>
        <v>94478.469974356049</v>
      </c>
      <c r="H18" s="524"/>
      <c r="J18" s="405">
        <v>30</v>
      </c>
      <c r="K18" s="406">
        <v>0.01</v>
      </c>
      <c r="L18" s="407">
        <v>0.3</v>
      </c>
      <c r="M18" s="408">
        <f t="shared" si="3"/>
        <v>6.9999999999999993E-3</v>
      </c>
    </row>
    <row r="19" spans="1:15" s="74" customFormat="1" ht="15" customHeight="1" x14ac:dyDescent="0.2">
      <c r="A19" s="224"/>
      <c r="B19" s="534"/>
      <c r="C19" s="130" t="s">
        <v>114</v>
      </c>
      <c r="D19" s="213">
        <f>Orçam!L120+Orçam!L121+Orçam!L122+Orçam!L123+Orçam!L124</f>
        <v>12323036.281710001</v>
      </c>
      <c r="E19" s="187">
        <f t="shared" si="1"/>
        <v>30</v>
      </c>
      <c r="F19" s="132">
        <f t="shared" si="2"/>
        <v>5.2499999999999995E-3</v>
      </c>
      <c r="G19" s="133">
        <f t="shared" si="4"/>
        <v>64695.9404789775</v>
      </c>
      <c r="H19" s="524"/>
      <c r="J19" s="405">
        <v>30</v>
      </c>
      <c r="K19" s="406">
        <v>7.4999999999999997E-3</v>
      </c>
      <c r="L19" s="407">
        <v>0.3</v>
      </c>
      <c r="M19" s="408">
        <f t="shared" si="3"/>
        <v>5.2499999999999995E-3</v>
      </c>
    </row>
    <row r="20" spans="1:15" s="74" customFormat="1" ht="15" customHeight="1" x14ac:dyDescent="0.2">
      <c r="A20" s="224"/>
      <c r="B20" s="534"/>
      <c r="C20" s="130" t="s">
        <v>115</v>
      </c>
      <c r="D20" s="214">
        <f>Orçam!L59+Orçam!L60+Orçam!L134+Orçam!L135</f>
        <v>4436784.361084396</v>
      </c>
      <c r="E20" s="187">
        <f t="shared" si="1"/>
        <v>30</v>
      </c>
      <c r="F20" s="132">
        <f t="shared" si="2"/>
        <v>6.9999999999999993E-3</v>
      </c>
      <c r="G20" s="133">
        <f t="shared" si="4"/>
        <v>31057.490527590769</v>
      </c>
      <c r="H20" s="524"/>
      <c r="J20" s="405">
        <v>30</v>
      </c>
      <c r="K20" s="406">
        <v>0.01</v>
      </c>
      <c r="L20" s="407">
        <v>0.3</v>
      </c>
      <c r="M20" s="408">
        <f t="shared" si="3"/>
        <v>6.9999999999999993E-3</v>
      </c>
    </row>
    <row r="21" spans="1:15" s="74" customFormat="1" ht="15" customHeight="1" x14ac:dyDescent="0.2">
      <c r="A21" s="209"/>
      <c r="B21" s="534"/>
      <c r="C21" s="130" t="s">
        <v>175</v>
      </c>
      <c r="D21" s="213">
        <f>Orçam!L156+Orçam!L157</f>
        <v>139158647.00948828</v>
      </c>
      <c r="E21" s="187">
        <f t="shared" si="1"/>
        <v>30</v>
      </c>
      <c r="F21" s="132">
        <f t="shared" si="2"/>
        <v>5.2499999999999995E-3</v>
      </c>
      <c r="G21" s="133">
        <f t="shared" si="4"/>
        <v>730582.89679981337</v>
      </c>
      <c r="H21" s="524"/>
      <c r="J21" s="405">
        <v>30</v>
      </c>
      <c r="K21" s="406">
        <v>7.4999999999999997E-3</v>
      </c>
      <c r="L21" s="407">
        <v>0.3</v>
      </c>
      <c r="M21" s="408">
        <f t="shared" si="3"/>
        <v>5.2499999999999995E-3</v>
      </c>
    </row>
    <row r="22" spans="1:15" s="74" customFormat="1" ht="15" customHeight="1" x14ac:dyDescent="0.2">
      <c r="A22" s="69"/>
      <c r="B22" s="535"/>
      <c r="C22" s="134" t="s">
        <v>133</v>
      </c>
      <c r="D22" s="215">
        <v>0</v>
      </c>
      <c r="E22" s="195">
        <f t="shared" si="1"/>
        <v>30</v>
      </c>
      <c r="F22" s="135">
        <f t="shared" si="2"/>
        <v>5.2499999999999995E-3</v>
      </c>
      <c r="G22" s="136">
        <f t="shared" si="4"/>
        <v>0</v>
      </c>
      <c r="H22" s="532"/>
      <c r="J22" s="409">
        <v>30</v>
      </c>
      <c r="K22" s="410">
        <v>7.4999999999999997E-3</v>
      </c>
      <c r="L22" s="411">
        <v>0.3</v>
      </c>
      <c r="M22" s="412">
        <f t="shared" si="3"/>
        <v>5.2499999999999995E-3</v>
      </c>
    </row>
    <row r="23" spans="1:15" s="72" customFormat="1" ht="15" customHeight="1" x14ac:dyDescent="0.2">
      <c r="A23" s="224"/>
      <c r="B23" s="529" t="s">
        <v>118</v>
      </c>
      <c r="C23" s="137" t="s">
        <v>112</v>
      </c>
      <c r="D23" s="217">
        <f>Orçam!L18+Orçam!L26+Orçam!L34+Orçam!L42+Orçam!L50</f>
        <v>29405317.918590423</v>
      </c>
      <c r="E23" s="196">
        <f t="shared" si="1"/>
        <v>35</v>
      </c>
      <c r="F23" s="138">
        <f t="shared" si="2"/>
        <v>6.9999999999999993E-3</v>
      </c>
      <c r="G23" s="139">
        <f t="shared" si="4"/>
        <v>205837.22543013294</v>
      </c>
      <c r="H23" s="509">
        <f>SUM(D23:D35)</f>
        <v>286444621.70184219</v>
      </c>
      <c r="J23" s="405">
        <v>35</v>
      </c>
      <c r="K23" s="406">
        <v>0.01</v>
      </c>
      <c r="L23" s="407">
        <v>0.3</v>
      </c>
      <c r="M23" s="408">
        <f t="shared" si="3"/>
        <v>6.9999999999999993E-3</v>
      </c>
      <c r="O23" s="396"/>
    </row>
    <row r="24" spans="1:15" s="72" customFormat="1" ht="15" customHeight="1" x14ac:dyDescent="0.2">
      <c r="A24" s="224"/>
      <c r="B24" s="530"/>
      <c r="C24" s="140" t="s">
        <v>119</v>
      </c>
      <c r="D24" s="218">
        <f>Orçam!L64+Orçam!L71+Orçam!L78</f>
        <v>7262194.7541000005</v>
      </c>
      <c r="E24" s="197">
        <f t="shared" si="1"/>
        <v>35</v>
      </c>
      <c r="F24" s="141">
        <f t="shared" si="2"/>
        <v>3.4999999999999996E-3</v>
      </c>
      <c r="G24" s="142">
        <f t="shared" si="4"/>
        <v>25417.681639349998</v>
      </c>
      <c r="H24" s="510"/>
      <c r="J24" s="405">
        <v>35</v>
      </c>
      <c r="K24" s="406">
        <v>5.0000000000000001E-3</v>
      </c>
      <c r="L24" s="407">
        <v>0.3</v>
      </c>
      <c r="M24" s="408">
        <f t="shared" si="3"/>
        <v>3.4999999999999996E-3</v>
      </c>
      <c r="O24" s="396"/>
    </row>
    <row r="25" spans="1:15" s="72" customFormat="1" ht="15" customHeight="1" x14ac:dyDescent="0.2">
      <c r="A25" s="224"/>
      <c r="B25" s="530"/>
      <c r="C25" s="140" t="s">
        <v>137</v>
      </c>
      <c r="D25" s="218">
        <f>Orçam!L85</f>
        <v>3172459.5916167372</v>
      </c>
      <c r="E25" s="197">
        <f t="shared" si="1"/>
        <v>35</v>
      </c>
      <c r="F25" s="141">
        <f t="shared" si="2"/>
        <v>1.0499999999999999E-2</v>
      </c>
      <c r="G25" s="142">
        <f t="shared" si="4"/>
        <v>33310.82571197574</v>
      </c>
      <c r="H25" s="510"/>
      <c r="J25" s="405">
        <v>35</v>
      </c>
      <c r="K25" s="406">
        <v>1.4999999999999999E-2</v>
      </c>
      <c r="L25" s="407">
        <v>0.3</v>
      </c>
      <c r="M25" s="408">
        <f t="shared" si="3"/>
        <v>1.0499999999999999E-2</v>
      </c>
      <c r="O25" s="396"/>
    </row>
    <row r="26" spans="1:15" s="72" customFormat="1" ht="15" customHeight="1" x14ac:dyDescent="0.2">
      <c r="A26" s="224"/>
      <c r="B26" s="530"/>
      <c r="C26" s="140" t="s">
        <v>120</v>
      </c>
      <c r="D26" s="218">
        <f>Orçam!L91+Orçam!L92+Orçam!L98+Orçam!L99+Orçam!L105+Orçam!L106+Orçam!L112+Orçam!L113+Orçam!L128</f>
        <v>130742591.84355326</v>
      </c>
      <c r="E26" s="197">
        <f t="shared" si="1"/>
        <v>35</v>
      </c>
      <c r="F26" s="141">
        <f t="shared" si="2"/>
        <v>1.3999999999999999E-2</v>
      </c>
      <c r="G26" s="142">
        <f t="shared" si="4"/>
        <v>1830396.2858097455</v>
      </c>
      <c r="H26" s="510"/>
      <c r="J26" s="405">
        <v>35</v>
      </c>
      <c r="K26" s="406">
        <v>0.02</v>
      </c>
      <c r="L26" s="407">
        <v>0.3</v>
      </c>
      <c r="M26" s="408">
        <f t="shared" si="3"/>
        <v>1.3999999999999999E-2</v>
      </c>
      <c r="O26" s="396"/>
    </row>
    <row r="27" spans="1:15" s="72" customFormat="1" ht="15" customHeight="1" x14ac:dyDescent="0.2">
      <c r="A27" s="224"/>
      <c r="B27" s="530"/>
      <c r="C27" s="140" t="s">
        <v>121</v>
      </c>
      <c r="D27" s="219">
        <f>Orçam!L119</f>
        <v>1848455.4422565005</v>
      </c>
      <c r="E27" s="197">
        <f t="shared" si="1"/>
        <v>35</v>
      </c>
      <c r="F27" s="141">
        <f t="shared" si="2"/>
        <v>6.9999999999999993E-3</v>
      </c>
      <c r="G27" s="142">
        <f t="shared" si="4"/>
        <v>12939.188095795502</v>
      </c>
      <c r="H27" s="510"/>
      <c r="J27" s="405">
        <v>35</v>
      </c>
      <c r="K27" s="406">
        <v>0.01</v>
      </c>
      <c r="L27" s="407">
        <v>0.3</v>
      </c>
      <c r="M27" s="408">
        <f t="shared" si="3"/>
        <v>6.9999999999999993E-3</v>
      </c>
      <c r="O27" s="396"/>
    </row>
    <row r="28" spans="1:15" s="72" customFormat="1" ht="15" customHeight="1" x14ac:dyDescent="0.2">
      <c r="A28" s="224"/>
      <c r="B28" s="530"/>
      <c r="C28" s="140" t="s">
        <v>122</v>
      </c>
      <c r="D28" s="218">
        <f>Orçam!L58+Orçam!L133</f>
        <v>9405087.023976313</v>
      </c>
      <c r="E28" s="197">
        <f t="shared" si="1"/>
        <v>35</v>
      </c>
      <c r="F28" s="141">
        <f t="shared" si="2"/>
        <v>5.2499999999999995E-3</v>
      </c>
      <c r="G28" s="142">
        <f t="shared" si="4"/>
        <v>49376.706875875636</v>
      </c>
      <c r="H28" s="510"/>
      <c r="J28" s="405">
        <v>35</v>
      </c>
      <c r="K28" s="406">
        <v>7.4999999999999997E-3</v>
      </c>
      <c r="L28" s="407">
        <v>0.3</v>
      </c>
      <c r="M28" s="408">
        <f t="shared" si="3"/>
        <v>5.2499999999999995E-3</v>
      </c>
      <c r="O28" s="396"/>
    </row>
    <row r="29" spans="1:15" s="74" customFormat="1" ht="15" customHeight="1" x14ac:dyDescent="0.2">
      <c r="A29" s="210"/>
      <c r="B29" s="530"/>
      <c r="C29" s="140" t="s">
        <v>123</v>
      </c>
      <c r="D29" s="225">
        <f>Orçam!L158+Orçam!L159+Orçam!L160</f>
        <v>11812699.543768009</v>
      </c>
      <c r="E29" s="197">
        <f t="shared" si="1"/>
        <v>35</v>
      </c>
      <c r="F29" s="141">
        <f t="shared" si="2"/>
        <v>3.4999999999999996E-3</v>
      </c>
      <c r="G29" s="142">
        <f t="shared" si="4"/>
        <v>41344.448403188027</v>
      </c>
      <c r="H29" s="510"/>
      <c r="J29" s="405">
        <v>35</v>
      </c>
      <c r="K29" s="406">
        <v>5.0000000000000001E-3</v>
      </c>
      <c r="L29" s="407">
        <v>0.3</v>
      </c>
      <c r="M29" s="408">
        <f t="shared" si="3"/>
        <v>3.4999999999999996E-3</v>
      </c>
      <c r="O29" s="396"/>
    </row>
    <row r="30" spans="1:15" s="74" customFormat="1" ht="15" customHeight="1" x14ac:dyDescent="0.2">
      <c r="A30" s="69"/>
      <c r="B30" s="530"/>
      <c r="C30" s="140" t="s">
        <v>124</v>
      </c>
      <c r="D30" s="219">
        <v>0</v>
      </c>
      <c r="E30" s="198">
        <f t="shared" si="1"/>
        <v>0</v>
      </c>
      <c r="F30" s="141">
        <f t="shared" si="2"/>
        <v>0</v>
      </c>
      <c r="G30" s="142">
        <f t="shared" si="4"/>
        <v>0</v>
      </c>
      <c r="H30" s="510"/>
      <c r="J30" s="405"/>
      <c r="K30" s="406"/>
      <c r="L30" s="407"/>
      <c r="M30" s="408"/>
      <c r="O30" s="396"/>
    </row>
    <row r="31" spans="1:15" s="72" customFormat="1" ht="15" customHeight="1" x14ac:dyDescent="0.2">
      <c r="A31" s="224"/>
      <c r="B31" s="530"/>
      <c r="C31" s="140" t="s">
        <v>125</v>
      </c>
      <c r="D31" s="218">
        <f>Orçam!L10</f>
        <v>19984175.57260735</v>
      </c>
      <c r="E31" s="198">
        <f t="shared" si="1"/>
        <v>35</v>
      </c>
      <c r="F31" s="141">
        <f t="shared" si="2"/>
        <v>1.4E-3</v>
      </c>
      <c r="G31" s="142">
        <f t="shared" si="4"/>
        <v>27977.845801650288</v>
      </c>
      <c r="H31" s="510"/>
      <c r="J31" s="405">
        <v>35</v>
      </c>
      <c r="K31" s="406">
        <v>2E-3</v>
      </c>
      <c r="L31" s="407">
        <v>0.3</v>
      </c>
      <c r="M31" s="408">
        <f t="shared" si="3"/>
        <v>1.4E-3</v>
      </c>
      <c r="O31" s="396"/>
    </row>
    <row r="32" spans="1:15" s="74" customFormat="1" ht="15" customHeight="1" x14ac:dyDescent="0.2">
      <c r="A32" s="224"/>
      <c r="B32" s="530"/>
      <c r="C32" s="140" t="s">
        <v>126</v>
      </c>
      <c r="D32" s="218">
        <f>SUM(Orçam!L147:L151)+SUM(Orçam!L171:L174)</f>
        <v>24951849.401573047</v>
      </c>
      <c r="E32" s="197">
        <f t="shared" si="1"/>
        <v>35</v>
      </c>
      <c r="F32" s="141">
        <f t="shared" si="2"/>
        <v>1.0499999999999999E-2</v>
      </c>
      <c r="G32" s="142">
        <f t="shared" si="4"/>
        <v>261994.41871651696</v>
      </c>
      <c r="H32" s="510"/>
      <c r="J32" s="405">
        <v>35</v>
      </c>
      <c r="K32" s="406">
        <v>1.4999999999999999E-2</v>
      </c>
      <c r="L32" s="407">
        <v>0.3</v>
      </c>
      <c r="M32" s="408">
        <f t="shared" si="3"/>
        <v>1.0499999999999999E-2</v>
      </c>
      <c r="O32" s="396"/>
    </row>
    <row r="33" spans="1:15" s="74" customFormat="1" ht="15" customHeight="1" x14ac:dyDescent="0.2">
      <c r="A33" s="224"/>
      <c r="B33" s="530"/>
      <c r="C33" s="140" t="s">
        <v>127</v>
      </c>
      <c r="D33" s="218">
        <f>SUM(Orçam!L139:L143)+SUM(Orçam!L165:L166)</f>
        <v>38713189.813200548</v>
      </c>
      <c r="E33" s="197">
        <f t="shared" si="1"/>
        <v>35</v>
      </c>
      <c r="F33" s="141">
        <f t="shared" si="2"/>
        <v>1.0499999999999999E-2</v>
      </c>
      <c r="G33" s="142">
        <f t="shared" si="4"/>
        <v>406488.49303860572</v>
      </c>
      <c r="H33" s="510"/>
      <c r="J33" s="405">
        <v>35</v>
      </c>
      <c r="K33" s="406">
        <v>1.4999999999999999E-2</v>
      </c>
      <c r="L33" s="407">
        <v>0.3</v>
      </c>
      <c r="M33" s="408">
        <f t="shared" si="3"/>
        <v>1.0499999999999999E-2</v>
      </c>
      <c r="O33" s="396"/>
    </row>
    <row r="34" spans="1:15" s="74" customFormat="1" ht="15" customHeight="1" x14ac:dyDescent="0.2">
      <c r="A34" s="69"/>
      <c r="B34" s="530"/>
      <c r="C34" s="143" t="s">
        <v>128</v>
      </c>
      <c r="D34" s="219">
        <v>0</v>
      </c>
      <c r="E34" s="197">
        <f t="shared" si="1"/>
        <v>35</v>
      </c>
      <c r="F34" s="141">
        <f t="shared" si="2"/>
        <v>3.4999999999999996E-3</v>
      </c>
      <c r="G34" s="142">
        <f t="shared" si="4"/>
        <v>0</v>
      </c>
      <c r="H34" s="510"/>
      <c r="J34" s="405">
        <v>35</v>
      </c>
      <c r="K34" s="406">
        <v>5.0000000000000001E-3</v>
      </c>
      <c r="L34" s="407">
        <v>0.3</v>
      </c>
      <c r="M34" s="408">
        <f t="shared" si="3"/>
        <v>3.4999999999999996E-3</v>
      </c>
      <c r="O34" s="396"/>
    </row>
    <row r="35" spans="1:15" s="74" customFormat="1" ht="15" customHeight="1" x14ac:dyDescent="0.2">
      <c r="A35" s="209"/>
      <c r="B35" s="531"/>
      <c r="C35" s="144" t="s">
        <v>133</v>
      </c>
      <c r="D35" s="223">
        <f>Orçam!L61+Orçam!L68+Orçam!L75+Orçam!L82+Orçam!L88+Orçam!L95+Orçam!L102+Orçam!L109+Orçam!L116+Orçam!L125+Orçam!L130+Orçam!L136+Orçam!L144+Orçam!L152+Orçam!L161+Orçam!L167+Orçam!L175+Orçam!L192</f>
        <v>9146600.7965999991</v>
      </c>
      <c r="E35" s="199">
        <f t="shared" si="1"/>
        <v>35</v>
      </c>
      <c r="F35" s="145">
        <f t="shared" si="2"/>
        <v>3.4999999999999996E-3</v>
      </c>
      <c r="G35" s="146">
        <f t="shared" si="4"/>
        <v>32013.102788099994</v>
      </c>
      <c r="H35" s="511"/>
      <c r="J35" s="409">
        <v>35</v>
      </c>
      <c r="K35" s="410">
        <v>5.0000000000000001E-3</v>
      </c>
      <c r="L35" s="411">
        <v>0.3</v>
      </c>
      <c r="M35" s="412">
        <f t="shared" si="3"/>
        <v>3.4999999999999996E-3</v>
      </c>
      <c r="O35" s="396"/>
    </row>
    <row r="36" spans="1:15" s="72" customFormat="1" ht="15" customHeight="1" x14ac:dyDescent="0.2">
      <c r="A36" s="69"/>
      <c r="B36" s="512" t="s">
        <v>129</v>
      </c>
      <c r="C36" s="118" t="s">
        <v>159</v>
      </c>
      <c r="D36" s="147">
        <f>Orçam!L195</f>
        <v>62856829.399999999</v>
      </c>
      <c r="E36" s="272">
        <f t="shared" ref="E36:E39" si="5">J36</f>
        <v>0</v>
      </c>
      <c r="F36" s="272" t="s">
        <v>80</v>
      </c>
      <c r="G36" s="272">
        <v>0</v>
      </c>
      <c r="H36" s="515">
        <f>SUM(D36:D39)</f>
        <v>169486079.02497804</v>
      </c>
      <c r="J36" s="400"/>
      <c r="K36" s="398"/>
      <c r="M36" s="399"/>
    </row>
    <row r="37" spans="1:15" s="72" customFormat="1" ht="15" customHeight="1" x14ac:dyDescent="0.2">
      <c r="A37" s="69"/>
      <c r="B37" s="513"/>
      <c r="C37" s="148" t="s">
        <v>233</v>
      </c>
      <c r="D37" s="149">
        <f>Orçam!L196</f>
        <v>81403318.684478059</v>
      </c>
      <c r="E37" s="150">
        <f>J37</f>
        <v>0</v>
      </c>
      <c r="F37" s="150" t="s">
        <v>80</v>
      </c>
      <c r="G37" s="150">
        <v>0</v>
      </c>
      <c r="H37" s="516"/>
      <c r="J37" s="400"/>
      <c r="K37" s="398"/>
      <c r="M37" s="399"/>
    </row>
    <row r="38" spans="1:15" s="74" customFormat="1" ht="15" customHeight="1" x14ac:dyDescent="0.2">
      <c r="A38" s="69"/>
      <c r="B38" s="513"/>
      <c r="C38" s="121" t="s">
        <v>130</v>
      </c>
      <c r="D38" s="122">
        <f>Orçam!L197</f>
        <v>11193930</v>
      </c>
      <c r="E38" s="150">
        <f t="shared" si="5"/>
        <v>0</v>
      </c>
      <c r="F38" s="150" t="s">
        <v>80</v>
      </c>
      <c r="G38" s="150">
        <v>0</v>
      </c>
      <c r="H38" s="516"/>
      <c r="J38" s="400"/>
      <c r="K38" s="398"/>
      <c r="M38" s="399"/>
    </row>
    <row r="39" spans="1:15" s="74" customFormat="1" ht="15" customHeight="1" x14ac:dyDescent="0.2">
      <c r="A39" s="69"/>
      <c r="B39" s="514"/>
      <c r="C39" s="273" t="s">
        <v>160</v>
      </c>
      <c r="D39" s="274">
        <f>Orçam!L198</f>
        <v>14032000.9405</v>
      </c>
      <c r="E39" s="275">
        <f t="shared" si="5"/>
        <v>0</v>
      </c>
      <c r="F39" s="275" t="s">
        <v>80</v>
      </c>
      <c r="G39" s="275">
        <v>0</v>
      </c>
      <c r="H39" s="517"/>
      <c r="J39" s="400"/>
      <c r="K39" s="398"/>
      <c r="M39" s="399"/>
    </row>
    <row r="40" spans="1:15" s="74" customFormat="1" ht="15" customHeight="1" x14ac:dyDescent="0.2">
      <c r="A40" s="69"/>
      <c r="B40" s="526" t="s">
        <v>232</v>
      </c>
      <c r="C40" s="276" t="s">
        <v>198</v>
      </c>
      <c r="D40" s="277">
        <f>Orçam!L201</f>
        <v>2278479.2769959993</v>
      </c>
      <c r="E40" s="272">
        <f t="shared" ref="E40:E42" si="6">J40</f>
        <v>0</v>
      </c>
      <c r="F40" s="272" t="s">
        <v>80</v>
      </c>
      <c r="G40" s="272">
        <v>0</v>
      </c>
      <c r="H40" s="515">
        <f>SUM(D40:D42)</f>
        <v>20424028.309894893</v>
      </c>
      <c r="J40" s="400"/>
      <c r="K40" s="398"/>
      <c r="M40" s="399"/>
    </row>
    <row r="41" spans="1:15" s="74" customFormat="1" ht="15" customHeight="1" x14ac:dyDescent="0.2">
      <c r="A41" s="69"/>
      <c r="B41" s="527"/>
      <c r="C41" s="148" t="s">
        <v>199</v>
      </c>
      <c r="D41" s="271">
        <f>Orçam!L202</f>
        <v>17780541.249975875</v>
      </c>
      <c r="E41" s="150">
        <f t="shared" si="6"/>
        <v>0</v>
      </c>
      <c r="F41" s="150" t="s">
        <v>80</v>
      </c>
      <c r="G41" s="150">
        <v>0</v>
      </c>
      <c r="H41" s="516"/>
      <c r="J41" s="400"/>
      <c r="K41" s="398"/>
      <c r="M41" s="399"/>
    </row>
    <row r="42" spans="1:15" s="74" customFormat="1" ht="15" customHeight="1" x14ac:dyDescent="0.2">
      <c r="A42" s="69"/>
      <c r="B42" s="528"/>
      <c r="C42" s="278" t="s">
        <v>200</v>
      </c>
      <c r="D42" s="279">
        <f>Orçam!L203</f>
        <v>365007.78292302007</v>
      </c>
      <c r="E42" s="275">
        <f t="shared" si="6"/>
        <v>0</v>
      </c>
      <c r="F42" s="275" t="s">
        <v>80</v>
      </c>
      <c r="G42" s="275">
        <v>0</v>
      </c>
      <c r="H42" s="517"/>
      <c r="J42" s="400"/>
      <c r="K42" s="398"/>
      <c r="M42" s="399"/>
    </row>
    <row r="43" spans="1:15" s="74" customFormat="1" ht="15" customHeight="1" thickBot="1" x14ac:dyDescent="0.25">
      <c r="A43" s="224"/>
      <c r="B43" s="518" t="s">
        <v>131</v>
      </c>
      <c r="C43" s="519"/>
      <c r="D43" s="163">
        <f>SUM(D6:D42)</f>
        <v>1201344631.2160113</v>
      </c>
      <c r="E43" s="164"/>
      <c r="F43" s="164"/>
      <c r="G43" s="164">
        <f>SUM(G6:G42)</f>
        <v>7656032.7311234884</v>
      </c>
      <c r="H43" s="165">
        <f>SUM(H6:H42)</f>
        <v>1201344631.216011</v>
      </c>
    </row>
    <row r="44" spans="1:15" ht="15.75" thickTop="1" x14ac:dyDescent="0.25">
      <c r="A44" s="69"/>
      <c r="D44" s="1"/>
    </row>
    <row r="45" spans="1:15" x14ac:dyDescent="0.25">
      <c r="A45" s="69"/>
      <c r="D45" s="4"/>
      <c r="F45" s="1"/>
      <c r="G45" s="1"/>
      <c r="H45" s="1"/>
      <c r="I45" s="1"/>
    </row>
    <row r="46" spans="1:15" x14ac:dyDescent="0.25">
      <c r="A46" s="69"/>
      <c r="D46" s="69"/>
      <c r="E46" s="69"/>
      <c r="F46" s="69"/>
      <c r="G46" s="69"/>
      <c r="H46" s="69"/>
    </row>
    <row r="47" spans="1:15" x14ac:dyDescent="0.25">
      <c r="A47" s="69"/>
      <c r="D47" s="69"/>
      <c r="E47" s="69"/>
      <c r="F47" s="69"/>
      <c r="G47" s="69"/>
      <c r="H47" s="69"/>
    </row>
    <row r="48" spans="1:15" x14ac:dyDescent="0.25">
      <c r="A48" s="69"/>
      <c r="D48" s="69"/>
      <c r="E48" s="69"/>
      <c r="F48" s="69"/>
      <c r="G48" s="69"/>
      <c r="H48" s="69"/>
    </row>
    <row r="49" spans="1:8" x14ac:dyDescent="0.25">
      <c r="A49" s="69"/>
      <c r="D49" s="69"/>
      <c r="E49" s="69"/>
      <c r="F49" s="69"/>
      <c r="G49" s="69"/>
      <c r="H49" s="69"/>
    </row>
    <row r="50" spans="1:8" x14ac:dyDescent="0.25">
      <c r="A50" s="69"/>
      <c r="D50" s="69"/>
      <c r="E50" s="69"/>
      <c r="F50" s="69"/>
      <c r="G50" s="69"/>
      <c r="H50" s="69"/>
    </row>
    <row r="51" spans="1:8" x14ac:dyDescent="0.25">
      <c r="A51" s="69"/>
      <c r="D51" s="69"/>
      <c r="E51" s="69"/>
      <c r="F51" s="69"/>
      <c r="G51" s="69"/>
      <c r="H51" s="69"/>
    </row>
    <row r="52" spans="1:8" x14ac:dyDescent="0.25">
      <c r="A52" s="69"/>
      <c r="D52" s="69"/>
      <c r="E52" s="69"/>
      <c r="F52" s="69"/>
      <c r="G52" s="69"/>
      <c r="H52" s="69"/>
    </row>
    <row r="53" spans="1:8" x14ac:dyDescent="0.25">
      <c r="A53" s="69"/>
    </row>
    <row r="54" spans="1:8" x14ac:dyDescent="0.25">
      <c r="A54" s="69"/>
    </row>
    <row r="55" spans="1:8" x14ac:dyDescent="0.25">
      <c r="A55" s="69"/>
    </row>
    <row r="56" spans="1:8" x14ac:dyDescent="0.25">
      <c r="A56" s="69"/>
    </row>
    <row r="57" spans="1:8" x14ac:dyDescent="0.25">
      <c r="A57" s="69"/>
    </row>
    <row r="58" spans="1:8" x14ac:dyDescent="0.25">
      <c r="A58" s="69"/>
    </row>
    <row r="59" spans="1:8" x14ac:dyDescent="0.25">
      <c r="A59" s="69"/>
    </row>
  </sheetData>
  <sheetProtection algorithmName="SHA-512" hashValue="ALD74wi9liOMJrFqEX42SPDpql+y5lvM6xjEzRsH1B3LIJ4i1SMOGXfyd743meYBsv3e8WVMh9M4DABQAaTzEg==" saltValue="oTjBSBr5OChNIbdce2w8Yg==" spinCount="100000" sheet="1" objects="1" scenarios="1"/>
  <mergeCells count="25">
    <mergeCell ref="H4:H5"/>
    <mergeCell ref="B4:B5"/>
    <mergeCell ref="C4:C5"/>
    <mergeCell ref="D4:D5"/>
    <mergeCell ref="E4:E5"/>
    <mergeCell ref="F4:F5"/>
    <mergeCell ref="G4:G5"/>
    <mergeCell ref="H23:H35"/>
    <mergeCell ref="B36:B39"/>
    <mergeCell ref="H36:H39"/>
    <mergeCell ref="B43:C43"/>
    <mergeCell ref="B6:B9"/>
    <mergeCell ref="H7:H9"/>
    <mergeCell ref="B10:B16"/>
    <mergeCell ref="B23:B35"/>
    <mergeCell ref="H17:H22"/>
    <mergeCell ref="B17:B22"/>
    <mergeCell ref="H10:H16"/>
    <mergeCell ref="B40:B42"/>
    <mergeCell ref="H40:H42"/>
    <mergeCell ref="J4:J5"/>
    <mergeCell ref="K4:K5"/>
    <mergeCell ref="J3:K3"/>
    <mergeCell ref="L4:L5"/>
    <mergeCell ref="M4:M5"/>
  </mergeCells>
  <pageMargins left="0.51181102362204722" right="0.51181102362204722" top="0.78740157480314965" bottom="0.78740157480314965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</vt:lpstr>
      <vt:lpstr>Orçam Resumo</vt:lpstr>
      <vt:lpstr>Resum</vt:lpstr>
      <vt:lpstr>'Orçam Resumo'!Area_de_impressao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hildo</dc:creator>
  <cp:lastModifiedBy>Rafael José da Silva</cp:lastModifiedBy>
  <cp:lastPrinted>2023-12-22T15:06:19Z</cp:lastPrinted>
  <dcterms:created xsi:type="dcterms:W3CDTF">2023-08-07T18:24:25Z</dcterms:created>
  <dcterms:modified xsi:type="dcterms:W3CDTF">2024-05-27T20:04:46Z</dcterms:modified>
</cp:coreProperties>
</file>